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BuÇalışmaKitabı" autoCompressPictures="0" defaultThemeVersion="124226"/>
  <mc:AlternateContent xmlns:mc="http://schemas.openxmlformats.org/markup-compatibility/2006">
    <mc:Choice Requires="x15">
      <x15ac:absPath xmlns:x15ac="http://schemas.microsoft.com/office/spreadsheetml/2010/11/ac" url="C:\Users\½\Desktop\"/>
    </mc:Choice>
  </mc:AlternateContent>
  <xr:revisionPtr revIDLastSave="0" documentId="13_ncr:1_{B300E248-BE15-4CCF-99FE-A5624FE79509}" xr6:coauthVersionLast="47" xr6:coauthVersionMax="47" xr10:uidLastSave="{00000000-0000-0000-0000-000000000000}"/>
  <workbookProtection workbookAlgorithmName="SHA-512" workbookHashValue="FXdCylyDBgXC8xCC+MWsqIaU0LP3qRZ25An0wD4PSsddAeUCQI+XjC7rWBLwUB8utuI5BsQmWmQKvr243TSjDQ==" workbookSaltValue="Ujt0FkBnkV/MhSBAjNPL/g==" workbookSpinCount="100000" lockStructure="1"/>
  <bookViews>
    <workbookView xWindow="-120" yWindow="-120" windowWidth="29040" windowHeight="15840" xr2:uid="{00000000-000D-0000-FFFF-FFFF00000000}"/>
  </bookViews>
  <sheets>
    <sheet name="Özet Tablo" sheetId="130" r:id="rId1"/>
  </sheets>
  <definedNames>
    <definedName name="_xlnm._FilterDatabase" localSheetId="0" hidden="1">'Özet Tablo'!#REF!</definedName>
    <definedName name="Bartın_854">'Özet Tablo'!#REF!</definedName>
    <definedName name="Çanakkale_4857">'Özet Tablo'!#REF!</definedName>
    <definedName name="Çanakkale_854">'Özet Tablo'!#REF!</definedName>
    <definedName name="İST_K_4857">'Özet Tablo'!#REF!</definedName>
    <definedName name="İST_K_854">'Özet Tablo'!#REF!</definedName>
    <definedName name="İST_K_854_Deniz_Taksi">'Özet Tablo'!#REF!</definedName>
    <definedName name="İST_K_Güvenlik_Kapsam_Dışı">'Özet Tablo'!#REF!</definedName>
    <definedName name="İST_K_Kafe_Kapsam_Dışı">'Özet Tablo'!#REF!</definedName>
    <definedName name="İST_K_Temizlik_Kapsam_Dışı">'Özet Tablo'!#REF!</definedName>
    <definedName name="İST_Ö_4857">'Özet Tablo'!#REF!</definedName>
    <definedName name="İST_Ö_854">'Özet Tablo'!#REF!</definedName>
    <definedName name="İzmir_4857">'Özet Tablo'!#REF!</definedName>
    <definedName name="İzmir_854">'Özet Tablo'!#REF!</definedName>
    <definedName name="Zonguldak_854">'Özet Tablo'!#REF!</definedName>
  </definedNames>
  <calcPr calcId="191029" iterate="1"/>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43" i="130" l="1"/>
  <c r="AF43" i="130"/>
  <c r="AE44" i="130"/>
  <c r="AF44" i="130"/>
  <c r="AE45" i="130"/>
  <c r="AF45" i="130"/>
  <c r="AE46" i="130"/>
  <c r="AF46" i="130"/>
  <c r="AE47" i="130"/>
  <c r="AF47" i="130"/>
  <c r="AE48" i="130"/>
  <c r="AF48" i="130"/>
  <c r="AO29" i="130"/>
  <c r="AO30" i="130"/>
  <c r="AO31" i="130"/>
  <c r="AO32" i="130"/>
  <c r="AO33" i="130"/>
  <c r="AO34" i="130"/>
  <c r="AK29" i="130"/>
  <c r="AK30" i="130"/>
  <c r="AK31" i="130"/>
  <c r="AK32" i="130"/>
  <c r="AK33" i="130"/>
  <c r="AK34" i="130"/>
  <c r="AH29" i="130"/>
  <c r="AH30" i="130"/>
  <c r="AH31" i="130"/>
  <c r="AH32" i="130"/>
  <c r="AH33" i="130"/>
  <c r="AH34" i="130"/>
  <c r="AW3" i="130"/>
  <c r="AW4" i="130"/>
  <c r="AW5" i="130"/>
  <c r="AW6" i="130"/>
  <c r="AW7" i="130"/>
  <c r="AW8" i="130"/>
  <c r="AW9" i="130"/>
  <c r="AW10" i="130"/>
  <c r="AW11" i="130"/>
  <c r="AW12" i="130"/>
  <c r="AW2" i="130"/>
  <c r="AW1" i="130"/>
  <c r="AF2" i="130"/>
  <c r="AF3" i="130"/>
  <c r="AF4" i="130"/>
  <c r="AF5" i="130"/>
  <c r="AF6" i="130"/>
  <c r="AF7" i="130"/>
  <c r="AF8" i="130"/>
  <c r="AF9" i="130"/>
  <c r="AF10" i="130"/>
  <c r="AF11" i="130"/>
  <c r="AF12" i="130"/>
  <c r="AF1" i="130"/>
  <c r="AP21" i="130"/>
  <c r="AP22" i="130"/>
  <c r="AP23" i="130"/>
  <c r="AP24" i="130"/>
  <c r="AP25" i="130"/>
  <c r="AP26" i="130"/>
  <c r="AP15" i="130"/>
  <c r="AP16" i="130"/>
  <c r="AP17" i="130"/>
  <c r="AP18" i="130"/>
  <c r="AP19" i="130"/>
  <c r="AP20" i="130"/>
  <c r="AO36" i="130"/>
  <c r="AO37" i="130"/>
  <c r="AO38" i="130"/>
  <c r="AO39" i="130"/>
  <c r="AO40" i="130"/>
  <c r="AO35" i="130"/>
  <c r="AK36" i="130"/>
  <c r="AK37" i="130"/>
  <c r="AK38" i="130"/>
  <c r="AK39" i="130"/>
  <c r="AK40" i="130"/>
  <c r="AK35" i="130"/>
  <c r="AH37" i="130"/>
  <c r="AH38" i="130"/>
  <c r="AH39" i="130"/>
  <c r="AH40" i="130"/>
  <c r="AH35" i="130"/>
  <c r="AH36" i="130"/>
  <c r="AA34" i="130" l="1"/>
  <c r="AD34" i="130" l="1"/>
  <c r="AA33" i="130"/>
  <c r="AC34" i="130"/>
  <c r="AD33" i="130" l="1"/>
  <c r="AC33" i="130"/>
  <c r="AM30" i="130"/>
  <c r="AM31" i="130"/>
  <c r="AM32" i="130"/>
  <c r="AM33" i="130"/>
  <c r="AM34" i="130"/>
  <c r="AM35" i="130"/>
  <c r="AM36" i="130"/>
  <c r="AM37" i="130"/>
  <c r="AM38" i="130"/>
  <c r="AM39" i="130"/>
  <c r="AM40" i="130"/>
  <c r="AM29" i="130"/>
  <c r="AF50" i="130"/>
  <c r="AF51" i="130"/>
  <c r="AF52" i="130"/>
  <c r="AF53" i="130"/>
  <c r="AF54" i="130"/>
  <c r="AF49" i="130"/>
  <c r="AE50" i="130"/>
  <c r="AE51" i="130"/>
  <c r="AE52" i="130"/>
  <c r="AE53" i="130"/>
  <c r="AE54" i="130"/>
  <c r="AE49" i="130"/>
  <c r="AV57" i="130" l="1"/>
  <c r="AN30" i="130"/>
  <c r="AN31" i="130"/>
  <c r="AN33" i="130"/>
  <c r="AN34" i="130"/>
  <c r="E27" i="130"/>
  <c r="AB26" i="130"/>
  <c r="AA25" i="130"/>
  <c r="AD25" i="130" s="1"/>
  <c r="AA24" i="130"/>
  <c r="AD24" i="130" s="1"/>
  <c r="AA23" i="130"/>
  <c r="AC23" i="130" s="1"/>
  <c r="AA22" i="130"/>
  <c r="AD22" i="130" s="1"/>
  <c r="AA19" i="130"/>
  <c r="AA17" i="130"/>
  <c r="AC17" i="130" s="1"/>
  <c r="AA16" i="130"/>
  <c r="AD16" i="130" s="1"/>
  <c r="AD5" i="130" s="1"/>
  <c r="AA13" i="130"/>
  <c r="AA4" i="130"/>
  <c r="AD4" i="130" s="1"/>
  <c r="AA3" i="130"/>
  <c r="AC3" i="130" s="1"/>
  <c r="AA2" i="130"/>
  <c r="AD2" i="130" s="1"/>
  <c r="AR30" i="130" l="1"/>
  <c r="AR32" i="130"/>
  <c r="AR29" i="130"/>
  <c r="AR31" i="130"/>
  <c r="AR33" i="130"/>
  <c r="AQ29" i="130"/>
  <c r="AQ30" i="130"/>
  <c r="AQ31" i="130"/>
  <c r="AQ32" i="130"/>
  <c r="AQ33" i="130"/>
  <c r="AR34" i="130"/>
  <c r="AQ34" i="130"/>
  <c r="AC16" i="130"/>
  <c r="AC5" i="130" s="1"/>
  <c r="AD23" i="130"/>
  <c r="AD3" i="130"/>
  <c r="AC6" i="130"/>
  <c r="AC19" i="130"/>
  <c r="AC20" i="130" s="1"/>
  <c r="AA26" i="130"/>
  <c r="AD17" i="130"/>
  <c r="AC4" i="130"/>
  <c r="AA18" i="130"/>
  <c r="AC2" i="130"/>
  <c r="AC24" i="130"/>
  <c r="AC22" i="130"/>
  <c r="AC25" i="130"/>
  <c r="AN32" i="130"/>
  <c r="AD19" i="130" l="1"/>
  <c r="AD20" i="130" s="1"/>
  <c r="AD6" i="130"/>
  <c r="AC18" i="130"/>
  <c r="AC7" i="130" s="1"/>
  <c r="AD18" i="130"/>
  <c r="AD7" i="130" s="1"/>
  <c r="AD26" i="130"/>
  <c r="AD27" i="130" s="1"/>
  <c r="AC26" i="130"/>
  <c r="AC27" i="130" s="1"/>
  <c r="AP27" i="130" l="1"/>
  <c r="AP28" i="130" s="1"/>
  <c r="AR8" i="130" l="1"/>
  <c r="AR9" i="130"/>
  <c r="AR10" i="130"/>
  <c r="AR11" i="130"/>
  <c r="AR12" i="130"/>
  <c r="AR7" i="130"/>
  <c r="AR2" i="130"/>
  <c r="AR3" i="130"/>
  <c r="AR4" i="130"/>
  <c r="AR5" i="130"/>
  <c r="AR6" i="130"/>
  <c r="AR1" i="130"/>
  <c r="AM8" i="130"/>
  <c r="AM9" i="130"/>
  <c r="AM10" i="130"/>
  <c r="AM11" i="130"/>
  <c r="AM12" i="130"/>
  <c r="AM7" i="130"/>
  <c r="AM2" i="130"/>
  <c r="AM3" i="130"/>
  <c r="AM4" i="130"/>
  <c r="AM5" i="130"/>
  <c r="AM6" i="130"/>
  <c r="AM1" i="130"/>
  <c r="AI2" i="130"/>
  <c r="AI3" i="130"/>
  <c r="AI4" i="130"/>
  <c r="AI5" i="130"/>
  <c r="AI6" i="130"/>
  <c r="AI7" i="130"/>
  <c r="AI8" i="130"/>
  <c r="AI9" i="130"/>
  <c r="AI10" i="130"/>
  <c r="AI11" i="130"/>
  <c r="AI12" i="130"/>
  <c r="AN39" i="130"/>
  <c r="AN40" i="130"/>
  <c r="AI1" i="130"/>
  <c r="AN29" i="130"/>
  <c r="AN38" i="130"/>
  <c r="AN37" i="130"/>
  <c r="AN36" i="130"/>
  <c r="AN35" i="130"/>
  <c r="AH1" i="130" l="1"/>
  <c r="AM41" i="130"/>
  <c r="AM42" i="130" s="1"/>
  <c r="AN41" i="130"/>
  <c r="AN42" i="130" s="1"/>
  <c r="AT69" i="130"/>
  <c r="AT68" i="130"/>
  <c r="AT67" i="130"/>
  <c r="AT66" i="130"/>
  <c r="AT65" i="130"/>
  <c r="AT64" i="130"/>
  <c r="AT63" i="130"/>
  <c r="AT62" i="130"/>
  <c r="AT61" i="130"/>
  <c r="AT60" i="130"/>
  <c r="AT59" i="130"/>
  <c r="AT58" i="130"/>
  <c r="AK69" i="130"/>
  <c r="AK68" i="130"/>
  <c r="AK67" i="130"/>
  <c r="AK66" i="130"/>
  <c r="AK65" i="130"/>
  <c r="AK64" i="130"/>
  <c r="AK63" i="130"/>
  <c r="AK62" i="130"/>
  <c r="AK61" i="130"/>
  <c r="AK60" i="130"/>
  <c r="AK59" i="130"/>
  <c r="AK58" i="130"/>
  <c r="AF69" i="130"/>
  <c r="AE69" i="130"/>
  <c r="AI69" i="130" s="1"/>
  <c r="AF68" i="130"/>
  <c r="AE68" i="130"/>
  <c r="AI68" i="130" s="1"/>
  <c r="AF67" i="130"/>
  <c r="AE67" i="130"/>
  <c r="AI67" i="130" s="1"/>
  <c r="AF66" i="130"/>
  <c r="AE66" i="130"/>
  <c r="AI66" i="130" s="1"/>
  <c r="AF65" i="130"/>
  <c r="AE65" i="130"/>
  <c r="AF64" i="130"/>
  <c r="AE64" i="130"/>
  <c r="AF63" i="130"/>
  <c r="AE63" i="130"/>
  <c r="AI63" i="130" s="1"/>
  <c r="AF62" i="130"/>
  <c r="AE62" i="130"/>
  <c r="AI62" i="130" s="1"/>
  <c r="AF61" i="130"/>
  <c r="AE61" i="130"/>
  <c r="AI61" i="130" s="1"/>
  <c r="AF60" i="130"/>
  <c r="AE60" i="130"/>
  <c r="AI60" i="130" s="1"/>
  <c r="AF59" i="130"/>
  <c r="AE59" i="130"/>
  <c r="AI59" i="130" s="1"/>
  <c r="AF58" i="130"/>
  <c r="AE58" i="130"/>
  <c r="AI58" i="130" s="1"/>
  <c r="AF73" i="130" l="1"/>
  <c r="AJ1" i="130"/>
  <c r="AG65" i="130"/>
  <c r="AI65" i="130"/>
  <c r="AJ64" i="130"/>
  <c r="AL64" i="130" s="1"/>
  <c r="AI64" i="130"/>
  <c r="AI70" i="130" s="1"/>
  <c r="AI71" i="130" s="1"/>
  <c r="AG59" i="130"/>
  <c r="AG66" i="130"/>
  <c r="AG60" i="130"/>
  <c r="AK70" i="130"/>
  <c r="AK71" i="130" s="1"/>
  <c r="AG63" i="130"/>
  <c r="AG69" i="130"/>
  <c r="AG62" i="130"/>
  <c r="AG68" i="130"/>
  <c r="AJ59" i="130"/>
  <c r="AL59" i="130" s="1"/>
  <c r="AT70" i="130"/>
  <c r="AT71" i="130" s="1"/>
  <c r="AG61" i="130"/>
  <c r="AG67" i="130"/>
  <c r="AG58" i="130"/>
  <c r="AJ58" i="130"/>
  <c r="AL58" i="130" s="1"/>
  <c r="AJ62" i="130"/>
  <c r="AL62" i="130" s="1"/>
  <c r="AJ63" i="130"/>
  <c r="AL63" i="130" s="1"/>
  <c r="AJ65" i="130"/>
  <c r="AL65" i="130" s="1"/>
  <c r="AJ60" i="130"/>
  <c r="AL60" i="130" s="1"/>
  <c r="AJ61" i="130"/>
  <c r="AL61" i="130" s="1"/>
  <c r="AG64" i="130"/>
  <c r="AJ66" i="130"/>
  <c r="AL66" i="130" s="1"/>
  <c r="AJ68" i="130"/>
  <c r="AL68" i="130" s="1"/>
  <c r="AJ67" i="130"/>
  <c r="AL67" i="130" s="1"/>
  <c r="AJ69" i="130"/>
  <c r="AL69" i="130" s="1"/>
  <c r="AJ73" i="130" l="1"/>
  <c r="AR35" i="130"/>
  <c r="AQ40" i="130"/>
  <c r="AR39" i="130"/>
  <c r="AR37" i="130"/>
  <c r="AQ38" i="130"/>
  <c r="AR38" i="130"/>
  <c r="AQ36" i="130"/>
  <c r="AQ39" i="130"/>
  <c r="AQ37" i="130"/>
  <c r="AQ35" i="130"/>
  <c r="AR36" i="130"/>
  <c r="AR40" i="130"/>
  <c r="AG70" i="130"/>
  <c r="AG71" i="130" s="1"/>
  <c r="AJ70" i="130"/>
  <c r="AJ71" i="130" s="1"/>
  <c r="AG41" i="130"/>
  <c r="AL26" i="130"/>
  <c r="AL25" i="130"/>
  <c r="AL24" i="130"/>
  <c r="AL23" i="130"/>
  <c r="AL22" i="130"/>
  <c r="AL21" i="130"/>
  <c r="AL20" i="130"/>
  <c r="AL19" i="130"/>
  <c r="AL18" i="130"/>
  <c r="AL17" i="130"/>
  <c r="AL16" i="130"/>
  <c r="AL15" i="130"/>
  <c r="AJ22" i="130"/>
  <c r="AT22" i="130" s="1"/>
  <c r="AJ23" i="130"/>
  <c r="AT23" i="130" s="1"/>
  <c r="AJ24" i="130"/>
  <c r="AT24" i="130" s="1"/>
  <c r="AJ25" i="130"/>
  <c r="AT25" i="130" s="1"/>
  <c r="AJ26" i="130"/>
  <c r="AT26" i="130" s="1"/>
  <c r="AJ21" i="130"/>
  <c r="AT21" i="130" s="1"/>
  <c r="AJ16" i="130"/>
  <c r="AT16" i="130" s="1"/>
  <c r="AJ17" i="130"/>
  <c r="AT17" i="130" s="1"/>
  <c r="AJ18" i="130"/>
  <c r="AT18" i="130" s="1"/>
  <c r="AJ19" i="130"/>
  <c r="AT19" i="130" s="1"/>
  <c r="AJ20" i="130"/>
  <c r="AT20" i="130" s="1"/>
  <c r="AJ15" i="130"/>
  <c r="AT15" i="130" s="1"/>
  <c r="B1" i="130"/>
  <c r="AI54" i="130" l="1"/>
  <c r="AE40" i="130"/>
  <c r="AX26" i="130"/>
  <c r="AV26" i="130"/>
  <c r="AR26" i="130"/>
  <c r="AI53" i="130"/>
  <c r="AE39" i="130"/>
  <c r="AX25" i="130"/>
  <c r="AV25" i="130"/>
  <c r="AR25" i="130"/>
  <c r="AI48" i="130"/>
  <c r="AE34" i="130"/>
  <c r="AX20" i="130"/>
  <c r="AV20" i="130"/>
  <c r="AR20" i="130"/>
  <c r="AI52" i="130"/>
  <c r="AE38" i="130"/>
  <c r="AX24" i="130"/>
  <c r="AV24" i="130"/>
  <c r="AR24" i="130"/>
  <c r="AI51" i="130"/>
  <c r="AE37" i="130"/>
  <c r="AX23" i="130"/>
  <c r="AV23" i="130"/>
  <c r="AR23" i="130"/>
  <c r="AI50" i="130"/>
  <c r="AE36" i="130"/>
  <c r="AX22" i="130"/>
  <c r="AV22" i="130"/>
  <c r="AR22" i="130"/>
  <c r="AI43" i="130"/>
  <c r="AE29" i="130"/>
  <c r="AX15" i="130"/>
  <c r="AV15" i="130"/>
  <c r="AR15" i="130"/>
  <c r="AI47" i="130"/>
  <c r="AE33" i="130"/>
  <c r="AX19" i="130"/>
  <c r="AV19" i="130"/>
  <c r="AR19" i="130"/>
  <c r="AI46" i="130"/>
  <c r="AE32" i="130"/>
  <c r="AX18" i="130"/>
  <c r="AV18" i="130"/>
  <c r="AR18" i="130"/>
  <c r="AI45" i="130"/>
  <c r="AE31" i="130"/>
  <c r="AX17" i="130"/>
  <c r="AV17" i="130"/>
  <c r="AR17" i="130"/>
  <c r="AI44" i="130"/>
  <c r="AE30" i="130"/>
  <c r="AX16" i="130"/>
  <c r="AV16" i="130"/>
  <c r="AR16" i="130"/>
  <c r="AI49" i="130"/>
  <c r="AE35" i="130"/>
  <c r="AX21" i="130"/>
  <c r="AV21" i="130"/>
  <c r="AR21" i="130"/>
  <c r="AJ81" i="130"/>
  <c r="AJ75" i="130"/>
  <c r="AJ82" i="130"/>
  <c r="AJ80" i="130"/>
  <c r="AJ84" i="130"/>
  <c r="AJ79" i="130"/>
  <c r="AJ78" i="130"/>
  <c r="AJ77" i="130"/>
  <c r="AJ76" i="130"/>
  <c r="AH41" i="130"/>
  <c r="AH42" i="130" s="1"/>
  <c r="AO41" i="130"/>
  <c r="AO42" i="130" s="1"/>
  <c r="AL46" i="130" l="1"/>
  <c r="AL43" i="130"/>
  <c r="AL49" i="130"/>
  <c r="AL53" i="130"/>
  <c r="AL50" i="130"/>
  <c r="AL47" i="130"/>
  <c r="AL48" i="130"/>
  <c r="AL52" i="130"/>
  <c r="AL44" i="130"/>
  <c r="AL54" i="130"/>
  <c r="AL45" i="130"/>
  <c r="AL51" i="130"/>
  <c r="AJ83" i="130"/>
  <c r="AJ74" i="130"/>
  <c r="AI13" i="130"/>
  <c r="AI14" i="130" s="1"/>
  <c r="AW57" i="130"/>
  <c r="AJ85" i="130" l="1"/>
  <c r="AJ86" i="130" s="1"/>
  <c r="AH12" i="130"/>
  <c r="AF84" i="130" s="1"/>
  <c r="AH11" i="130"/>
  <c r="AF83" i="130" s="1"/>
  <c r="AH10" i="130"/>
  <c r="AF82" i="130" s="1"/>
  <c r="AH9" i="130"/>
  <c r="AF81" i="130" s="1"/>
  <c r="AH8" i="130"/>
  <c r="AF80" i="130" s="1"/>
  <c r="AH7" i="130"/>
  <c r="AF79" i="130" s="1"/>
  <c r="AH6" i="130"/>
  <c r="AF78" i="130" s="1"/>
  <c r="AH5" i="130"/>
  <c r="AF77" i="130" s="1"/>
  <c r="AH4" i="130"/>
  <c r="AF76" i="130" s="1"/>
  <c r="AH3" i="130"/>
  <c r="AF75" i="130" s="1"/>
  <c r="AH2" i="130"/>
  <c r="AF74" i="130" s="1"/>
  <c r="U2" i="130"/>
  <c r="AF85" i="130" l="1"/>
  <c r="AF86" i="130" s="1"/>
  <c r="AJ8" i="130"/>
  <c r="AL8" i="130"/>
  <c r="AN8" i="130" s="1"/>
  <c r="AJ5" i="130"/>
  <c r="AL5" i="130"/>
  <c r="AN5" i="130" s="1"/>
  <c r="AJ11" i="130"/>
  <c r="AL11" i="130"/>
  <c r="AN11" i="130" s="1"/>
  <c r="AJ2" i="130"/>
  <c r="AL2" i="130"/>
  <c r="AN2" i="130" s="1"/>
  <c r="AJ10" i="130"/>
  <c r="AL10" i="130"/>
  <c r="AN10" i="130" s="1"/>
  <c r="AJ12" i="130"/>
  <c r="AL12" i="130"/>
  <c r="AN12" i="130" s="1"/>
  <c r="AL1" i="130"/>
  <c r="AN1" i="130" s="1"/>
  <c r="AJ3" i="130"/>
  <c r="AL3" i="130"/>
  <c r="AN3" i="130" s="1"/>
  <c r="AJ6" i="130"/>
  <c r="AL6" i="130"/>
  <c r="AN6" i="130" s="1"/>
  <c r="AJ7" i="130"/>
  <c r="AL7" i="130"/>
  <c r="AN7" i="130" s="1"/>
  <c r="AJ9" i="130"/>
  <c r="AL9" i="130"/>
  <c r="AN9" i="130" s="1"/>
  <c r="AJ4" i="130"/>
  <c r="AL4" i="130"/>
  <c r="AN4" i="130" s="1"/>
  <c r="AJ44" i="130"/>
  <c r="AO74" i="130" s="1"/>
  <c r="AJ45" i="130"/>
  <c r="AO75" i="130" s="1"/>
  <c r="AJ46" i="130"/>
  <c r="AO76" i="130" s="1"/>
  <c r="AJ47" i="130"/>
  <c r="AO77" i="130" s="1"/>
  <c r="AJ48" i="130"/>
  <c r="AO78" i="130" s="1"/>
  <c r="AJ49" i="130"/>
  <c r="AO79" i="130" s="1"/>
  <c r="AJ50" i="130"/>
  <c r="AO80" i="130" s="1"/>
  <c r="AJ51" i="130"/>
  <c r="AO81" i="130" s="1"/>
  <c r="AJ52" i="130"/>
  <c r="AO82" i="130" s="1"/>
  <c r="AJ53" i="130"/>
  <c r="AO83" i="130" s="1"/>
  <c r="AJ54" i="130"/>
  <c r="AO84" i="130" s="1"/>
  <c r="AJ43" i="130"/>
  <c r="AO73" i="130" s="1"/>
  <c r="AO85" i="130" l="1"/>
  <c r="AO86" i="130" s="1"/>
  <c r="AL13" i="130"/>
  <c r="AL14" i="130" s="1"/>
  <c r="AK3" i="130"/>
  <c r="AK2" i="130"/>
  <c r="AK7" i="130"/>
  <c r="AK9" i="130" l="1"/>
  <c r="AK10" i="130"/>
  <c r="AK5" i="130"/>
  <c r="AK6" i="130"/>
  <c r="AK12" i="130"/>
  <c r="AK8" i="130"/>
  <c r="AK4" i="130"/>
  <c r="AK11" i="130"/>
  <c r="AK1" i="130"/>
  <c r="AP1" i="130" l="1"/>
  <c r="AO1" i="130"/>
  <c r="AQ1" i="130" l="1"/>
  <c r="AS1" i="130" s="1"/>
  <c r="AX74" i="130"/>
  <c r="AX75" i="130"/>
  <c r="AX76" i="130"/>
  <c r="AX77" i="130"/>
  <c r="AX78" i="130"/>
  <c r="AX79" i="130"/>
  <c r="AX80" i="130"/>
  <c r="AX81" i="130"/>
  <c r="AX82" i="130"/>
  <c r="AX83" i="130"/>
  <c r="AX84" i="130"/>
  <c r="AX73" i="130"/>
  <c r="AR72" i="130"/>
  <c r="AQ72" i="130"/>
  <c r="AF70" i="130"/>
  <c r="AF71" i="130" s="1"/>
  <c r="AE70" i="130"/>
  <c r="AE71" i="130" s="1"/>
  <c r="AL27" i="130"/>
  <c r="AL28" i="130" s="1"/>
  <c r="AH13" i="130" l="1"/>
  <c r="AH14" i="130" s="1"/>
  <c r="G27" i="130" l="1"/>
  <c r="F27" i="130"/>
  <c r="D27" i="130"/>
  <c r="AJ41" i="130"/>
  <c r="AU13" i="130"/>
  <c r="H27" i="130"/>
  <c r="BB66" i="130"/>
  <c r="BB68" i="130"/>
  <c r="BB69" i="130"/>
  <c r="BB59" i="130"/>
  <c r="AP59" i="130"/>
  <c r="AN58" i="130" l="1"/>
  <c r="AM58" i="130"/>
  <c r="AM13" i="130"/>
  <c r="AM14" i="130" s="1"/>
  <c r="AR13" i="130"/>
  <c r="AR14" i="130" s="1"/>
  <c r="BB67" i="130"/>
  <c r="BB65" i="130"/>
  <c r="BB64" i="130"/>
  <c r="BB63" i="130"/>
  <c r="BB62" i="130"/>
  <c r="BB61" i="130"/>
  <c r="BB60" i="130"/>
  <c r="BB58" i="130"/>
  <c r="AH65" i="130"/>
  <c r="AS58" i="130" l="1"/>
  <c r="AU58" i="130" s="1"/>
  <c r="AN66" i="130"/>
  <c r="AM66" i="130"/>
  <c r="AN65" i="130"/>
  <c r="AM65" i="130"/>
  <c r="AS65" i="130" s="1"/>
  <c r="AU65" i="130" s="1"/>
  <c r="AN68" i="130"/>
  <c r="AM68" i="130"/>
  <c r="AN62" i="130"/>
  <c r="AM62" i="130"/>
  <c r="AN64" i="130"/>
  <c r="AM64" i="130"/>
  <c r="AN61" i="130"/>
  <c r="AM61" i="130"/>
  <c r="AN69" i="130"/>
  <c r="AM69" i="130"/>
  <c r="AS69" i="130" s="1"/>
  <c r="AU69" i="130" s="1"/>
  <c r="AN63" i="130"/>
  <c r="AM63" i="130"/>
  <c r="AN59" i="130"/>
  <c r="AM59" i="130"/>
  <c r="AN60" i="130"/>
  <c r="AM60" i="130"/>
  <c r="AN67" i="130"/>
  <c r="AM67" i="130"/>
  <c r="AL70" i="130"/>
  <c r="AL71" i="130" s="1"/>
  <c r="BB70" i="130"/>
  <c r="BB71" i="130" s="1"/>
  <c r="AH68" i="130"/>
  <c r="AH64" i="130"/>
  <c r="AH67" i="130"/>
  <c r="AH66" i="130"/>
  <c r="AH69" i="130"/>
  <c r="AS68" i="130" l="1"/>
  <c r="AU68" i="130" s="1"/>
  <c r="AS60" i="130"/>
  <c r="AU60" i="130" s="1"/>
  <c r="AS63" i="130"/>
  <c r="AU63" i="130" s="1"/>
  <c r="AS59" i="130"/>
  <c r="AU59" i="130" s="1"/>
  <c r="AS67" i="130"/>
  <c r="AU67" i="130" s="1"/>
  <c r="AS62" i="130"/>
  <c r="AU62" i="130" s="1"/>
  <c r="AS64" i="130"/>
  <c r="AU64" i="130" s="1"/>
  <c r="AS66" i="130"/>
  <c r="AU66" i="130" s="1"/>
  <c r="AS61" i="130"/>
  <c r="AU61" i="130" s="1"/>
  <c r="AE55" i="130"/>
  <c r="AE56" i="130" s="1"/>
  <c r="AF55" i="130"/>
  <c r="AF56" i="130" s="1"/>
  <c r="AU70" i="130" l="1"/>
  <c r="AU71" i="130" s="1"/>
  <c r="AS70" i="130"/>
  <c r="AS71" i="130" s="1"/>
  <c r="AH63" i="130"/>
  <c r="AH62" i="130"/>
  <c r="AH61" i="130"/>
  <c r="AH60" i="130"/>
  <c r="AH59" i="130"/>
  <c r="AH58" i="130"/>
  <c r="AH70" i="130" l="1"/>
  <c r="AH71" i="130" s="1"/>
  <c r="AN70" i="130" l="1"/>
  <c r="AN71" i="130" s="1"/>
  <c r="BC58" i="130"/>
  <c r="AV58" i="130" l="1"/>
  <c r="AF15" i="130"/>
  <c r="AE16" i="130" l="1"/>
  <c r="AG15" i="130"/>
  <c r="AN15" i="130" s="1"/>
  <c r="AH15" i="130"/>
  <c r="AI15" i="130" l="1"/>
  <c r="AF16" i="130"/>
  <c r="AE17" i="130" s="1"/>
  <c r="AG16" i="130" l="1"/>
  <c r="AN16" i="130" s="1"/>
  <c r="AH16" i="130"/>
  <c r="AI16" i="130" l="1"/>
  <c r="AF17" i="130"/>
  <c r="AE18" i="130" s="1"/>
  <c r="AG17" i="130" l="1"/>
  <c r="AN17" i="130" s="1"/>
  <c r="AH17" i="130"/>
  <c r="AI17" i="130" l="1"/>
  <c r="AF18" i="130"/>
  <c r="AE19" i="130" s="1"/>
  <c r="AG18" i="130" l="1"/>
  <c r="AN18" i="130" s="1"/>
  <c r="AH18" i="130"/>
  <c r="AI18" i="130" l="1"/>
  <c r="AF19" i="130"/>
  <c r="AE20" i="130" s="1"/>
  <c r="AG19" i="130" l="1"/>
  <c r="AN19" i="130" s="1"/>
  <c r="AH19" i="130"/>
  <c r="AI19" i="130" l="1"/>
  <c r="AF20" i="130"/>
  <c r="AE21" i="130" s="1"/>
  <c r="AH20" i="130" l="1"/>
  <c r="AG20" i="130"/>
  <c r="AN20" i="130" s="1"/>
  <c r="AI20" i="130" l="1"/>
  <c r="AF21" i="130"/>
  <c r="AE22" i="130" s="1"/>
  <c r="AH21" i="130" l="1"/>
  <c r="AG21" i="130"/>
  <c r="AN21" i="130" s="1"/>
  <c r="AI21" i="130" l="1"/>
  <c r="AF22" i="130"/>
  <c r="AE23" i="130" s="1"/>
  <c r="AG22" i="130" l="1"/>
  <c r="AN22" i="130" s="1"/>
  <c r="AH22" i="130"/>
  <c r="AI22" i="130" l="1"/>
  <c r="AF23" i="130"/>
  <c r="AE24" i="130" s="1"/>
  <c r="AG23" i="130" l="1"/>
  <c r="AN23" i="130" s="1"/>
  <c r="AH23" i="130"/>
  <c r="AI23" i="130" l="1"/>
  <c r="AF24" i="130"/>
  <c r="AE25" i="130" s="1"/>
  <c r="AH24" i="130" l="1"/>
  <c r="AG24" i="130"/>
  <c r="AN24" i="130" s="1"/>
  <c r="AI24" i="130" l="1"/>
  <c r="AF25" i="130"/>
  <c r="AE26" i="130" s="1"/>
  <c r="AH25" i="130" l="1"/>
  <c r="AG25" i="130"/>
  <c r="AN25" i="130" s="1"/>
  <c r="AI25" i="130" l="1"/>
  <c r="AF26" i="130"/>
  <c r="AG26" i="130" l="1"/>
  <c r="AN26" i="130" s="1"/>
  <c r="AH26" i="130"/>
  <c r="AH27" i="130" s="1"/>
  <c r="AG27" i="130" l="1"/>
  <c r="AI26" i="130"/>
  <c r="AI27" i="130" s="1"/>
  <c r="AP62" i="130" l="1"/>
  <c r="AP61" i="130"/>
  <c r="AP60" i="130"/>
  <c r="AR59" i="130" l="1"/>
  <c r="AR60" i="130" s="1"/>
  <c r="AR61" i="130" s="1"/>
  <c r="AR62" i="130" s="1"/>
  <c r="BC63" i="130" l="1"/>
  <c r="BC61" i="130"/>
  <c r="BC59" i="130"/>
  <c r="AV59" i="130" l="1"/>
  <c r="AW59" i="130" s="1"/>
  <c r="AV61" i="130"/>
  <c r="AW61" i="130" s="1"/>
  <c r="BC60" i="130"/>
  <c r="AV62" i="130"/>
  <c r="AW62" i="130" s="1"/>
  <c r="BC62" i="130"/>
  <c r="AV63" i="130" l="1"/>
  <c r="AW63" i="130" s="1"/>
  <c r="AV60" i="130"/>
  <c r="AW60" i="130" s="1"/>
  <c r="AV64" i="130"/>
  <c r="AW64" i="130" s="1"/>
  <c r="BC64" i="130"/>
  <c r="BC68" i="130" l="1"/>
  <c r="BC66" i="130"/>
  <c r="BC67" i="130"/>
  <c r="BC65" i="130"/>
  <c r="BC69" i="130"/>
  <c r="AV68" i="130" l="1"/>
  <c r="AW68" i="130" s="1"/>
  <c r="AV67" i="130"/>
  <c r="AW67" i="130" s="1"/>
  <c r="BC70" i="130"/>
  <c r="BC71" i="130" s="1"/>
  <c r="AM70" i="130"/>
  <c r="AM71" i="130" s="1"/>
  <c r="AV65" i="130"/>
  <c r="AW65" i="130" s="1"/>
  <c r="AV66" i="130"/>
  <c r="AW66" i="130" s="1"/>
  <c r="AV69" i="130" l="1"/>
  <c r="AW69" i="130" s="1"/>
  <c r="AX69" i="130" s="1"/>
  <c r="AY69" i="130" s="1"/>
  <c r="AZ69" i="130" s="1"/>
  <c r="AW58" i="130"/>
  <c r="AX58" i="130" s="1"/>
  <c r="AY58" i="130" s="1"/>
  <c r="AZ58" i="130" s="1"/>
  <c r="AX60" i="130"/>
  <c r="AY60" i="130" s="1"/>
  <c r="AZ60" i="130" s="1"/>
  <c r="AX61" i="130"/>
  <c r="AY61" i="130" s="1"/>
  <c r="AZ61" i="130" s="1"/>
  <c r="AX62" i="130"/>
  <c r="AY62" i="130" s="1"/>
  <c r="AZ62" i="130" s="1"/>
  <c r="AX63" i="130"/>
  <c r="AY63" i="130" s="1"/>
  <c r="AZ63" i="130" s="1"/>
  <c r="AX64" i="130"/>
  <c r="AY64" i="130" s="1"/>
  <c r="AZ64" i="130" s="1"/>
  <c r="AX65" i="130"/>
  <c r="AY65" i="130" s="1"/>
  <c r="AZ65" i="130" s="1"/>
  <c r="AX66" i="130"/>
  <c r="AY66" i="130" s="1"/>
  <c r="AZ66" i="130" s="1"/>
  <c r="AX67" i="130"/>
  <c r="AY67" i="130" s="1"/>
  <c r="AZ67" i="130" s="1"/>
  <c r="AX68" i="130"/>
  <c r="AY68" i="130" s="1"/>
  <c r="AZ68" i="130" s="1"/>
  <c r="BA66" i="130" l="1"/>
  <c r="BA65" i="130"/>
  <c r="BA62" i="130"/>
  <c r="BA67" i="130"/>
  <c r="BA64" i="130"/>
  <c r="BA60" i="130"/>
  <c r="BA58" i="130"/>
  <c r="BA68" i="130"/>
  <c r="BA63" i="130"/>
  <c r="BA61" i="130"/>
  <c r="BA69" i="130"/>
  <c r="AX59" i="130"/>
  <c r="AY59" i="130" s="1"/>
  <c r="AZ59" i="130" s="1"/>
  <c r="BA59" i="130" l="1"/>
  <c r="AZ70" i="130" l="1"/>
  <c r="AZ71" i="130" s="1"/>
  <c r="AJ27" i="130" l="1"/>
  <c r="AJ28" i="130" s="1"/>
  <c r="AX27" i="130" l="1"/>
  <c r="AX28" i="130" s="1"/>
  <c r="AV27" i="130"/>
  <c r="AV28" i="130" s="1"/>
  <c r="AR27" i="130"/>
  <c r="AR28" i="130" s="1"/>
  <c r="AE41" i="130"/>
  <c r="AN27" i="130"/>
  <c r="AN28" i="130" s="1"/>
  <c r="AE42" i="130" l="1"/>
  <c r="AK41" i="130" l="1"/>
  <c r="AK42" i="130" s="1"/>
  <c r="AJ55" i="130" l="1"/>
  <c r="AJ56" i="130" s="1"/>
  <c r="AI55" i="130"/>
  <c r="AI56" i="130" l="1"/>
  <c r="Z13" i="130" s="1"/>
  <c r="Y13" i="130" s="1"/>
  <c r="AK13" i="130" l="1"/>
  <c r="AK14" i="130" s="1"/>
  <c r="AJ13" i="130"/>
  <c r="AJ14" i="130" s="1"/>
  <c r="AP11" i="130" l="1"/>
  <c r="AO11" i="130"/>
  <c r="AP8" i="130"/>
  <c r="AO8" i="130"/>
  <c r="AP10" i="130"/>
  <c r="AO10" i="130"/>
  <c r="AQ10" i="130" s="1"/>
  <c r="AS10" i="130" s="1"/>
  <c r="AP5" i="130"/>
  <c r="AO5" i="130"/>
  <c r="AO3" i="130"/>
  <c r="AP3" i="130"/>
  <c r="AP2" i="130"/>
  <c r="AO2" i="130"/>
  <c r="AP9" i="130"/>
  <c r="AO9" i="130"/>
  <c r="AP7" i="130"/>
  <c r="AO7" i="130"/>
  <c r="AP6" i="130"/>
  <c r="AO6" i="130"/>
  <c r="AP4" i="130"/>
  <c r="AO4" i="130"/>
  <c r="AP12" i="130"/>
  <c r="AO12" i="130"/>
  <c r="AN13" i="130"/>
  <c r="AN14" i="130" s="1"/>
  <c r="AQ12" i="130" l="1"/>
  <c r="AS12" i="130" s="1"/>
  <c r="AQ9" i="130"/>
  <c r="AS9" i="130" s="1"/>
  <c r="AQ11" i="130"/>
  <c r="AS11" i="130" s="1"/>
  <c r="AQ6" i="130"/>
  <c r="AS6" i="130" s="1"/>
  <c r="AQ5" i="130"/>
  <c r="AS5" i="130" s="1"/>
  <c r="AQ2" i="130"/>
  <c r="AS2" i="130" s="1"/>
  <c r="AQ4" i="130"/>
  <c r="AS4" i="130" s="1"/>
  <c r="AQ8" i="130"/>
  <c r="AS8" i="130" s="1"/>
  <c r="AQ7" i="130"/>
  <c r="AS7" i="130" s="1"/>
  <c r="AQ3" i="130"/>
  <c r="AS3" i="130" s="1"/>
  <c r="AO13" i="130"/>
  <c r="AO14" i="130" s="1"/>
  <c r="AP13" i="130"/>
  <c r="AP14" i="130" s="1"/>
  <c r="AQ13" i="130" l="1"/>
  <c r="AQ14" i="130" s="1"/>
  <c r="AS13" i="130"/>
  <c r="AS14" i="130" s="1"/>
  <c r="AF13" i="130"/>
  <c r="AL55" i="130" l="1"/>
  <c r="AL56" i="130" s="1"/>
  <c r="AF14" i="130"/>
  <c r="AQ41" i="130" l="1"/>
  <c r="AQ42" i="130" s="1"/>
  <c r="AR41" i="130"/>
  <c r="AR42" i="130" s="1"/>
  <c r="AW13" i="130" l="1"/>
  <c r="AW14" i="130" s="1"/>
  <c r="Z7" i="130" s="1"/>
  <c r="Y7" i="130" s="1"/>
  <c r="AT27" i="130" l="1"/>
  <c r="AT28" i="130" s="1"/>
  <c r="Y1" i="130" l="1"/>
  <c r="Z1" i="130"/>
  <c r="AE1" i="130"/>
  <c r="AG1" i="130"/>
  <c r="AT1" i="130"/>
  <c r="AV1" i="130"/>
  <c r="Y2" i="130"/>
  <c r="Z2" i="130"/>
  <c r="AE2" i="130"/>
  <c r="AG2" i="130"/>
  <c r="AT2" i="130"/>
  <c r="AV2" i="130"/>
  <c r="Y3" i="130"/>
  <c r="Z3" i="130"/>
  <c r="AE3" i="130"/>
  <c r="AG3" i="130"/>
  <c r="AT3" i="130"/>
  <c r="AV3" i="130"/>
  <c r="Y4" i="130"/>
  <c r="Z4" i="130"/>
  <c r="AE4" i="130"/>
  <c r="AG4" i="130"/>
  <c r="AT4" i="130"/>
  <c r="AV4" i="130"/>
  <c r="Y5" i="130"/>
  <c r="Z5" i="130"/>
  <c r="AE5" i="130"/>
  <c r="AG5" i="130"/>
  <c r="AT5" i="130"/>
  <c r="AV5" i="130"/>
  <c r="Y6" i="130"/>
  <c r="Z6" i="130"/>
  <c r="AE6" i="130"/>
  <c r="AG6" i="130"/>
  <c r="AT6" i="130"/>
  <c r="AV6" i="130"/>
  <c r="AE7" i="130"/>
  <c r="AG7" i="130"/>
  <c r="AT7" i="130"/>
  <c r="AV7" i="130"/>
  <c r="Y8" i="130"/>
  <c r="Z8" i="130"/>
  <c r="AE8" i="130"/>
  <c r="AG8" i="130"/>
  <c r="AT8" i="130"/>
  <c r="AV8" i="130"/>
  <c r="Y9" i="130"/>
  <c r="Z9" i="130"/>
  <c r="AE9" i="130"/>
  <c r="AG9" i="130"/>
  <c r="AT9" i="130"/>
  <c r="AV9" i="130"/>
  <c r="Y10" i="130"/>
  <c r="Z10" i="130"/>
  <c r="AE10" i="130"/>
  <c r="AG10" i="130"/>
  <c r="AT10" i="130"/>
  <c r="AV10" i="130"/>
  <c r="Y11" i="130"/>
  <c r="Z11" i="130"/>
  <c r="AE11" i="130"/>
  <c r="AG11" i="130"/>
  <c r="AT11" i="130"/>
  <c r="AV11" i="130"/>
  <c r="Y12" i="130"/>
  <c r="Z12" i="130"/>
  <c r="AE12" i="130"/>
  <c r="AG12" i="130"/>
  <c r="AT12" i="130"/>
  <c r="AV12" i="130"/>
  <c r="AE13" i="130"/>
  <c r="AG13" i="130"/>
  <c r="AT13" i="130"/>
  <c r="AV13" i="130"/>
  <c r="Y14" i="130"/>
  <c r="Z14" i="130"/>
  <c r="AE14" i="130"/>
  <c r="AG14" i="130"/>
  <c r="AT14" i="130"/>
  <c r="AV14" i="130"/>
  <c r="A15" i="130"/>
  <c r="N15" i="130"/>
  <c r="O15" i="130"/>
  <c r="P15" i="130"/>
  <c r="Y15" i="130"/>
  <c r="Z15" i="130"/>
  <c r="AK15" i="130"/>
  <c r="AM15" i="130"/>
  <c r="AO15" i="130"/>
  <c r="AQ15" i="130"/>
  <c r="AS15" i="130"/>
  <c r="AU15" i="130"/>
  <c r="AW15" i="130"/>
  <c r="A16" i="130"/>
  <c r="N16" i="130"/>
  <c r="O16" i="130"/>
  <c r="P16" i="130"/>
  <c r="Y16" i="130"/>
  <c r="Z16" i="130"/>
  <c r="AK16" i="130"/>
  <c r="AM16" i="130"/>
  <c r="AO16" i="130"/>
  <c r="AQ16" i="130"/>
  <c r="AS16" i="130"/>
  <c r="AU16" i="130"/>
  <c r="AW16" i="130"/>
  <c r="A17" i="130"/>
  <c r="N17" i="130"/>
  <c r="O17" i="130"/>
  <c r="P17" i="130"/>
  <c r="Y17" i="130"/>
  <c r="Z17" i="130"/>
  <c r="AK17" i="130"/>
  <c r="AM17" i="130"/>
  <c r="AO17" i="130"/>
  <c r="AQ17" i="130"/>
  <c r="AS17" i="130"/>
  <c r="AU17" i="130"/>
  <c r="AW17" i="130"/>
  <c r="A18" i="130"/>
  <c r="N18" i="130"/>
  <c r="O18" i="130"/>
  <c r="P18" i="130"/>
  <c r="Y18" i="130"/>
  <c r="Z18" i="130"/>
  <c r="AK18" i="130"/>
  <c r="AM18" i="130"/>
  <c r="AO18" i="130"/>
  <c r="AQ18" i="130"/>
  <c r="AS18" i="130"/>
  <c r="AU18" i="130"/>
  <c r="AW18" i="130"/>
  <c r="A19" i="130"/>
  <c r="N19" i="130"/>
  <c r="O19" i="130"/>
  <c r="P19" i="130"/>
  <c r="Y19" i="130"/>
  <c r="Z19" i="130"/>
  <c r="AK19" i="130"/>
  <c r="AM19" i="130"/>
  <c r="AO19" i="130"/>
  <c r="AQ19" i="130"/>
  <c r="AS19" i="130"/>
  <c r="AU19" i="130"/>
  <c r="AW19" i="130"/>
  <c r="A20" i="130"/>
  <c r="N20" i="130"/>
  <c r="O20" i="130"/>
  <c r="P20" i="130"/>
  <c r="Y20" i="130"/>
  <c r="Z20" i="130"/>
  <c r="AK20" i="130"/>
  <c r="AM20" i="130"/>
  <c r="AO20" i="130"/>
  <c r="AQ20" i="130"/>
  <c r="AS20" i="130"/>
  <c r="AU20" i="130"/>
  <c r="AW20" i="130"/>
  <c r="A21" i="130"/>
  <c r="N21" i="130"/>
  <c r="O21" i="130"/>
  <c r="P21" i="130"/>
  <c r="Y21" i="130"/>
  <c r="Z21" i="130"/>
  <c r="AK21" i="130"/>
  <c r="AM21" i="130"/>
  <c r="AO21" i="130"/>
  <c r="AQ21" i="130"/>
  <c r="AS21" i="130"/>
  <c r="AU21" i="130"/>
  <c r="AW21" i="130"/>
  <c r="A22" i="130"/>
  <c r="N22" i="130"/>
  <c r="O22" i="130"/>
  <c r="P22" i="130"/>
  <c r="AK22" i="130"/>
  <c r="AM22" i="130"/>
  <c r="AO22" i="130"/>
  <c r="AQ22" i="130"/>
  <c r="AS22" i="130"/>
  <c r="AU22" i="130"/>
  <c r="AW22" i="130"/>
  <c r="A23" i="130"/>
  <c r="N23" i="130"/>
  <c r="O23" i="130"/>
  <c r="P23" i="130"/>
  <c r="AK23" i="130"/>
  <c r="AM23" i="130"/>
  <c r="AO23" i="130"/>
  <c r="AQ23" i="130"/>
  <c r="AS23" i="130"/>
  <c r="AU23" i="130"/>
  <c r="AW23" i="130"/>
  <c r="A24" i="130"/>
  <c r="N24" i="130"/>
  <c r="O24" i="130"/>
  <c r="P24" i="130"/>
  <c r="AK24" i="130"/>
  <c r="AM24" i="130"/>
  <c r="AO24" i="130"/>
  <c r="AQ24" i="130"/>
  <c r="AS24" i="130"/>
  <c r="AU24" i="130"/>
  <c r="AW24" i="130"/>
  <c r="A25" i="130"/>
  <c r="N25" i="130"/>
  <c r="O25" i="130"/>
  <c r="P25" i="130"/>
  <c r="AK25" i="130"/>
  <c r="AM25" i="130"/>
  <c r="AO25" i="130"/>
  <c r="AQ25" i="130"/>
  <c r="AS25" i="130"/>
  <c r="AU25" i="130"/>
  <c r="AW25" i="130"/>
  <c r="A26" i="130"/>
  <c r="N26" i="130"/>
  <c r="O26" i="130"/>
  <c r="P26" i="130"/>
  <c r="AK26" i="130"/>
  <c r="AM26" i="130"/>
  <c r="AO26" i="130"/>
  <c r="AQ26" i="130"/>
  <c r="AS26" i="130"/>
  <c r="AU26" i="130"/>
  <c r="AW26" i="130"/>
  <c r="N27" i="130"/>
  <c r="O27" i="130"/>
  <c r="P27" i="130"/>
  <c r="AK27" i="130"/>
  <c r="AM27" i="130"/>
  <c r="AO27" i="130"/>
  <c r="AQ27" i="130"/>
  <c r="AS27" i="130"/>
  <c r="AU27" i="130"/>
  <c r="AW27" i="130"/>
  <c r="A28" i="130"/>
  <c r="N28" i="130"/>
  <c r="O28" i="130"/>
  <c r="P28" i="130"/>
  <c r="AK28" i="130"/>
  <c r="AM28" i="130"/>
  <c r="AO28" i="130"/>
  <c r="AQ28" i="130"/>
  <c r="AS28" i="130"/>
  <c r="AU28" i="130"/>
  <c r="AW28" i="130"/>
  <c r="AF29" i="130"/>
  <c r="AI29" i="130"/>
  <c r="AL29" i="130"/>
  <c r="AP29" i="130"/>
  <c r="AS29" i="130"/>
  <c r="AT29" i="130"/>
  <c r="AU29" i="130"/>
  <c r="AV29" i="130"/>
  <c r="AW29" i="130"/>
  <c r="AF30" i="130"/>
  <c r="AI30" i="130"/>
  <c r="AL30" i="130"/>
  <c r="AP30" i="130"/>
  <c r="AS30" i="130"/>
  <c r="AT30" i="130"/>
  <c r="AU30" i="130"/>
  <c r="AV30" i="130"/>
  <c r="AW30" i="130"/>
  <c r="AF31" i="130"/>
  <c r="AI31" i="130"/>
  <c r="AL31" i="130"/>
  <c r="AP31" i="130"/>
  <c r="AS31" i="130"/>
  <c r="AT31" i="130"/>
  <c r="AU31" i="130"/>
  <c r="AV31" i="130"/>
  <c r="AW31" i="130"/>
  <c r="AF32" i="130"/>
  <c r="AI32" i="130"/>
  <c r="AL32" i="130"/>
  <c r="AP32" i="130"/>
  <c r="AS32" i="130"/>
  <c r="AT32" i="130"/>
  <c r="AU32" i="130"/>
  <c r="AV32" i="130"/>
  <c r="AW32" i="130"/>
  <c r="AF33" i="130"/>
  <c r="AI33" i="130"/>
  <c r="AL33" i="130"/>
  <c r="AP33" i="130"/>
  <c r="AS33" i="130"/>
  <c r="AT33" i="130"/>
  <c r="AU33" i="130"/>
  <c r="AV33" i="130"/>
  <c r="AW33" i="130"/>
  <c r="AF34" i="130"/>
  <c r="AI34" i="130"/>
  <c r="AL34" i="130"/>
  <c r="AP34" i="130"/>
  <c r="AS34" i="130"/>
  <c r="AT34" i="130"/>
  <c r="AU34" i="130"/>
  <c r="AV34" i="130"/>
  <c r="AW34" i="130"/>
  <c r="AF35" i="130"/>
  <c r="AI35" i="130"/>
  <c r="AL35" i="130"/>
  <c r="AP35" i="130"/>
  <c r="AS35" i="130"/>
  <c r="AT35" i="130"/>
  <c r="AU35" i="130"/>
  <c r="AV35" i="130"/>
  <c r="AW35" i="130"/>
  <c r="AF36" i="130"/>
  <c r="AI36" i="130"/>
  <c r="AL36" i="130"/>
  <c r="AP36" i="130"/>
  <c r="AS36" i="130"/>
  <c r="AT36" i="130"/>
  <c r="AU36" i="130"/>
  <c r="AV36" i="130"/>
  <c r="AW36" i="130"/>
  <c r="AF37" i="130"/>
  <c r="AI37" i="130"/>
  <c r="AL37" i="130"/>
  <c r="AP37" i="130"/>
  <c r="AS37" i="130"/>
  <c r="AT37" i="130"/>
  <c r="AU37" i="130"/>
  <c r="AV37" i="130"/>
  <c r="AW37" i="130"/>
  <c r="AF38" i="130"/>
  <c r="AI38" i="130"/>
  <c r="AL38" i="130"/>
  <c r="AP38" i="130"/>
  <c r="AS38" i="130"/>
  <c r="AT38" i="130"/>
  <c r="AU38" i="130"/>
  <c r="AV38" i="130"/>
  <c r="AW38" i="130"/>
  <c r="AF39" i="130"/>
  <c r="AI39" i="130"/>
  <c r="AL39" i="130"/>
  <c r="AP39" i="130"/>
  <c r="AS39" i="130"/>
  <c r="AT39" i="130"/>
  <c r="AU39" i="130"/>
  <c r="AV39" i="130"/>
  <c r="AW39" i="130"/>
  <c r="AF40" i="130"/>
  <c r="AI40" i="130"/>
  <c r="AL40" i="130"/>
  <c r="AP40" i="130"/>
  <c r="AS40" i="130"/>
  <c r="AT40" i="130"/>
  <c r="AU40" i="130"/>
  <c r="AV40" i="130"/>
  <c r="AW40" i="130"/>
  <c r="AF41" i="130"/>
  <c r="AI41" i="130"/>
  <c r="AL41" i="130"/>
  <c r="AP41" i="130"/>
  <c r="AS41" i="130"/>
  <c r="AT41" i="130"/>
  <c r="AU41" i="130"/>
  <c r="AV41" i="130"/>
  <c r="AW41" i="130"/>
  <c r="AF42" i="130"/>
  <c r="AI42" i="130"/>
  <c r="AL42" i="130"/>
  <c r="AP42" i="130"/>
  <c r="AS42" i="130"/>
  <c r="AT42" i="130"/>
  <c r="AU42" i="130"/>
  <c r="AV42" i="130"/>
  <c r="AW42" i="130"/>
  <c r="AG43" i="130"/>
  <c r="AK43" i="130"/>
  <c r="AM43" i="130"/>
  <c r="AG44" i="130"/>
  <c r="AK44" i="130"/>
  <c r="AM44" i="130"/>
  <c r="AG45" i="130"/>
  <c r="AK45" i="130"/>
  <c r="AM45" i="130"/>
  <c r="AG46" i="130"/>
  <c r="AK46" i="130"/>
  <c r="AM46" i="130"/>
  <c r="AG47" i="130"/>
  <c r="AK47" i="130"/>
  <c r="AM47" i="130"/>
  <c r="AG48" i="130"/>
  <c r="AK48" i="130"/>
  <c r="AM48" i="130"/>
  <c r="AG49" i="130"/>
  <c r="AK49" i="130"/>
  <c r="AM49" i="130"/>
  <c r="AG50" i="130"/>
  <c r="AK50" i="130"/>
  <c r="AM50" i="130"/>
  <c r="AG51" i="130"/>
  <c r="AK51" i="130"/>
  <c r="AM51" i="130"/>
  <c r="AG52" i="130"/>
  <c r="AK52" i="130"/>
  <c r="AM52" i="130"/>
  <c r="AG53" i="130"/>
  <c r="AK53" i="130"/>
  <c r="AM53" i="130"/>
  <c r="AG54" i="130"/>
  <c r="AK54" i="130"/>
  <c r="AM54" i="130"/>
  <c r="AG55" i="130"/>
  <c r="AK55" i="130"/>
  <c r="AM55" i="130"/>
  <c r="AG56" i="130"/>
  <c r="AK56" i="130"/>
  <c r="AM56" i="130"/>
  <c r="AE73" i="130"/>
  <c r="AG73" i="130"/>
  <c r="AH73" i="130"/>
  <c r="AI73" i="130"/>
  <c r="AK73" i="130"/>
  <c r="AL73" i="130"/>
  <c r="AM73" i="130"/>
  <c r="AN73" i="130"/>
  <c r="AP73" i="130"/>
  <c r="AQ73" i="130"/>
  <c r="AR73" i="130"/>
  <c r="AS73" i="130"/>
  <c r="AT73" i="130"/>
  <c r="AU73" i="130"/>
  <c r="AV73" i="130"/>
  <c r="AW73" i="130"/>
  <c r="AY73" i="130"/>
  <c r="AE74" i="130"/>
  <c r="AG74" i="130"/>
  <c r="AH74" i="130"/>
  <c r="AI74" i="130"/>
  <c r="AK74" i="130"/>
  <c r="AL74" i="130"/>
  <c r="AM74" i="130"/>
  <c r="AN74" i="130"/>
  <c r="AP74" i="130"/>
  <c r="AQ74" i="130"/>
  <c r="AR74" i="130"/>
  <c r="AS74" i="130"/>
  <c r="AT74" i="130"/>
  <c r="AU74" i="130"/>
  <c r="AV74" i="130"/>
  <c r="AW74" i="130"/>
  <c r="AY74" i="130"/>
  <c r="AE75" i="130"/>
  <c r="AG75" i="130"/>
  <c r="AH75" i="130"/>
  <c r="AI75" i="130"/>
  <c r="AK75" i="130"/>
  <c r="AL75" i="130"/>
  <c r="AM75" i="130"/>
  <c r="AN75" i="130"/>
  <c r="AP75" i="130"/>
  <c r="AQ75" i="130"/>
  <c r="AR75" i="130"/>
  <c r="AS75" i="130"/>
  <c r="AT75" i="130"/>
  <c r="AU75" i="130"/>
  <c r="AV75" i="130"/>
  <c r="AW75" i="130"/>
  <c r="AY75" i="130"/>
  <c r="AE76" i="130"/>
  <c r="AG76" i="130"/>
  <c r="AH76" i="130"/>
  <c r="AI76" i="130"/>
  <c r="AK76" i="130"/>
  <c r="AL76" i="130"/>
  <c r="AM76" i="130"/>
  <c r="AN76" i="130"/>
  <c r="AP76" i="130"/>
  <c r="AQ76" i="130"/>
  <c r="AR76" i="130"/>
  <c r="AS76" i="130"/>
  <c r="AT76" i="130"/>
  <c r="AU76" i="130"/>
  <c r="AV76" i="130"/>
  <c r="AW76" i="130"/>
  <c r="AY76" i="130"/>
  <c r="AE77" i="130"/>
  <c r="AG77" i="130"/>
  <c r="AH77" i="130"/>
  <c r="AI77" i="130"/>
  <c r="AK77" i="130"/>
  <c r="AL77" i="130"/>
  <c r="AM77" i="130"/>
  <c r="AN77" i="130"/>
  <c r="AP77" i="130"/>
  <c r="AQ77" i="130"/>
  <c r="AR77" i="130"/>
  <c r="AS77" i="130"/>
  <c r="AT77" i="130"/>
  <c r="AU77" i="130"/>
  <c r="AV77" i="130"/>
  <c r="AW77" i="130"/>
  <c r="AY77" i="130"/>
  <c r="AE78" i="130"/>
  <c r="AG78" i="130"/>
  <c r="AH78" i="130"/>
  <c r="AI78" i="130"/>
  <c r="AK78" i="130"/>
  <c r="AL78" i="130"/>
  <c r="AM78" i="130"/>
  <c r="AN78" i="130"/>
  <c r="AP78" i="130"/>
  <c r="AQ78" i="130"/>
  <c r="AR78" i="130"/>
  <c r="AS78" i="130"/>
  <c r="AT78" i="130"/>
  <c r="AU78" i="130"/>
  <c r="AV78" i="130"/>
  <c r="AW78" i="130"/>
  <c r="AY78" i="130"/>
  <c r="AE79" i="130"/>
  <c r="AG79" i="130"/>
  <c r="AH79" i="130"/>
  <c r="AI79" i="130"/>
  <c r="AK79" i="130"/>
  <c r="AL79" i="130"/>
  <c r="AM79" i="130"/>
  <c r="AN79" i="130"/>
  <c r="AP79" i="130"/>
  <c r="AQ79" i="130"/>
  <c r="AR79" i="130"/>
  <c r="AS79" i="130"/>
  <c r="AT79" i="130"/>
  <c r="AU79" i="130"/>
  <c r="AV79" i="130"/>
  <c r="AW79" i="130"/>
  <c r="AY79" i="130"/>
  <c r="AE80" i="130"/>
  <c r="AG80" i="130"/>
  <c r="AH80" i="130"/>
  <c r="AI80" i="130"/>
  <c r="AK80" i="130"/>
  <c r="AL80" i="130"/>
  <c r="AM80" i="130"/>
  <c r="AN80" i="130"/>
  <c r="AP80" i="130"/>
  <c r="AQ80" i="130"/>
  <c r="AR80" i="130"/>
  <c r="AS80" i="130"/>
  <c r="AT80" i="130"/>
  <c r="AU80" i="130"/>
  <c r="AV80" i="130"/>
  <c r="AW80" i="130"/>
  <c r="AY80" i="130"/>
  <c r="AE81" i="130"/>
  <c r="AG81" i="130"/>
  <c r="AH81" i="130"/>
  <c r="AI81" i="130"/>
  <c r="AK81" i="130"/>
  <c r="AL81" i="130"/>
  <c r="AM81" i="130"/>
  <c r="AN81" i="130"/>
  <c r="AP81" i="130"/>
  <c r="AQ81" i="130"/>
  <c r="AR81" i="130"/>
  <c r="AS81" i="130"/>
  <c r="AT81" i="130"/>
  <c r="AU81" i="130"/>
  <c r="AV81" i="130"/>
  <c r="AW81" i="130"/>
  <c r="AY81" i="130"/>
  <c r="AE82" i="130"/>
  <c r="AG82" i="130"/>
  <c r="AH82" i="130"/>
  <c r="AI82" i="130"/>
  <c r="AK82" i="130"/>
  <c r="AL82" i="130"/>
  <c r="AM82" i="130"/>
  <c r="AN82" i="130"/>
  <c r="AP82" i="130"/>
  <c r="AQ82" i="130"/>
  <c r="AR82" i="130"/>
  <c r="AS82" i="130"/>
  <c r="AT82" i="130"/>
  <c r="AU82" i="130"/>
  <c r="AV82" i="130"/>
  <c r="AW82" i="130"/>
  <c r="AY82" i="130"/>
  <c r="AE83" i="130"/>
  <c r="AG83" i="130"/>
  <c r="AH83" i="130"/>
  <c r="AI83" i="130"/>
  <c r="AK83" i="130"/>
  <c r="AL83" i="130"/>
  <c r="AM83" i="130"/>
  <c r="AN83" i="130"/>
  <c r="AP83" i="130"/>
  <c r="AQ83" i="130"/>
  <c r="AR83" i="130"/>
  <c r="AS83" i="130"/>
  <c r="AT83" i="130"/>
  <c r="AU83" i="130"/>
  <c r="AV83" i="130"/>
  <c r="AW83" i="130"/>
  <c r="AY83" i="130"/>
  <c r="AE84" i="130"/>
  <c r="AG84" i="130"/>
  <c r="AH84" i="130"/>
  <c r="AI84" i="130"/>
  <c r="AK84" i="130"/>
  <c r="AL84" i="130"/>
  <c r="AM84" i="130"/>
  <c r="AN84" i="130"/>
  <c r="AP84" i="130"/>
  <c r="AQ84" i="130"/>
  <c r="AR84" i="130"/>
  <c r="AS84" i="130"/>
  <c r="AT84" i="130"/>
  <c r="AU84" i="130"/>
  <c r="AV84" i="130"/>
  <c r="AW84" i="130"/>
  <c r="AY84" i="130"/>
  <c r="AE85" i="130"/>
  <c r="AG85" i="130"/>
  <c r="AH85" i="130"/>
  <c r="AI85" i="130"/>
  <c r="AK85" i="130"/>
  <c r="AL85" i="130"/>
  <c r="AM85" i="130"/>
  <c r="AN85" i="130"/>
  <c r="AP85" i="130"/>
  <c r="AT85" i="130"/>
  <c r="AU85" i="130"/>
  <c r="AV85" i="130"/>
  <c r="AE86" i="130"/>
  <c r="AG86" i="130"/>
  <c r="AH86" i="130"/>
  <c r="AI86" i="130"/>
  <c r="AK86" i="130"/>
  <c r="AL86" i="130"/>
  <c r="AM86" i="130"/>
  <c r="AN86" i="130"/>
  <c r="AP86" i="130"/>
  <c r="AT86" i="130"/>
  <c r="AU86" i="130"/>
  <c r="AV86" i="130"/>
</calcChain>
</file>

<file path=xl/sharedStrings.xml><?xml version="1.0" encoding="utf-8"?>
<sst xmlns="http://schemas.openxmlformats.org/spreadsheetml/2006/main" count="562" uniqueCount="96">
  <si>
    <t>-</t>
  </si>
  <si>
    <t>Yok</t>
  </si>
  <si>
    <t>Doğal Afet Yardımı</t>
  </si>
  <si>
    <t>SGK Prim Kesintisi</t>
  </si>
  <si>
    <t>SGK İşsizlik Primi Kesintisi</t>
  </si>
  <si>
    <t>Yemek Yardımı</t>
  </si>
  <si>
    <t>Evlilik Yardımı</t>
  </si>
  <si>
    <t>Var</t>
  </si>
  <si>
    <t>OCA</t>
  </si>
  <si>
    <t>ŞUB</t>
  </si>
  <si>
    <t>MAR</t>
  </si>
  <si>
    <t>NİS</t>
  </si>
  <si>
    <t>MAY</t>
  </si>
  <si>
    <t>HAZ</t>
  </si>
  <si>
    <t>TEM</t>
  </si>
  <si>
    <t>AĞU</t>
  </si>
  <si>
    <t>EYL</t>
  </si>
  <si>
    <t>EKİ</t>
  </si>
  <si>
    <t>KAS</t>
  </si>
  <si>
    <t>ARA</t>
  </si>
  <si>
    <t>Annelik İzni</t>
  </si>
  <si>
    <t>Analık Hâli İzni</t>
  </si>
  <si>
    <t>Babalık İzni</t>
  </si>
  <si>
    <t>Süt İzni</t>
  </si>
  <si>
    <t>Engelli Çocuk İzni</t>
  </si>
  <si>
    <t>Evlat Edinme İzni</t>
  </si>
  <si>
    <t>Doğal Afet İzni</t>
  </si>
  <si>
    <t>Ulaşım Yardımı</t>
  </si>
  <si>
    <t>Normal Çalışma</t>
  </si>
  <si>
    <t>BES Kesintisi</t>
  </si>
  <si>
    <t>Damga Vergisi Kesintisi</t>
  </si>
  <si>
    <t>Gelir Vergisi Kesintisi</t>
  </si>
  <si>
    <t>İkramiye Yardımı</t>
  </si>
  <si>
    <t>Nakdi Yardımlar</t>
  </si>
  <si>
    <t>Sendika Üyelik Aidatı Kesintisi</t>
  </si>
  <si>
    <t>Ücretli Sendikal İzin ve Sendika Temsilci Sayısı</t>
  </si>
  <si>
    <t>İş Arama İzni</t>
  </si>
  <si>
    <t>Ücretli Yıllık İzin</t>
  </si>
  <si>
    <t>Kazançlar</t>
  </si>
  <si>
    <t>Kesintiler</t>
  </si>
  <si>
    <t>Cenaze İzni</t>
  </si>
  <si>
    <t>Evlilik İzni</t>
  </si>
  <si>
    <t>Mazeret İzni</t>
  </si>
  <si>
    <t>Yol İzni</t>
  </si>
  <si>
    <t>a) İşçinin eşinin doğum yapması hâlinde 5 takvim günü ücretli sosyal izin verilir.</t>
  </si>
  <si>
    <t>a) İşçinin ikamet ettiği konutun doğal afet nedeniyle hasara uğraması hâlinde 10 iş günü ücretli sosyal izin verilir.</t>
  </si>
  <si>
    <t>a) Yıllık ücretli izinleri işyerinin kurulu bulunduğu yerden başka bir yerde geçirecek olanlara istemde bulunmaları ve bu hususu belgelemeleri koşulu ile gidiş ve dönüşlerinde yolda geçecek süreleri karşılamak üzere işveren toplam 4 güne kadar ücretsiz yol izni vermek zorundadır.
(Yıllık Ücretli İzin Yönetmeliği / Madde 6)</t>
  </si>
  <si>
    <t>Yıllık Toplam</t>
  </si>
  <si>
    <t xml:space="preserve">   Yemek Yardımı</t>
  </si>
  <si>
    <t xml:space="preserve">   Nakdi Yardımlar
   Sürekliliği Olmayan Yardımlar</t>
  </si>
  <si>
    <t>Cenaze Yardımı (Anne-Baba)</t>
  </si>
  <si>
    <t>Cenaze Yardımı (Eş-Çocuk)</t>
  </si>
  <si>
    <t>Cenaze Yardımı (İşçi-İş Kazası Sonucu)</t>
  </si>
  <si>
    <t>Cenaze Yardımı (İşçi-Tabii Sebepler Sonucu)</t>
  </si>
  <si>
    <t>Eğitim Yardımı (İşçi-Lise)</t>
  </si>
  <si>
    <t>Eğitim Yardımı (İşçi-Yükseköğretim)</t>
  </si>
  <si>
    <t>Eğitim Yardımı (Çocuk-İlköğretim)</t>
  </si>
  <si>
    <t>Eğitim Yardımı (Çocuk-Ortaöğretim)</t>
  </si>
  <si>
    <t>Eğitim Yardımı (Çocuk-Lise)</t>
  </si>
  <si>
    <t>Eğitim Yardımı (Çocuk-Yükseköğretim)</t>
  </si>
  <si>
    <t xml:space="preserve">   Toplam Kazanç
   Net</t>
  </si>
  <si>
    <t>İşveren Maliyeti</t>
  </si>
  <si>
    <t>a) 3 yaşını doldurmamış çocuğu evlat edinen eşlerden birine veya evlat edinene çocuğun aileye fiilen teslim edildiği tarihten itibaren 8 hafta analık hâli izni kullandırılır.
(4857 sayılı İş Kanunu / Madde 74)</t>
  </si>
  <si>
    <t>Miktar</t>
  </si>
  <si>
    <t xml:space="preserve">   Çocuk Yardımı</t>
  </si>
  <si>
    <t>Bayram Yardımı (Kurban)</t>
  </si>
  <si>
    <t>Bayram Yardımı (Ramazan)</t>
  </si>
  <si>
    <r>
      <t xml:space="preserve">   Sonraki Ayın 5'inde
   </t>
    </r>
    <r>
      <rPr>
        <b/>
        <sz val="16"/>
        <rFont val="Calibri"/>
        <family val="2"/>
        <charset val="162"/>
        <scheme val="minor"/>
      </rPr>
      <t>Net</t>
    </r>
  </si>
  <si>
    <t>Yakacak Yardımı</t>
  </si>
  <si>
    <t>Çocuk Yardımı</t>
  </si>
  <si>
    <t>Temizlik Sorumlusu</t>
  </si>
  <si>
    <t>Temizlik Görevlisi</t>
  </si>
  <si>
    <t>a) İşçinin eşinin veya çocuğunun vefatı hâlinde 5 iş günü ücretli sosyal izin verilir.
b) İşçinin annesinin, babasının veya kardeşinin vefatı hâlinde 5 iş günü ücretli sosyal izin verilir.
c) İşçinin eşinin annesinin, babasının veya kardeşinin vefatı hâlinde 5 iş günü ücretli sosyal izin verilir.
d) İşçinin amcasının, halasının, dayısının, teyzesinin, dedesinin veya ninesinin vefatı hâlinde 0 iş günü ücretli sosyal izin verilir.
e) Cenazenin il dışında olması veya il dışına götürülmesi hâlinde işçinin annesinin, babasının, kardeşinin, eşinin veya çocuğunun cenazesi için ilave 0 iş günü amcasının, halasının, dayısının, teyzesinin, dedesinin veya ninesinin cenazesi için ilave 0 iş günü ücretli sosyal izin verilir.
f) İşçilerden birinin vefatı hâlinde cenaze işlemleri veya katılımı için ihtiyaç kadar işçiye ücretli sosyal izin verilir.
g) Vefat eden kişi birden fazla personelin yakını ise cenaze izni her personele ayrı ayrı verilir.</t>
  </si>
  <si>
    <t>a) İşçinin evlenmesi hâlinde 7 iş günü ücretli sosyal izin verilir.
b) İşçinin çocuğunun evlenmesi hâlinde 0 iş günü ücretli sosyal izin verilir.
c) İşçinin evliliğinde, evlilik izninin hangi şekilde kullanılacağı işçinin talebi doğrultusunda değerlendirilir.</t>
  </si>
  <si>
    <t>a) İşçilere, gerekli ve geçerli mazeretleri hâlinde işverenin takdirine bağlı olarak yılda 0 iş günü ücretli sosyal izin verilir.
b) İşçilere, gerekli ve geçerli mazeretleri hâlinde işverenin takdirine bağlı olarak yılda 0 aya kadar ücretsiz sosyal izin verilebilir. Genel müdürün uygun görmesi hâlinde 0 aya kadar uzatılabilir.</t>
  </si>
  <si>
    <t>a) Toplu iş sözleşmesi yapmak üzere yetkisi kesinleşen sendika; 
işyerinde işçi sayısı 50’ye kadar ise 1,
51 ile 100 arasında ise en çok 2,
101 ile 500 arasında ise en çok 3,
501 ile 1000 arasında ise en çok 4,
1001 ile 2000 arasında ise en çok 6,
2000’den fazla ise en çok 8 işyeri sendika temsilcisini işyerinde çalışan üyeleri arasından atayarak 15 gün içinde kimliklerini işverene bildirir. Bunlardan biri baş temsilci olarak görevlendirilebilir. Temsilcilerin görevi, sendikanın yetkisi süresince devam eder.
(6356 sayılı Sendikalar ve Toplu İş Sözleşmesi Kanunu / Madde 27)</t>
  </si>
  <si>
    <t>a) Hizmeti 6 ay olanlar için 0 iş günü ücretli yıllık izin verilir.
Hizmeti 1-5 yıl olanlar için 18 iş günü ücretli yıllık izin verilir.
Hizmeti 5-10 yıl olanlar için 23 iş günü ücretli yıllık izin verilir.
Hizmeti 10-15 yıl olanlar için 23 iş günü ücretli yıllık izin verilir.
Hizmeti 15 yıldan fazla olanlar için 28 iş günü ücretli yıllık izin verilir.</t>
  </si>
  <si>
    <t>Sosyal Yardım</t>
  </si>
  <si>
    <t xml:space="preserve">   BES Kesintisi</t>
  </si>
  <si>
    <t xml:space="preserve">   Kıdem Yardımı</t>
  </si>
  <si>
    <t>Toplam</t>
  </si>
  <si>
    <t>Ortalama</t>
  </si>
  <si>
    <r>
      <t xml:space="preserve">   Fazla Çalışma
   </t>
    </r>
    <r>
      <rPr>
        <b/>
        <sz val="16"/>
        <rFont val="Calibri"/>
        <family val="2"/>
        <charset val="162"/>
        <scheme val="minor"/>
      </rPr>
      <t>% 60</t>
    </r>
  </si>
  <si>
    <r>
      <t xml:space="preserve">   Fazla Sürelerle Çalışma
   </t>
    </r>
    <r>
      <rPr>
        <b/>
        <sz val="16"/>
        <rFont val="Calibri"/>
        <family val="2"/>
        <charset val="162"/>
        <scheme val="minor"/>
      </rPr>
      <t>% 25</t>
    </r>
  </si>
  <si>
    <t>Fazla Çalışma (% 60)</t>
  </si>
  <si>
    <t>Fazla Sürelerle Çalışma (% 25)</t>
  </si>
  <si>
    <t>Resmi Tatillerde Çalışma (% 100)</t>
  </si>
  <si>
    <r>
      <t xml:space="preserve">   Resmi Tatillerde Çalışma
   </t>
    </r>
    <r>
      <rPr>
        <b/>
        <sz val="16"/>
        <rFont val="Calibri"/>
        <family val="2"/>
        <charset val="162"/>
        <scheme val="minor"/>
      </rPr>
      <t>% 100</t>
    </r>
  </si>
  <si>
    <r>
      <t xml:space="preserve">   Gece Çalışma
   </t>
    </r>
    <r>
      <rPr>
        <b/>
        <sz val="16"/>
        <rFont val="Calibri"/>
        <family val="2"/>
        <charset val="162"/>
        <scheme val="minor"/>
      </rPr>
      <t>% 15</t>
    </r>
  </si>
  <si>
    <t>Gece Çalışma (% 15)</t>
  </si>
  <si>
    <r>
      <t xml:space="preserve">   Sonraki Ayın 5'inde
   Fazla Çalışma (Gündüz-Gece-Resmi Tatil)
   Yemek Yardımı
   </t>
    </r>
    <r>
      <rPr>
        <b/>
        <sz val="16"/>
        <rFont val="Calibri"/>
        <family val="2"/>
        <charset val="162"/>
        <scheme val="minor"/>
      </rPr>
      <t>Net</t>
    </r>
  </si>
  <si>
    <r>
      <t xml:space="preserve">a) Kadın işçilerin </t>
    </r>
    <r>
      <rPr>
        <b/>
        <sz val="16"/>
        <color theme="0"/>
        <rFont val="Calibri"/>
        <family val="2"/>
        <charset val="162"/>
        <scheme val="minor"/>
      </rPr>
      <t>doğumdan önce 8 ve doğumdan sonra 8 hafta</t>
    </r>
    <r>
      <rPr>
        <sz val="16"/>
        <color theme="0"/>
        <rFont val="Calibri"/>
        <family val="2"/>
        <charset val="162"/>
        <scheme val="minor"/>
      </rPr>
      <t xml:space="preserve"> olmak üzere toplam 16 haftalık süre için çalıştırılmamaları esastır.
(4857 sayılı İş Kanunu / Madde 74)</t>
    </r>
  </si>
  <si>
    <r>
      <t xml:space="preserve">a) İşçilerin en az %70 oranında engelli veya süreğen hastalığı olan çocuğunun tedavisinde, hastalık raporuna dayalı olarak ve çalışan ebeveynden sadece biri tarafından kullanılması kaydıyla, </t>
    </r>
    <r>
      <rPr>
        <b/>
        <sz val="16"/>
        <color theme="0"/>
        <rFont val="Calibri"/>
        <family val="2"/>
        <charset val="162"/>
        <scheme val="minor"/>
      </rPr>
      <t>bir yıl içinde toptan veya bölümler hâlinde 10 güne kadar</t>
    </r>
    <r>
      <rPr>
        <sz val="16"/>
        <color theme="0"/>
        <rFont val="Calibri"/>
        <family val="2"/>
        <charset val="162"/>
        <scheme val="minor"/>
      </rPr>
      <t xml:space="preserve"> ücretli izin verilir.
(4857 sayılı İş Kanunu / Ek Madde 2)</t>
    </r>
  </si>
  <si>
    <r>
      <t xml:space="preserve">a) İşçiye; evlat edinmesi hâlinde </t>
    </r>
    <r>
      <rPr>
        <b/>
        <sz val="16"/>
        <color theme="0"/>
        <rFont val="Calibri"/>
        <family val="2"/>
        <charset val="162"/>
        <scheme val="minor"/>
      </rPr>
      <t>3 gün</t>
    </r>
    <r>
      <rPr>
        <sz val="16"/>
        <color theme="0"/>
        <rFont val="Calibri"/>
        <family val="2"/>
        <charset val="162"/>
        <scheme val="minor"/>
      </rPr>
      <t xml:space="preserve"> ücretli izin verilir.
(4857 sayılı İş Kanunu / Ek Madde 2)</t>
    </r>
  </si>
  <si>
    <r>
      <t xml:space="preserve">a) Bildirim süreleri içinde işveren, işçiye yeni bir iş bulması için gerekli olan iş arama iznini iş saatleri içinde ve ücret kesintisi yapmadan vermeye mecburdur. İş arama izninin süresi </t>
    </r>
    <r>
      <rPr>
        <b/>
        <sz val="16"/>
        <color theme="0"/>
        <rFont val="Calibri"/>
        <family val="2"/>
        <charset val="162"/>
        <scheme val="minor"/>
      </rPr>
      <t>günde 2 saatten az olamaz</t>
    </r>
    <r>
      <rPr>
        <sz val="16"/>
        <color theme="0"/>
        <rFont val="Calibri"/>
        <family val="2"/>
        <charset val="162"/>
        <scheme val="minor"/>
      </rPr>
      <t xml:space="preserve"> ve işçi isterse iş arama izin saatlerini birleştirerek toplu kullanabilir.
(4857 sayılı İş Kanunu / Madde 27)</t>
    </r>
  </si>
  <si>
    <r>
      <t xml:space="preserve">a) Kadın işçilere bir yaşından küçük çocuklarını emzirmeleri için </t>
    </r>
    <r>
      <rPr>
        <b/>
        <sz val="16"/>
        <color theme="0"/>
        <rFont val="Calibri"/>
        <family val="2"/>
        <charset val="162"/>
        <scheme val="minor"/>
      </rPr>
      <t>günde toplam 1,5 saat</t>
    </r>
    <r>
      <rPr>
        <sz val="16"/>
        <color theme="0"/>
        <rFont val="Calibri"/>
        <family val="2"/>
        <charset val="162"/>
        <scheme val="minor"/>
      </rPr>
      <t xml:space="preserve"> süt izni verilir.
(4857 sayılı İş Kanunu / Madde 74)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</si>
</sst>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dd/mm/yyyy;@"/>
    <numFmt numFmtId="165" formatCode="0\ &quot;Gün&quot;"/>
    <numFmt numFmtId="166" formatCode="#,##0.00\ &quot;₺&quot;"/>
    <numFmt numFmtId="167" formatCode="0.000000"/>
    <numFmt numFmtId="168" formatCode="%\ 0"/>
    <numFmt numFmtId="169" formatCode="%\ 0.00"/>
    <numFmt numFmtId="171" formatCode="General\ &quot;₺&quot;"/>
    <numFmt numFmtId="173" formatCode="0.0000000"/>
    <numFmt numFmtId="175" formatCode="0.0"/>
  </numFmts>
  <fonts count="16" x14ac:knownFonts="1">
    <font>
      <sz val="11"/>
      <color rgb="FF000000"/>
      <name val="Calibri"/>
      <family val="2"/>
      <charset val="1"/>
    </font>
    <font>
      <sz val="11"/>
      <color rgb="FF000000"/>
      <name val="Calibri"/>
      <family val="2"/>
      <charset val="162"/>
    </font>
    <font>
      <sz val="11"/>
      <color rgb="FF000000"/>
      <name val="Calibri"/>
      <family val="2"/>
      <charset val="1"/>
    </font>
    <font>
      <sz val="10"/>
      <name val="Arial Tur"/>
      <charset val="162"/>
    </font>
    <font>
      <sz val="8"/>
      <name val="Calibri"/>
      <family val="2"/>
      <charset val="1"/>
    </font>
    <font>
      <sz val="16"/>
      <name val="Calibri"/>
      <family val="2"/>
      <charset val="162"/>
      <scheme val="minor"/>
    </font>
    <font>
      <b/>
      <sz val="16"/>
      <name val="Calibri"/>
      <family val="2"/>
      <charset val="162"/>
      <scheme val="minor"/>
    </font>
    <font>
      <sz val="16"/>
      <color rgb="FFFF0000"/>
      <name val="Calibri"/>
      <family val="2"/>
      <charset val="162"/>
      <scheme val="minor"/>
    </font>
    <font>
      <sz val="20"/>
      <name val="Calibri"/>
      <family val="2"/>
      <charset val="162"/>
      <scheme val="minor"/>
    </font>
    <font>
      <sz val="20"/>
      <color rgb="FFFF0000"/>
      <name val="Calibri"/>
      <family val="2"/>
      <charset val="162"/>
      <scheme val="minor"/>
    </font>
    <font>
      <b/>
      <sz val="22"/>
      <name val="Calibri"/>
      <family val="2"/>
      <charset val="162"/>
      <scheme val="minor"/>
    </font>
    <font>
      <b/>
      <sz val="22"/>
      <color rgb="FFFF0000"/>
      <name val="Calibri"/>
      <family val="2"/>
      <charset val="162"/>
      <scheme val="minor"/>
    </font>
    <font>
      <sz val="15"/>
      <name val="Calibri"/>
      <family val="2"/>
      <charset val="162"/>
      <scheme val="minor"/>
    </font>
    <font>
      <b/>
      <sz val="14"/>
      <name val="Calibri"/>
      <family val="2"/>
      <charset val="162"/>
      <scheme val="minor"/>
    </font>
    <font>
      <sz val="16"/>
      <color theme="0"/>
      <name val="Calibri"/>
      <family val="2"/>
      <charset val="162"/>
      <scheme val="minor"/>
    </font>
    <font>
      <b/>
      <sz val="16"/>
      <color theme="0"/>
      <name val="Calibri"/>
      <family val="2"/>
      <charset val="162"/>
      <scheme val="minor"/>
    </font>
  </fonts>
  <fills count="7">
    <fill>
      <patternFill patternType="none"/>
    </fill>
    <fill>
      <patternFill patternType="gray125"/>
    </fill>
    <fill>
      <patternFill patternType="solid">
        <fgColor theme="0" tint="-0.14999847407452621"/>
        <bgColor indexed="64"/>
      </patternFill>
    </fill>
    <fill>
      <patternFill patternType="solid">
        <fgColor rgb="FFC8E1B4"/>
        <bgColor indexed="64"/>
      </patternFill>
    </fill>
    <fill>
      <patternFill patternType="solid">
        <fgColor theme="8" tint="0.79998168889431442"/>
        <bgColor indexed="64"/>
      </patternFill>
    </fill>
    <fill>
      <patternFill patternType="solid">
        <fgColor rgb="FFC8E1B4"/>
        <bgColor rgb="FFC5E0B4"/>
      </patternFill>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6">
    <xf numFmtId="0" fontId="0" fillId="0" borderId="0"/>
    <xf numFmtId="0" fontId="1" fillId="0" borderId="0"/>
    <xf numFmtId="0" fontId="3" fillId="0" borderId="0"/>
    <xf numFmtId="0" fontId="2" fillId="0" borderId="0"/>
    <xf numFmtId="9" fontId="3" fillId="0" borderId="0" applyFont="0" applyFill="0" applyBorder="0" applyAlignment="0" applyProtection="0"/>
    <xf numFmtId="0" fontId="3" fillId="0" borderId="0" applyFont="0" applyFill="0" applyBorder="0" applyAlignment="0" applyProtection="0"/>
  </cellStyleXfs>
  <cellXfs count="84">
    <xf numFmtId="0" fontId="0" fillId="0" borderId="0" xfId="0"/>
    <xf numFmtId="171" fontId="9" fillId="2" borderId="1" xfId="2" applyNumberFormat="1" applyFont="1" applyFill="1" applyBorder="1" applyAlignment="1" applyProtection="1">
      <alignment horizontal="center" vertical="center" textRotation="90" wrapText="1"/>
      <protection hidden="1"/>
    </xf>
    <xf numFmtId="2" fontId="5" fillId="2" borderId="1" xfId="2" applyNumberFormat="1" applyFont="1" applyFill="1" applyBorder="1" applyAlignment="1" applyProtection="1">
      <alignment horizontal="center" textRotation="90" wrapText="1"/>
      <protection hidden="1"/>
    </xf>
    <xf numFmtId="2" fontId="5" fillId="2" borderId="10" xfId="0" applyNumberFormat="1" applyFont="1" applyFill="1" applyBorder="1" applyAlignment="1" applyProtection="1">
      <alignment horizontal="center" textRotation="90" wrapText="1"/>
      <protection hidden="1"/>
    </xf>
    <xf numFmtId="2" fontId="5" fillId="2" borderId="5" xfId="2" applyNumberFormat="1" applyFont="1" applyFill="1" applyBorder="1" applyAlignment="1" applyProtection="1">
      <alignment horizontal="center" textRotation="90" wrapText="1"/>
      <protection hidden="1"/>
    </xf>
    <xf numFmtId="2" fontId="5" fillId="2" borderId="6" xfId="2" applyNumberFormat="1" applyFont="1" applyFill="1" applyBorder="1" applyAlignment="1" applyProtection="1">
      <alignment horizontal="center" textRotation="90" wrapText="1"/>
      <protection hidden="1"/>
    </xf>
    <xf numFmtId="2" fontId="5" fillId="2" borderId="7" xfId="2" applyNumberFormat="1" applyFont="1" applyFill="1" applyBorder="1" applyAlignment="1" applyProtection="1">
      <alignment horizontal="center" textRotation="90" wrapText="1"/>
      <protection hidden="1"/>
    </xf>
    <xf numFmtId="2" fontId="7" fillId="2" borderId="1" xfId="2" applyNumberFormat="1" applyFont="1" applyFill="1" applyBorder="1" applyAlignment="1" applyProtection="1">
      <alignment horizontal="center" textRotation="90" wrapText="1"/>
      <protection hidden="1"/>
    </xf>
    <xf numFmtId="0" fontId="5" fillId="2" borderId="1" xfId="2" applyFont="1" applyFill="1" applyBorder="1" applyAlignment="1" applyProtection="1">
      <alignment horizontal="center" vertical="center"/>
      <protection hidden="1"/>
    </xf>
    <xf numFmtId="0" fontId="5" fillId="2" borderId="5" xfId="0" applyFont="1" applyFill="1" applyBorder="1" applyAlignment="1" applyProtection="1">
      <alignment horizontal="center" vertical="center" wrapText="1"/>
      <protection hidden="1"/>
    </xf>
    <xf numFmtId="0" fontId="5" fillId="2" borderId="6" xfId="0" applyFont="1" applyFill="1" applyBorder="1" applyAlignment="1" applyProtection="1">
      <alignment horizontal="center" vertical="center" wrapText="1"/>
      <protection hidden="1"/>
    </xf>
    <xf numFmtId="0" fontId="5" fillId="2" borderId="7" xfId="0" applyFont="1" applyFill="1" applyBorder="1" applyAlignment="1" applyProtection="1">
      <alignment horizontal="center" vertical="center" wrapText="1"/>
      <protection hidden="1"/>
    </xf>
    <xf numFmtId="0" fontId="5" fillId="0" borderId="0" xfId="2" applyFont="1" applyAlignment="1" applyProtection="1">
      <alignment horizontal="center" vertical="center"/>
      <protection hidden="1"/>
    </xf>
    <xf numFmtId="2" fontId="5" fillId="2" borderId="11" xfId="0" applyNumberFormat="1" applyFont="1" applyFill="1" applyBorder="1" applyAlignment="1" applyProtection="1">
      <alignment horizontal="center" textRotation="90" wrapText="1"/>
      <protection hidden="1"/>
    </xf>
    <xf numFmtId="2" fontId="5" fillId="2" borderId="8" xfId="2" applyNumberFormat="1" applyFont="1" applyFill="1" applyBorder="1" applyAlignment="1" applyProtection="1">
      <alignment horizontal="center" textRotation="90" wrapText="1"/>
      <protection hidden="1"/>
    </xf>
    <xf numFmtId="2" fontId="5" fillId="2" borderId="0" xfId="2" applyNumberFormat="1" applyFont="1" applyFill="1" applyBorder="1" applyAlignment="1" applyProtection="1">
      <alignment horizontal="center" textRotation="90" wrapText="1"/>
      <protection hidden="1"/>
    </xf>
    <xf numFmtId="2" fontId="5" fillId="2" borderId="9" xfId="2" applyNumberFormat="1" applyFont="1" applyFill="1" applyBorder="1" applyAlignment="1" applyProtection="1">
      <alignment horizontal="center" textRotation="90" wrapText="1"/>
      <protection hidden="1"/>
    </xf>
    <xf numFmtId="0" fontId="5" fillId="2" borderId="8" xfId="0" applyFont="1" applyFill="1" applyBorder="1" applyAlignment="1" applyProtection="1">
      <alignment horizontal="center" vertical="center" wrapText="1"/>
      <protection hidden="1"/>
    </xf>
    <xf numFmtId="0" fontId="5" fillId="2" borderId="0" xfId="0" applyFont="1" applyFill="1" applyAlignment="1" applyProtection="1">
      <alignment horizontal="left" vertical="center" wrapText="1"/>
      <protection hidden="1"/>
    </xf>
    <xf numFmtId="0" fontId="5" fillId="2" borderId="9" xfId="0" applyFont="1" applyFill="1" applyBorder="1" applyAlignment="1" applyProtection="1">
      <alignment horizontal="center" vertical="center" wrapText="1"/>
      <protection hidden="1"/>
    </xf>
    <xf numFmtId="169" fontId="5" fillId="2" borderId="1" xfId="2" applyNumberFormat="1" applyFont="1" applyFill="1" applyBorder="1" applyAlignment="1" applyProtection="1">
      <alignment horizontal="center" vertical="center"/>
      <protection hidden="1"/>
    </xf>
    <xf numFmtId="0" fontId="5" fillId="2" borderId="1" xfId="2" applyFont="1" applyFill="1" applyBorder="1" applyAlignment="1" applyProtection="1">
      <alignment horizontal="center" vertical="center"/>
      <protection hidden="1"/>
    </xf>
    <xf numFmtId="4" fontId="5" fillId="2" borderId="1" xfId="2" applyNumberFormat="1" applyFont="1" applyFill="1" applyBorder="1" applyAlignment="1" applyProtection="1">
      <alignment horizontal="center" vertical="center"/>
      <protection hidden="1"/>
    </xf>
    <xf numFmtId="2" fontId="5" fillId="2" borderId="12" xfId="0" applyNumberFormat="1" applyFont="1" applyFill="1" applyBorder="1" applyAlignment="1" applyProtection="1">
      <alignment horizontal="center" textRotation="90" wrapText="1"/>
      <protection hidden="1"/>
    </xf>
    <xf numFmtId="2" fontId="5" fillId="2" borderId="2" xfId="2" applyNumberFormat="1" applyFont="1" applyFill="1" applyBorder="1" applyAlignment="1" applyProtection="1">
      <alignment horizontal="center" textRotation="90" wrapText="1"/>
      <protection hidden="1"/>
    </xf>
    <xf numFmtId="2" fontId="5" fillId="2" borderId="3" xfId="2" applyNumberFormat="1" applyFont="1" applyFill="1" applyBorder="1" applyAlignment="1" applyProtection="1">
      <alignment horizontal="center" textRotation="90" wrapText="1"/>
      <protection hidden="1"/>
    </xf>
    <xf numFmtId="2" fontId="5" fillId="2" borderId="4" xfId="2" applyNumberFormat="1" applyFont="1" applyFill="1" applyBorder="1" applyAlignment="1" applyProtection="1">
      <alignment horizontal="center" textRotation="90" wrapText="1"/>
      <protection hidden="1"/>
    </xf>
    <xf numFmtId="2" fontId="6" fillId="2" borderId="1" xfId="0" applyNumberFormat="1" applyFont="1" applyFill="1" applyBorder="1" applyAlignment="1" applyProtection="1">
      <alignment horizontal="center" vertical="center"/>
      <protection hidden="1"/>
    </xf>
    <xf numFmtId="166" fontId="10" fillId="4" borderId="1" xfId="2" applyNumberFormat="1" applyFont="1" applyFill="1" applyBorder="1" applyAlignment="1" applyProtection="1">
      <alignment horizontal="center" vertical="center"/>
      <protection hidden="1"/>
    </xf>
    <xf numFmtId="166" fontId="11" fillId="4" borderId="1" xfId="2" applyNumberFormat="1" applyFont="1" applyFill="1" applyBorder="1" applyAlignment="1" applyProtection="1">
      <alignment horizontal="center" vertical="center"/>
      <protection hidden="1"/>
    </xf>
    <xf numFmtId="4" fontId="12" fillId="2" borderId="1" xfId="2" applyNumberFormat="1" applyFont="1" applyFill="1" applyBorder="1" applyAlignment="1" applyProtection="1">
      <alignment horizontal="center" vertical="center" wrapText="1"/>
      <protection hidden="1"/>
    </xf>
    <xf numFmtId="4" fontId="13" fillId="2" borderId="1" xfId="2" applyNumberFormat="1" applyFont="1" applyFill="1" applyBorder="1" applyAlignment="1" applyProtection="1">
      <alignment horizontal="center" vertical="center" wrapText="1"/>
      <protection hidden="1"/>
    </xf>
    <xf numFmtId="175" fontId="5" fillId="2" borderId="1" xfId="2" applyNumberFormat="1" applyFont="1" applyFill="1" applyBorder="1" applyAlignment="1" applyProtection="1">
      <alignment horizontal="center" vertical="center"/>
      <protection hidden="1"/>
    </xf>
    <xf numFmtId="1" fontId="5" fillId="2" borderId="1" xfId="2" applyNumberFormat="1" applyFont="1" applyFill="1" applyBorder="1" applyAlignment="1" applyProtection="1">
      <alignment horizontal="center" vertical="center"/>
      <protection hidden="1"/>
    </xf>
    <xf numFmtId="166" fontId="10" fillId="2" borderId="1" xfId="2" applyNumberFormat="1" applyFont="1" applyFill="1" applyBorder="1" applyAlignment="1" applyProtection="1">
      <alignment horizontal="center" vertical="center"/>
      <protection hidden="1"/>
    </xf>
    <xf numFmtId="166" fontId="11" fillId="2" borderId="1" xfId="2" applyNumberFormat="1" applyFont="1" applyFill="1" applyBorder="1" applyAlignment="1" applyProtection="1">
      <alignment horizontal="center" vertical="center"/>
      <protection hidden="1"/>
    </xf>
    <xf numFmtId="0" fontId="5" fillId="2" borderId="2" xfId="0" applyFont="1" applyFill="1" applyBorder="1" applyAlignment="1" applyProtection="1">
      <alignment horizontal="center" vertical="center" wrapText="1"/>
      <protection hidden="1"/>
    </xf>
    <xf numFmtId="0" fontId="5" fillId="2" borderId="3" xfId="0" applyFont="1" applyFill="1" applyBorder="1" applyAlignment="1" applyProtection="1">
      <alignment horizontal="center" vertical="center" wrapText="1"/>
      <protection hidden="1"/>
    </xf>
    <xf numFmtId="0" fontId="5" fillId="2" borderId="4" xfId="0" applyFont="1" applyFill="1" applyBorder="1" applyAlignment="1" applyProtection="1">
      <alignment horizontal="center" vertical="center" wrapText="1"/>
      <protection hidden="1"/>
    </xf>
    <xf numFmtId="0" fontId="5" fillId="0" borderId="0" xfId="2" applyFont="1" applyAlignment="1" applyProtection="1">
      <alignment horizontal="right" vertical="center" indent="1"/>
      <protection hidden="1"/>
    </xf>
    <xf numFmtId="0" fontId="14" fillId="6" borderId="0" xfId="2" applyFont="1" applyFill="1" applyBorder="1" applyAlignment="1" applyProtection="1">
      <alignment horizontal="center" vertical="center" wrapText="1"/>
      <protection hidden="1"/>
    </xf>
    <xf numFmtId="166" fontId="14" fillId="6" borderId="0" xfId="2" applyNumberFormat="1" applyFont="1" applyFill="1" applyBorder="1" applyAlignment="1" applyProtection="1">
      <alignment horizontal="center" vertical="center" wrapText="1"/>
      <protection hidden="1"/>
    </xf>
    <xf numFmtId="0" fontId="14" fillId="6" borderId="0" xfId="2" applyFont="1" applyFill="1" applyBorder="1" applyAlignment="1" applyProtection="1">
      <alignment horizontal="center" vertical="center"/>
      <protection hidden="1"/>
    </xf>
    <xf numFmtId="166" fontId="14" fillId="6" borderId="0" xfId="2" applyNumberFormat="1" applyFont="1" applyFill="1" applyBorder="1" applyAlignment="1" applyProtection="1">
      <alignment horizontal="center" vertical="center"/>
      <protection hidden="1"/>
    </xf>
    <xf numFmtId="165" fontId="14" fillId="6" borderId="0" xfId="2" applyNumberFormat="1" applyFont="1" applyFill="1" applyBorder="1" applyAlignment="1" applyProtection="1">
      <alignment horizontal="center" vertical="center"/>
      <protection hidden="1"/>
    </xf>
    <xf numFmtId="169" fontId="14" fillId="6" borderId="0" xfId="2" applyNumberFormat="1" applyFont="1" applyFill="1" applyBorder="1" applyAlignment="1" applyProtection="1">
      <alignment horizontal="center" vertical="center"/>
      <protection hidden="1"/>
    </xf>
    <xf numFmtId="0" fontId="14" fillId="6" borderId="0" xfId="3" applyFont="1" applyFill="1" applyBorder="1" applyAlignment="1" applyProtection="1">
      <alignment horizontal="center" vertical="center"/>
      <protection hidden="1"/>
    </xf>
    <xf numFmtId="2" fontId="14" fillId="6" borderId="0" xfId="3" applyNumberFormat="1" applyFont="1" applyFill="1" applyBorder="1" applyAlignment="1" applyProtection="1">
      <alignment horizontal="center" vertical="center"/>
      <protection hidden="1"/>
    </xf>
    <xf numFmtId="4" fontId="14" fillId="6" borderId="0" xfId="2" applyNumberFormat="1" applyFont="1" applyFill="1" applyBorder="1" applyAlignment="1" applyProtection="1">
      <alignment horizontal="center" vertical="center"/>
      <protection hidden="1"/>
    </xf>
    <xf numFmtId="164" fontId="14" fillId="6" borderId="0" xfId="2" applyNumberFormat="1" applyFont="1" applyFill="1" applyBorder="1" applyAlignment="1" applyProtection="1">
      <alignment horizontal="center" vertical="center"/>
      <protection hidden="1"/>
    </xf>
    <xf numFmtId="164" fontId="14" fillId="6" borderId="0" xfId="0" applyNumberFormat="1" applyFont="1" applyFill="1" applyBorder="1" applyAlignment="1" applyProtection="1">
      <alignment horizontal="center" vertical="center"/>
      <protection hidden="1"/>
    </xf>
    <xf numFmtId="165" fontId="14" fillId="6" borderId="0" xfId="0" applyNumberFormat="1" applyFont="1" applyFill="1" applyBorder="1" applyAlignment="1" applyProtection="1">
      <alignment horizontal="center" vertical="center"/>
      <protection hidden="1"/>
    </xf>
    <xf numFmtId="166" fontId="14" fillId="6" borderId="0" xfId="0" applyNumberFormat="1" applyFont="1" applyFill="1" applyBorder="1" applyAlignment="1" applyProtection="1">
      <alignment horizontal="center" vertical="center"/>
      <protection hidden="1"/>
    </xf>
    <xf numFmtId="3" fontId="14" fillId="6" borderId="0" xfId="2" applyNumberFormat="1" applyFont="1" applyFill="1" applyBorder="1" applyAlignment="1" applyProtection="1">
      <alignment horizontal="center" vertical="center"/>
      <protection hidden="1"/>
    </xf>
    <xf numFmtId="2" fontId="14" fillId="6" borderId="0" xfId="2" applyNumberFormat="1" applyFont="1" applyFill="1" applyBorder="1" applyAlignment="1" applyProtection="1">
      <alignment horizontal="center" vertical="center"/>
      <protection hidden="1"/>
    </xf>
    <xf numFmtId="2" fontId="14" fillId="6" borderId="0" xfId="2" applyNumberFormat="1" applyFont="1" applyFill="1" applyBorder="1" applyAlignment="1" applyProtection="1">
      <alignment horizontal="center" vertical="center" wrapText="1"/>
      <protection hidden="1"/>
    </xf>
    <xf numFmtId="0" fontId="14" fillId="6" borderId="0" xfId="0" applyFont="1" applyFill="1" applyBorder="1" applyAlignment="1" applyProtection="1">
      <alignment horizontal="center" vertical="center" wrapText="1"/>
      <protection hidden="1"/>
    </xf>
    <xf numFmtId="0" fontId="14" fillId="6" borderId="0" xfId="0" applyFont="1" applyFill="1" applyBorder="1" applyAlignment="1" applyProtection="1">
      <alignment horizontal="right" vertical="center" wrapText="1" indent="1"/>
      <protection hidden="1"/>
    </xf>
    <xf numFmtId="49" fontId="14" fillId="6" borderId="0" xfId="0" applyNumberFormat="1" applyFont="1" applyFill="1" applyBorder="1" applyAlignment="1" applyProtection="1">
      <alignment horizontal="center" vertical="center" wrapText="1"/>
      <protection hidden="1"/>
    </xf>
    <xf numFmtId="49" fontId="14" fillId="6" borderId="0" xfId="2" applyNumberFormat="1" applyFont="1" applyFill="1" applyBorder="1" applyAlignment="1" applyProtection="1">
      <alignment horizontal="center" vertical="center" wrapText="1"/>
      <protection hidden="1"/>
    </xf>
    <xf numFmtId="173" fontId="14" fillId="6" borderId="0" xfId="2" applyNumberFormat="1" applyFont="1" applyFill="1" applyBorder="1" applyAlignment="1" applyProtection="1">
      <alignment horizontal="center" vertical="center" wrapText="1"/>
      <protection hidden="1"/>
    </xf>
    <xf numFmtId="4" fontId="14" fillId="6" borderId="0" xfId="2" applyNumberFormat="1" applyFont="1" applyFill="1" applyBorder="1" applyAlignment="1" applyProtection="1">
      <alignment horizontal="center" vertical="center" wrapText="1"/>
      <protection hidden="1"/>
    </xf>
    <xf numFmtId="2" fontId="14" fillId="6" borderId="0" xfId="2" applyNumberFormat="1" applyFont="1" applyFill="1" applyBorder="1" applyAlignment="1" applyProtection="1">
      <alignment horizontal="right" vertical="center" wrapText="1" indent="1"/>
      <protection hidden="1"/>
    </xf>
    <xf numFmtId="2" fontId="14" fillId="6" borderId="0" xfId="3" applyNumberFormat="1" applyFont="1" applyFill="1" applyBorder="1" applyAlignment="1" applyProtection="1">
      <alignment horizontal="center" vertical="center" wrapText="1"/>
      <protection hidden="1"/>
    </xf>
    <xf numFmtId="166" fontId="14" fillId="6" borderId="0" xfId="3" applyNumberFormat="1" applyFont="1" applyFill="1" applyBorder="1" applyAlignment="1" applyProtection="1">
      <alignment horizontal="center" vertical="center"/>
      <protection hidden="1"/>
    </xf>
    <xf numFmtId="49" fontId="14" fillId="6" borderId="0" xfId="3" applyNumberFormat="1" applyFont="1" applyFill="1" applyBorder="1" applyAlignment="1" applyProtection="1">
      <alignment horizontal="center" vertical="center"/>
      <protection hidden="1"/>
    </xf>
    <xf numFmtId="168" fontId="14" fillId="6" borderId="0" xfId="2" applyNumberFormat="1" applyFont="1" applyFill="1" applyBorder="1" applyAlignment="1" applyProtection="1">
      <alignment horizontal="center" vertical="center"/>
      <protection hidden="1"/>
    </xf>
    <xf numFmtId="169" fontId="14" fillId="6" borderId="0" xfId="4" applyNumberFormat="1" applyFont="1" applyFill="1" applyBorder="1" applyAlignment="1" applyProtection="1">
      <alignment horizontal="center" vertical="center"/>
      <protection hidden="1"/>
    </xf>
    <xf numFmtId="167" fontId="14" fillId="6" borderId="0" xfId="2" applyNumberFormat="1" applyFont="1" applyFill="1" applyBorder="1" applyAlignment="1" applyProtection="1">
      <alignment horizontal="center" vertical="center"/>
      <protection hidden="1"/>
    </xf>
    <xf numFmtId="166" fontId="14" fillId="6" borderId="0" xfId="4" applyNumberFormat="1" applyFont="1" applyFill="1" applyBorder="1" applyAlignment="1" applyProtection="1">
      <alignment horizontal="center" vertical="center"/>
      <protection hidden="1"/>
    </xf>
    <xf numFmtId="0" fontId="5" fillId="2" borderId="10" xfId="0" applyFont="1" applyFill="1" applyBorder="1" applyAlignment="1" applyProtection="1">
      <alignment horizontal="center" vertical="center" wrapText="1"/>
      <protection hidden="1"/>
    </xf>
    <xf numFmtId="0" fontId="5" fillId="2" borderId="11" xfId="0" applyFont="1" applyFill="1" applyBorder="1" applyAlignment="1" applyProtection="1">
      <alignment horizontal="center" vertical="center" wrapText="1"/>
      <protection hidden="1"/>
    </xf>
    <xf numFmtId="0" fontId="5" fillId="2" borderId="12" xfId="0" applyFont="1" applyFill="1" applyBorder="1" applyAlignment="1" applyProtection="1">
      <alignment horizontal="center" vertical="center" wrapText="1"/>
      <protection hidden="1"/>
    </xf>
    <xf numFmtId="0" fontId="5" fillId="0" borderId="10" xfId="2" applyFont="1" applyBorder="1" applyAlignment="1" applyProtection="1">
      <alignment horizontal="center" vertical="center"/>
      <protection hidden="1"/>
    </xf>
    <xf numFmtId="0" fontId="5" fillId="0" borderId="11" xfId="2" applyFont="1" applyBorder="1" applyAlignment="1" applyProtection="1">
      <alignment horizontal="center" vertical="center"/>
      <protection hidden="1"/>
    </xf>
    <xf numFmtId="0" fontId="5" fillId="0" borderId="12" xfId="2" applyFont="1" applyBorder="1" applyAlignment="1" applyProtection="1">
      <alignment horizontal="center" vertical="center"/>
      <protection hidden="1"/>
    </xf>
    <xf numFmtId="2" fontId="8" fillId="3" borderId="1" xfId="2" applyNumberFormat="1" applyFont="1" applyFill="1" applyBorder="1" applyAlignment="1" applyProtection="1">
      <alignment horizontal="center" vertical="center" textRotation="90" wrapText="1"/>
      <protection locked="0" hidden="1"/>
    </xf>
    <xf numFmtId="1" fontId="5" fillId="3" borderId="1" xfId="2" applyNumberFormat="1" applyFont="1" applyFill="1" applyBorder="1" applyAlignment="1" applyProtection="1">
      <alignment horizontal="center" vertical="center"/>
      <protection locked="0" hidden="1"/>
    </xf>
    <xf numFmtId="175" fontId="5" fillId="3" borderId="1" xfId="3" applyNumberFormat="1" applyFont="1" applyFill="1" applyBorder="1" applyAlignment="1" applyProtection="1">
      <alignment horizontal="center" vertical="center"/>
      <protection locked="0" hidden="1"/>
    </xf>
    <xf numFmtId="1" fontId="5" fillId="3" borderId="1" xfId="3" applyNumberFormat="1" applyFont="1" applyFill="1" applyBorder="1" applyAlignment="1" applyProtection="1">
      <alignment horizontal="center" vertical="center"/>
      <protection locked="0" hidden="1"/>
    </xf>
    <xf numFmtId="2" fontId="5" fillId="5" borderId="1" xfId="2" applyNumberFormat="1" applyFont="1" applyFill="1" applyBorder="1" applyAlignment="1" applyProtection="1">
      <alignment horizontal="center" vertical="center" wrapText="1"/>
      <protection locked="0" hidden="1"/>
    </xf>
    <xf numFmtId="168" fontId="5" fillId="3" borderId="1" xfId="2" applyNumberFormat="1" applyFont="1" applyFill="1" applyBorder="1" applyAlignment="1" applyProtection="1">
      <alignment horizontal="center" vertical="center"/>
      <protection locked="0" hidden="1"/>
    </xf>
    <xf numFmtId="0" fontId="5" fillId="3" borderId="1" xfId="2" applyFont="1" applyFill="1" applyBorder="1" applyAlignment="1" applyProtection="1">
      <alignment horizontal="center" vertical="center" textRotation="90" wrapText="1"/>
      <protection locked="0" hidden="1"/>
    </xf>
    <xf numFmtId="0" fontId="5" fillId="3" borderId="1" xfId="0" applyFont="1" applyFill="1" applyBorder="1" applyAlignment="1" applyProtection="1">
      <alignment horizontal="center" vertical="center" textRotation="90" wrapText="1"/>
      <protection locked="0" hidden="1"/>
    </xf>
  </cellXfs>
  <cellStyles count="6">
    <cellStyle name="Açıklama Metni" xfId="1" builtinId="53" customBuiltin="1"/>
    <cellStyle name="Normal" xfId="0" builtinId="0"/>
    <cellStyle name="Normal 2" xfId="2" xr:uid="{00000000-0005-0000-0000-000003000000}"/>
    <cellStyle name="Normal 2 2" xfId="3" xr:uid="{00000000-0005-0000-0000-000004000000}"/>
    <cellStyle name="Virgül 2" xfId="5" xr:uid="{00000000-0005-0000-0000-000005000000}"/>
    <cellStyle name="Yüzde 2" xfId="4" xr:uid="{00000000-0005-0000-0000-000006000000}"/>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FE699"/>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5E0B4"/>
      <rgbColor rgb="FFFFFF99"/>
      <rgbColor rgb="FF99CCFF"/>
      <rgbColor rgb="FFFF99CC"/>
      <rgbColor rgb="FFCC99FF"/>
      <rgbColor rgb="FFF8CBAD"/>
      <rgbColor rgb="FF3366FF"/>
      <rgbColor rgb="FF33CCCC"/>
      <rgbColor rgb="FF99CC00"/>
      <rgbColor rgb="FFFFCC00"/>
      <rgbColor rgb="FFFF9900"/>
      <rgbColor rgb="FFFF3333"/>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DAEEF3"/>
      <color rgb="FFC8E1B4"/>
      <color rgb="FF003300"/>
      <color rgb="FF9933FF"/>
      <color rgb="FFAAD7E1"/>
      <color rgb="FFAAD7DC"/>
      <color rgb="FFAAD7E6"/>
      <color rgb="FFAACDE6"/>
      <color rgb="FFAFCDE6"/>
      <color rgb="FFAFE1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6821142851852943"/>
          <c:y val="1.6407513119655142E-2"/>
          <c:w val="0.22938183964581099"/>
          <c:h val="0.96718497376068968"/>
        </c:manualLayout>
      </c:layout>
      <c:barChart>
        <c:barDir val="bar"/>
        <c:grouping val="clustered"/>
        <c:varyColors val="0"/>
        <c:ser>
          <c:idx val="0"/>
          <c:order val="0"/>
          <c:spPr>
            <a:solidFill>
              <a:schemeClr val="tx1"/>
            </a:solidFill>
            <a:ln>
              <a:noFill/>
            </a:ln>
            <a:effectLst/>
          </c:spPr>
          <c:invertIfNegative val="0"/>
          <c:dPt>
            <c:idx val="11"/>
            <c:invertIfNegative val="0"/>
            <c:bubble3D val="0"/>
            <c:spPr>
              <a:solidFill>
                <a:schemeClr val="tx1"/>
              </a:solidFill>
              <a:ln>
                <a:noFill/>
              </a:ln>
              <a:effectLst/>
            </c:spPr>
            <c:extLst>
              <c:ext xmlns:c16="http://schemas.microsoft.com/office/drawing/2014/chart" uri="{C3380CC4-5D6E-409C-BE32-E72D297353CC}">
                <c16:uniqueId val="{00000027-15C5-4CF9-A126-8061EA1D968F}"/>
              </c:ext>
            </c:extLst>
          </c:dPt>
          <c:dPt>
            <c:idx val="12"/>
            <c:invertIfNegative val="0"/>
            <c:bubble3D val="0"/>
            <c:spPr>
              <a:solidFill>
                <a:srgbClr val="C00000"/>
              </a:solidFill>
              <a:ln>
                <a:noFill/>
              </a:ln>
              <a:effectLst/>
            </c:spPr>
            <c:extLst>
              <c:ext xmlns:c16="http://schemas.microsoft.com/office/drawing/2014/chart" uri="{C3380CC4-5D6E-409C-BE32-E72D297353CC}">
                <c16:uniqueId val="{00000028-15C5-4CF9-A126-8061EA1D968F}"/>
              </c:ext>
            </c:extLst>
          </c:dPt>
          <c:dPt>
            <c:idx val="13"/>
            <c:invertIfNegative val="0"/>
            <c:bubble3D val="0"/>
            <c:spPr>
              <a:solidFill>
                <a:srgbClr val="C00000"/>
              </a:solidFill>
              <a:ln>
                <a:noFill/>
              </a:ln>
              <a:effectLst/>
            </c:spPr>
            <c:extLst>
              <c:ext xmlns:c16="http://schemas.microsoft.com/office/drawing/2014/chart" uri="{C3380CC4-5D6E-409C-BE32-E72D297353CC}">
                <c16:uniqueId val="{00000029-15C5-4CF9-A126-8061EA1D968F}"/>
              </c:ext>
            </c:extLst>
          </c:dPt>
          <c:dPt>
            <c:idx val="14"/>
            <c:invertIfNegative val="0"/>
            <c:bubble3D val="0"/>
            <c:spPr>
              <a:solidFill>
                <a:srgbClr val="C00000"/>
              </a:solidFill>
              <a:ln>
                <a:noFill/>
              </a:ln>
              <a:effectLst/>
            </c:spPr>
            <c:extLst>
              <c:ext xmlns:c16="http://schemas.microsoft.com/office/drawing/2014/chart" uri="{C3380CC4-5D6E-409C-BE32-E72D297353CC}">
                <c16:uniqueId val="{0000002A-15C5-4CF9-A126-8061EA1D968F}"/>
              </c:ext>
            </c:extLst>
          </c:dPt>
          <c:dPt>
            <c:idx val="15"/>
            <c:invertIfNegative val="0"/>
            <c:bubble3D val="0"/>
            <c:spPr>
              <a:solidFill>
                <a:srgbClr val="C00000"/>
              </a:solidFill>
              <a:ln>
                <a:noFill/>
              </a:ln>
              <a:effectLst/>
            </c:spPr>
            <c:extLst>
              <c:ext xmlns:c16="http://schemas.microsoft.com/office/drawing/2014/chart" uri="{C3380CC4-5D6E-409C-BE32-E72D297353CC}">
                <c16:uniqueId val="{0000002B-15C5-4CF9-A126-8061EA1D968F}"/>
              </c:ext>
            </c:extLst>
          </c:dPt>
          <c:dPt>
            <c:idx val="16"/>
            <c:invertIfNegative val="0"/>
            <c:bubble3D val="0"/>
            <c:spPr>
              <a:solidFill>
                <a:srgbClr val="C00000"/>
              </a:solidFill>
              <a:ln>
                <a:noFill/>
              </a:ln>
              <a:effectLst/>
            </c:spPr>
            <c:extLst>
              <c:ext xmlns:c16="http://schemas.microsoft.com/office/drawing/2014/chart" uri="{C3380CC4-5D6E-409C-BE32-E72D297353CC}">
                <c16:uniqueId val="{0000002C-15C5-4CF9-A126-8061EA1D968F}"/>
              </c:ext>
            </c:extLst>
          </c:dPt>
          <c:dPt>
            <c:idx val="17"/>
            <c:invertIfNegative val="0"/>
            <c:bubble3D val="0"/>
            <c:spPr>
              <a:solidFill>
                <a:srgbClr val="C00000"/>
              </a:solidFill>
              <a:ln>
                <a:noFill/>
              </a:ln>
              <a:effectLst/>
            </c:spPr>
            <c:extLst>
              <c:ext xmlns:c16="http://schemas.microsoft.com/office/drawing/2014/chart" uri="{C3380CC4-5D6E-409C-BE32-E72D297353CC}">
                <c16:uniqueId val="{0000002D-15C5-4CF9-A126-8061EA1D968F}"/>
              </c:ext>
            </c:extLst>
          </c:dPt>
          <c:dPt>
            <c:idx val="18"/>
            <c:invertIfNegative val="0"/>
            <c:bubble3D val="0"/>
            <c:spPr>
              <a:solidFill>
                <a:schemeClr val="bg1">
                  <a:lumMod val="50000"/>
                </a:schemeClr>
              </a:solidFill>
              <a:ln>
                <a:noFill/>
              </a:ln>
              <a:effectLst/>
            </c:spPr>
            <c:extLst>
              <c:ext xmlns:c16="http://schemas.microsoft.com/office/drawing/2014/chart" uri="{C3380CC4-5D6E-409C-BE32-E72D297353CC}">
                <c16:uniqueId val="{00000035-B7D2-4BCE-BB62-19949372B699}"/>
              </c:ext>
            </c:extLst>
          </c:dPt>
          <c:dPt>
            <c:idx val="19"/>
            <c:invertIfNegative val="0"/>
            <c:bubble3D val="0"/>
            <c:spPr>
              <a:solidFill>
                <a:schemeClr val="bg1">
                  <a:lumMod val="50000"/>
                </a:schemeClr>
              </a:solidFill>
              <a:ln>
                <a:noFill/>
              </a:ln>
              <a:effectLst/>
            </c:spPr>
            <c:extLst>
              <c:ext xmlns:c16="http://schemas.microsoft.com/office/drawing/2014/chart" uri="{C3380CC4-5D6E-409C-BE32-E72D297353CC}">
                <c16:uniqueId val="{00000036-B7D2-4BCE-BB62-19949372B699}"/>
              </c:ext>
            </c:extLst>
          </c:dPt>
          <c:dPt>
            <c:idx val="20"/>
            <c:invertIfNegative val="0"/>
            <c:bubble3D val="0"/>
            <c:spPr>
              <a:solidFill>
                <a:schemeClr val="tx1"/>
              </a:solidFill>
              <a:ln>
                <a:noFill/>
              </a:ln>
              <a:effectLst/>
            </c:spPr>
            <c:extLst>
              <c:ext xmlns:c16="http://schemas.microsoft.com/office/drawing/2014/chart" uri="{C3380CC4-5D6E-409C-BE32-E72D297353CC}">
                <c16:uniqueId val="{0000000F-45CA-4018-8A5C-C7D91A61B798}"/>
              </c:ext>
            </c:extLst>
          </c:dPt>
          <c:dPt>
            <c:idx val="21"/>
            <c:invertIfNegative val="0"/>
            <c:bubble3D val="0"/>
            <c:spPr>
              <a:solidFill>
                <a:schemeClr val="tx1"/>
              </a:solidFill>
              <a:ln>
                <a:noFill/>
              </a:ln>
              <a:effectLst/>
            </c:spPr>
            <c:extLst>
              <c:ext xmlns:c16="http://schemas.microsoft.com/office/drawing/2014/chart" uri="{C3380CC4-5D6E-409C-BE32-E72D297353CC}">
                <c16:uniqueId val="{0000000E-45CA-4018-8A5C-C7D91A61B798}"/>
              </c:ext>
            </c:extLst>
          </c:dPt>
          <c:dPt>
            <c:idx val="22"/>
            <c:invertIfNegative val="0"/>
            <c:bubble3D val="0"/>
            <c:spPr>
              <a:solidFill>
                <a:schemeClr val="tx1"/>
              </a:solidFill>
              <a:ln>
                <a:noFill/>
              </a:ln>
              <a:effectLst/>
            </c:spPr>
            <c:extLst>
              <c:ext xmlns:c16="http://schemas.microsoft.com/office/drawing/2014/chart" uri="{C3380CC4-5D6E-409C-BE32-E72D297353CC}">
                <c16:uniqueId val="{0000000D-45CA-4018-8A5C-C7D91A61B798}"/>
              </c:ext>
            </c:extLst>
          </c:dPt>
          <c:dPt>
            <c:idx val="23"/>
            <c:invertIfNegative val="0"/>
            <c:bubble3D val="0"/>
            <c:spPr>
              <a:solidFill>
                <a:schemeClr val="tx1"/>
              </a:solidFill>
              <a:ln>
                <a:noFill/>
              </a:ln>
              <a:effectLst/>
            </c:spPr>
            <c:extLst>
              <c:ext xmlns:c16="http://schemas.microsoft.com/office/drawing/2014/chart" uri="{C3380CC4-5D6E-409C-BE32-E72D297353CC}">
                <c16:uniqueId val="{00000015-E42F-428B-802F-3B6F8ADE344D}"/>
              </c:ext>
            </c:extLst>
          </c:dPt>
          <c:dPt>
            <c:idx val="24"/>
            <c:invertIfNegative val="0"/>
            <c:bubble3D val="0"/>
            <c:spPr>
              <a:solidFill>
                <a:schemeClr val="tx1"/>
              </a:solidFill>
              <a:ln>
                <a:noFill/>
              </a:ln>
              <a:effectLst/>
            </c:spPr>
            <c:extLst>
              <c:ext xmlns:c16="http://schemas.microsoft.com/office/drawing/2014/chart" uri="{C3380CC4-5D6E-409C-BE32-E72D297353CC}">
                <c16:uniqueId val="{0000000A-45CA-4018-8A5C-C7D91A61B798}"/>
              </c:ext>
            </c:extLst>
          </c:dPt>
          <c:dPt>
            <c:idx val="25"/>
            <c:invertIfNegative val="0"/>
            <c:bubble3D val="0"/>
            <c:spPr>
              <a:solidFill>
                <a:schemeClr val="tx1"/>
              </a:solidFill>
              <a:ln>
                <a:noFill/>
              </a:ln>
              <a:effectLst/>
            </c:spPr>
            <c:extLst>
              <c:ext xmlns:c16="http://schemas.microsoft.com/office/drawing/2014/chart" uri="{C3380CC4-5D6E-409C-BE32-E72D297353CC}">
                <c16:uniqueId val="{00000009-45CA-4018-8A5C-C7D91A61B798}"/>
              </c:ext>
            </c:extLst>
          </c:dPt>
          <c:dPt>
            <c:idx val="26"/>
            <c:invertIfNegative val="0"/>
            <c:bubble3D val="0"/>
            <c:spPr>
              <a:solidFill>
                <a:srgbClr val="C00000"/>
              </a:solidFill>
              <a:ln>
                <a:noFill/>
              </a:ln>
              <a:effectLst/>
            </c:spPr>
            <c:extLst>
              <c:ext xmlns:c16="http://schemas.microsoft.com/office/drawing/2014/chart" uri="{C3380CC4-5D6E-409C-BE32-E72D297353CC}">
                <c16:uniqueId val="{0000000B-45CA-4018-8A5C-C7D91A61B798}"/>
              </c:ext>
            </c:extLst>
          </c:dPt>
          <c:dPt>
            <c:idx val="27"/>
            <c:invertIfNegative val="0"/>
            <c:bubble3D val="0"/>
            <c:spPr>
              <a:solidFill>
                <a:srgbClr val="C00000"/>
              </a:solidFill>
              <a:ln>
                <a:noFill/>
              </a:ln>
              <a:effectLst/>
            </c:spPr>
            <c:extLst>
              <c:ext xmlns:c16="http://schemas.microsoft.com/office/drawing/2014/chart" uri="{C3380CC4-5D6E-409C-BE32-E72D297353CC}">
                <c16:uniqueId val="{00000008-45CA-4018-8A5C-C7D91A61B798}"/>
              </c:ext>
            </c:extLst>
          </c:dPt>
          <c:dPt>
            <c:idx val="28"/>
            <c:invertIfNegative val="0"/>
            <c:bubble3D val="0"/>
            <c:spPr>
              <a:solidFill>
                <a:srgbClr val="C00000"/>
              </a:solidFill>
              <a:ln>
                <a:noFill/>
              </a:ln>
              <a:effectLst/>
            </c:spPr>
            <c:extLst>
              <c:ext xmlns:c16="http://schemas.microsoft.com/office/drawing/2014/chart" uri="{C3380CC4-5D6E-409C-BE32-E72D297353CC}">
                <c16:uniqueId val="{0000000C-45CA-4018-8A5C-C7D91A61B798}"/>
              </c:ext>
            </c:extLst>
          </c:dPt>
          <c:dPt>
            <c:idx val="29"/>
            <c:invertIfNegative val="0"/>
            <c:bubble3D val="0"/>
            <c:spPr>
              <a:solidFill>
                <a:srgbClr val="C00000"/>
              </a:solidFill>
              <a:ln>
                <a:noFill/>
              </a:ln>
              <a:effectLst/>
            </c:spPr>
            <c:extLst>
              <c:ext xmlns:c16="http://schemas.microsoft.com/office/drawing/2014/chart" uri="{C3380CC4-5D6E-409C-BE32-E72D297353CC}">
                <c16:uniqueId val="{00000007-45CA-4018-8A5C-C7D91A61B798}"/>
              </c:ext>
            </c:extLst>
          </c:dPt>
          <c:dPt>
            <c:idx val="30"/>
            <c:invertIfNegative val="0"/>
            <c:bubble3D val="0"/>
            <c:spPr>
              <a:solidFill>
                <a:srgbClr val="C00000"/>
              </a:solidFill>
              <a:ln>
                <a:noFill/>
              </a:ln>
              <a:effectLst/>
            </c:spPr>
            <c:extLst>
              <c:ext xmlns:c16="http://schemas.microsoft.com/office/drawing/2014/chart" uri="{C3380CC4-5D6E-409C-BE32-E72D297353CC}">
                <c16:uniqueId val="{00000013-D68E-4191-8C49-7635405731D1}"/>
              </c:ext>
            </c:extLst>
          </c:dPt>
          <c:dPt>
            <c:idx val="31"/>
            <c:invertIfNegative val="0"/>
            <c:bubble3D val="0"/>
            <c:spPr>
              <a:solidFill>
                <a:srgbClr val="C00000"/>
              </a:solidFill>
              <a:ln>
                <a:noFill/>
              </a:ln>
              <a:effectLst/>
            </c:spPr>
            <c:extLst>
              <c:ext xmlns:c16="http://schemas.microsoft.com/office/drawing/2014/chart" uri="{C3380CC4-5D6E-409C-BE32-E72D297353CC}">
                <c16:uniqueId val="{00000017-D7E6-45C6-BD44-9DAF6A5B6F82}"/>
              </c:ext>
            </c:extLst>
          </c:dPt>
          <c:dPt>
            <c:idx val="32"/>
            <c:invertIfNegative val="0"/>
            <c:bubble3D val="0"/>
            <c:spPr>
              <a:solidFill>
                <a:srgbClr val="C00000"/>
              </a:solidFill>
              <a:ln>
                <a:noFill/>
              </a:ln>
              <a:effectLst/>
            </c:spPr>
            <c:extLst>
              <c:ext xmlns:c16="http://schemas.microsoft.com/office/drawing/2014/chart" uri="{C3380CC4-5D6E-409C-BE32-E72D297353CC}">
                <c16:uniqueId val="{00000018-D7E6-45C6-BD44-9DAF6A5B6F82}"/>
              </c:ext>
            </c:extLst>
          </c:dPt>
          <c:dPt>
            <c:idx val="33"/>
            <c:invertIfNegative val="0"/>
            <c:bubble3D val="0"/>
            <c:spPr>
              <a:solidFill>
                <a:srgbClr val="C00000"/>
              </a:solidFill>
              <a:ln>
                <a:noFill/>
              </a:ln>
              <a:effectLst/>
            </c:spPr>
            <c:extLst>
              <c:ext xmlns:c16="http://schemas.microsoft.com/office/drawing/2014/chart" uri="{C3380CC4-5D6E-409C-BE32-E72D297353CC}">
                <c16:uniqueId val="{0000001D-B20F-4A15-8DC8-56B8EB5F98BA}"/>
              </c:ext>
            </c:extLst>
          </c:dPt>
          <c:dPt>
            <c:idx val="34"/>
            <c:invertIfNegative val="0"/>
            <c:bubble3D val="0"/>
            <c:spPr>
              <a:solidFill>
                <a:srgbClr val="C00000"/>
              </a:solidFill>
              <a:ln>
                <a:noFill/>
              </a:ln>
              <a:effectLst/>
            </c:spPr>
            <c:extLst>
              <c:ext xmlns:c16="http://schemas.microsoft.com/office/drawing/2014/chart" uri="{C3380CC4-5D6E-409C-BE32-E72D297353CC}">
                <c16:uniqueId val="{0000001C-B20F-4A15-8DC8-56B8EB5F98BA}"/>
              </c:ext>
            </c:extLst>
          </c:dPt>
          <c:dPt>
            <c:idx val="35"/>
            <c:invertIfNegative val="0"/>
            <c:bubble3D val="0"/>
            <c:spPr>
              <a:solidFill>
                <a:srgbClr val="C00000"/>
              </a:solidFill>
              <a:ln>
                <a:noFill/>
              </a:ln>
              <a:effectLst/>
            </c:spPr>
            <c:extLst>
              <c:ext xmlns:c16="http://schemas.microsoft.com/office/drawing/2014/chart" uri="{C3380CC4-5D6E-409C-BE32-E72D297353CC}">
                <c16:uniqueId val="{0000001E-B20F-4A15-8DC8-56B8EB5F98BA}"/>
              </c:ext>
            </c:extLst>
          </c:dPt>
          <c:dPt>
            <c:idx val="36"/>
            <c:invertIfNegative val="0"/>
            <c:bubble3D val="0"/>
            <c:spPr>
              <a:solidFill>
                <a:srgbClr val="C00000"/>
              </a:solidFill>
              <a:ln>
                <a:noFill/>
              </a:ln>
              <a:effectLst/>
            </c:spPr>
            <c:extLst>
              <c:ext xmlns:c16="http://schemas.microsoft.com/office/drawing/2014/chart" uri="{C3380CC4-5D6E-409C-BE32-E72D297353CC}">
                <c16:uniqueId val="{0000001B-B20F-4A15-8DC8-56B8EB5F98BA}"/>
              </c:ext>
            </c:extLst>
          </c:dPt>
          <c:dPt>
            <c:idx val="37"/>
            <c:invertIfNegative val="0"/>
            <c:bubble3D val="0"/>
            <c:spPr>
              <a:solidFill>
                <a:srgbClr val="C00000"/>
              </a:solidFill>
              <a:ln>
                <a:noFill/>
              </a:ln>
              <a:effectLst/>
            </c:spPr>
            <c:extLst>
              <c:ext xmlns:c16="http://schemas.microsoft.com/office/drawing/2014/chart" uri="{C3380CC4-5D6E-409C-BE32-E72D297353CC}">
                <c16:uniqueId val="{00000023-8CC3-4E54-9960-0F980A27CEC9}"/>
              </c:ext>
            </c:extLst>
          </c:dPt>
          <c:dPt>
            <c:idx val="38"/>
            <c:invertIfNegative val="0"/>
            <c:bubble3D val="0"/>
            <c:spPr>
              <a:solidFill>
                <a:schemeClr val="bg1">
                  <a:lumMod val="50000"/>
                </a:schemeClr>
              </a:solidFill>
              <a:ln>
                <a:noFill/>
              </a:ln>
              <a:effectLst/>
            </c:spPr>
            <c:extLst>
              <c:ext xmlns:c16="http://schemas.microsoft.com/office/drawing/2014/chart" uri="{C3380CC4-5D6E-409C-BE32-E72D297353CC}">
                <c16:uniqueId val="{00000024-8CC3-4E54-9960-0F980A27CEC9}"/>
              </c:ext>
            </c:extLst>
          </c:dPt>
          <c:dLbls>
            <c:spPr>
              <a:noFill/>
              <a:ln>
                <a:noFill/>
              </a:ln>
              <a:effectLst/>
            </c:spPr>
            <c:txPr>
              <a:bodyPr rot="0" spcFirstLastPara="1" vertOverflow="ellipsis" vert="horz" wrap="square" anchor="ctr" anchorCtr="1"/>
              <a:lstStyle/>
              <a:p>
                <a:pPr>
                  <a:defRPr sz="1600" b="0" i="0" u="none" strike="noStrike" kern="1200" baseline="0">
                    <a:solidFill>
                      <a:schemeClr val="tx1">
                        <a:lumMod val="75000"/>
                        <a:lumOff val="25000"/>
                      </a:schemeClr>
                    </a:solidFill>
                    <a:latin typeface="+mn-lt"/>
                    <a:ea typeface="+mn-ea"/>
                    <a:cs typeface="+mn-cs"/>
                  </a:defRPr>
                </a:pPr>
                <a:endParaRPr lang="tr-T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'Özet Tablo'!$X$1:$X$19</c:f>
              <c:strCache>
                <c:ptCount val="19"/>
                <c:pt idx="0">
                  <c:v>Normal Çalışma</c:v>
                </c:pt>
                <c:pt idx="1">
                  <c:v>Fazla Çalışma (% 60)</c:v>
                </c:pt>
                <c:pt idx="2">
                  <c:v>Fazla Sürelerle Çalışma (% 25)</c:v>
                </c:pt>
                <c:pt idx="3">
                  <c:v>Resmi Tatillerde Çalışma (% 100)</c:v>
                </c:pt>
                <c:pt idx="4">
                  <c:v>Gece Çalışma (% 15)</c:v>
                </c:pt>
                <c:pt idx="5">
                  <c:v>Yemek Yardımı</c:v>
                </c:pt>
                <c:pt idx="6">
                  <c:v>Ulaşım Yardımı</c:v>
                </c:pt>
                <c:pt idx="7">
                  <c:v>İkramiye Yardımı</c:v>
                </c:pt>
                <c:pt idx="8">
                  <c:v>Sosyal Yardım</c:v>
                </c:pt>
                <c:pt idx="9">
                  <c:v>Yakacak Yardımı</c:v>
                </c:pt>
                <c:pt idx="10">
                  <c:v>Çocuk Yardımı</c:v>
                </c:pt>
                <c:pt idx="11">
                  <c:v>Nakdi Yardımlar</c:v>
                </c:pt>
                <c:pt idx="12">
                  <c:v>Sendika Üyelik Aidatı Kesintisi</c:v>
                </c:pt>
                <c:pt idx="13">
                  <c:v>BES Kesintisi</c:v>
                </c:pt>
                <c:pt idx="14">
                  <c:v>Damga Vergisi Kesintisi</c:v>
                </c:pt>
                <c:pt idx="15">
                  <c:v>SGK Prim Kesintisi</c:v>
                </c:pt>
                <c:pt idx="16">
                  <c:v>SGK İşsizlik Primi Kesintisi</c:v>
                </c:pt>
                <c:pt idx="17">
                  <c:v>Gelir Vergisi Kesintisi</c:v>
                </c:pt>
                <c:pt idx="18">
                  <c:v>İşveren Maliyeti</c:v>
                </c:pt>
              </c:strCache>
            </c:strRef>
          </c:cat>
          <c:val>
            <c:numRef>
              <c:f>'Özet Tablo'!$Y$1:$Y$19</c:f>
              <c:numCache>
                <c:formatCode>#,##0.00\ "₺"</c:formatCode>
                <c:ptCount val="19"/>
                <c:pt idx="0">
                  <c:v>503192.34017359582</c:v>
                </c:pt>
                <c:pt idx="1">
                  <c:v>0</c:v>
                </c:pt>
                <c:pt idx="2">
                  <c:v>0</c:v>
                </c:pt>
                <c:pt idx="3">
                  <c:v>0</c:v>
                </c:pt>
                <c:pt idx="4">
                  <c:v>0</c:v>
                </c:pt>
                <c:pt idx="5">
                  <c:v>66888</c:v>
                </c:pt>
                <c:pt idx="6">
                  <c:v>39026</c:v>
                </c:pt>
                <c:pt idx="7">
                  <c:v>82482.035857191106</c:v>
                </c:pt>
                <c:pt idx="8">
                  <c:v>34621.029302947361</c:v>
                </c:pt>
                <c:pt idx="9">
                  <c:v>3129.3743296394368</c:v>
                </c:pt>
                <c:pt idx="10">
                  <c:v>0</c:v>
                </c:pt>
                <c:pt idx="11">
                  <c:v>0</c:v>
                </c:pt>
                <c:pt idx="12">
                  <c:v>25382.039999999994</c:v>
                </c:pt>
                <c:pt idx="13">
                  <c:v>0</c:v>
                </c:pt>
                <c:pt idx="14">
                  <c:v>4704.420798455164</c:v>
                </c:pt>
                <c:pt idx="15">
                  <c:v>147036.1601823087</c:v>
                </c:pt>
                <c:pt idx="16">
                  <c:v>10502.582870164906</c:v>
                </c:pt>
                <c:pt idx="17">
                  <c:v>128881.65</c:v>
                </c:pt>
                <c:pt idx="18">
                  <c:v>1267727.7043742116</c:v>
                </c:pt>
              </c:numCache>
            </c:numRef>
          </c:val>
          <c:extLst>
            <c:ext xmlns:c16="http://schemas.microsoft.com/office/drawing/2014/chart" uri="{C3380CC4-5D6E-409C-BE32-E72D297353CC}">
              <c16:uniqueId val="{00000000-755B-478D-AB69-BF223AA4AC7C}"/>
            </c:ext>
          </c:extLst>
        </c:ser>
        <c:dLbls>
          <c:dLblPos val="outEnd"/>
          <c:showLegendKey val="0"/>
          <c:showVal val="1"/>
          <c:showCatName val="0"/>
          <c:showSerName val="0"/>
          <c:showPercent val="0"/>
          <c:showBubbleSize val="0"/>
        </c:dLbls>
        <c:gapWidth val="182"/>
        <c:axId val="552148752"/>
        <c:axId val="552147112"/>
      </c:barChart>
      <c:catAx>
        <c:axId val="55214875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tr-TR"/>
          </a:p>
        </c:txPr>
        <c:crossAx val="552147112"/>
        <c:crosses val="autoZero"/>
        <c:auto val="1"/>
        <c:lblAlgn val="ctr"/>
        <c:lblOffset val="100"/>
        <c:tickMarkSkip val="1"/>
        <c:noMultiLvlLbl val="0"/>
      </c:catAx>
      <c:valAx>
        <c:axId val="552147112"/>
        <c:scaling>
          <c:orientation val="minMax"/>
        </c:scaling>
        <c:delete val="1"/>
        <c:axPos val="t"/>
        <c:numFmt formatCode="#,##0.00\ &quot;₺&quot;" sourceLinked="1"/>
        <c:majorTickMark val="out"/>
        <c:minorTickMark val="none"/>
        <c:tickLblPos val="nextTo"/>
        <c:crossAx val="55214875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85000"/>
      </a:schemeClr>
    </a:solidFill>
    <a:ln w="9525" cap="flat" cmpd="sng" algn="ctr">
      <a:solidFill>
        <a:schemeClr val="tx1">
          <a:lumMod val="15000"/>
          <a:lumOff val="85000"/>
        </a:schemeClr>
      </a:solidFill>
      <a:round/>
    </a:ln>
    <a:effectLst/>
  </c:spPr>
  <c:txPr>
    <a:bodyPr/>
    <a:lstStyle/>
    <a:p>
      <a:pPr>
        <a:defRPr sz="1600"/>
      </a:pPr>
      <a:endParaRPr lang="tr-T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explosion val="4"/>
            <c:spPr>
              <a:solidFill>
                <a:schemeClr val="tx1"/>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1-5D9F-40F4-A256-823C9FF01F41}"/>
              </c:ext>
            </c:extLst>
          </c:dPt>
          <c:dPt>
            <c:idx val="1"/>
            <c:bubble3D val="0"/>
            <c:explosion val="5"/>
            <c:spPr>
              <a:solidFill>
                <a:srgbClr val="C00000"/>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3-5D9F-40F4-A256-823C9FF01F41}"/>
              </c:ext>
            </c:extLst>
          </c:dPt>
          <c:dLbls>
            <c:dLbl>
              <c:idx val="0"/>
              <c:layout>
                <c:manualLayout>
                  <c:x val="0"/>
                  <c:y val="-0.2727330235099843"/>
                </c:manualLayout>
              </c:layout>
              <c:tx>
                <c:rich>
                  <a:bodyPr rot="0" spcFirstLastPara="1" vertOverflow="ellipsis" vert="horz" wrap="square" lIns="0" tIns="0" rIns="0" bIns="0" anchor="ctr" anchorCtr="0">
                    <a:noAutofit/>
                  </a:bodyPr>
                  <a:lstStyle/>
                  <a:p>
                    <a:pPr lvl="1" algn="ctr" rtl="0">
                      <a:defRPr sz="2000" b="1" i="0" u="none" strike="noStrike" kern="1200" baseline="0">
                        <a:solidFill>
                          <a:sysClr val="windowText" lastClr="000000"/>
                        </a:solidFill>
                        <a:latin typeface="+mn-lt"/>
                        <a:ea typeface="+mn-ea"/>
                        <a:cs typeface="+mn-cs"/>
                      </a:defRPr>
                    </a:pPr>
                    <a:r>
                      <a:rPr lang="en-US" sz="2000" i="0" u="sng" baseline="0">
                        <a:solidFill>
                          <a:sysClr val="windowText" lastClr="000000"/>
                        </a:solidFill>
                      </a:rPr>
                      <a:t>Kazançlar</a:t>
                    </a:r>
                  </a:p>
                  <a:p>
                    <a:pPr lvl="1" algn="ctr" rtl="0">
                      <a:defRPr sz="2000" b="1" i="0" u="none" strike="noStrike" kern="1200" baseline="0">
                        <a:solidFill>
                          <a:sysClr val="windowText" lastClr="000000"/>
                        </a:solidFill>
                        <a:latin typeface="+mn-lt"/>
                        <a:ea typeface="+mn-ea"/>
                        <a:cs typeface="+mn-cs"/>
                      </a:defRPr>
                    </a:pPr>
                    <a:fld id="{18CB9E8E-A975-43C0-A56F-BEEBC923E687}" type="VALUE">
                      <a:rPr lang="en-US" sz="2000" i="0">
                        <a:solidFill>
                          <a:sysClr val="windowText" lastClr="000000"/>
                        </a:solidFill>
                      </a:rPr>
                      <a:pPr lvl="1" algn="ctr" rtl="0">
                        <a:defRPr sz="2000" b="1" i="0" u="none" strike="noStrike" kern="1200" baseline="0">
                          <a:solidFill>
                            <a:sysClr val="windowText" lastClr="000000"/>
                          </a:solidFill>
                          <a:latin typeface="+mn-lt"/>
                          <a:ea typeface="+mn-ea"/>
                          <a:cs typeface="+mn-cs"/>
                        </a:defRPr>
                      </a:pPr>
                      <a:t>[DEĞER]</a:t>
                    </a:fld>
                    <a:endParaRPr lang="en-US" sz="2000" i="0" baseline="0">
                      <a:solidFill>
                        <a:sysClr val="windowText" lastClr="000000"/>
                      </a:solidFill>
                    </a:endParaRPr>
                  </a:p>
                  <a:p>
                    <a:pPr lvl="1" algn="ctr" rtl="0">
                      <a:defRPr sz="2000" b="1" i="0" u="none" strike="noStrike" kern="1200" baseline="0">
                        <a:solidFill>
                          <a:sysClr val="windowText" lastClr="000000"/>
                        </a:solidFill>
                        <a:latin typeface="+mn-lt"/>
                        <a:ea typeface="+mn-ea"/>
                        <a:cs typeface="+mn-cs"/>
                      </a:defRPr>
                    </a:pPr>
                    <a:fld id="{ED1D6583-AC77-4CB8-8AE1-8BB6A6F10BE5}" type="PERCENTAGE">
                      <a:rPr lang="en-US" sz="2000" i="0">
                        <a:solidFill>
                          <a:sysClr val="windowText" lastClr="000000"/>
                        </a:solidFill>
                      </a:rPr>
                      <a:pPr lvl="1" algn="ctr" rtl="0">
                        <a:defRPr sz="2000" b="1" i="0" u="none" strike="noStrike" kern="1200" baseline="0">
                          <a:solidFill>
                            <a:sysClr val="windowText" lastClr="000000"/>
                          </a:solidFill>
                          <a:latin typeface="+mn-lt"/>
                          <a:ea typeface="+mn-ea"/>
                          <a:cs typeface="+mn-cs"/>
                        </a:defRPr>
                      </a:pPr>
                      <a:t>[YÜZDE]</a:t>
                    </a:fld>
                    <a:endParaRPr lang="tr-TR"/>
                  </a:p>
                </c:rich>
              </c:tx>
              <c:numFmt formatCode="%\ 0.00" sourceLinked="0"/>
              <c:spPr>
                <a:noFill/>
                <a:ln>
                  <a:noFill/>
                </a:ln>
                <a:effectLst/>
              </c:spPr>
              <c:dLblPos val="bestFit"/>
              <c:showLegendKey val="0"/>
              <c:showVal val="0"/>
              <c:showCatName val="0"/>
              <c:showSerName val="0"/>
              <c:showPercent val="1"/>
              <c:showBubbleSize val="0"/>
              <c:separator>
</c:separator>
              <c:extLst>
                <c:ext xmlns:c15="http://schemas.microsoft.com/office/drawing/2012/chart" uri="{CE6537A1-D6FC-4f65-9D91-7224C49458BB}">
                  <c15:spPr xmlns:c15="http://schemas.microsoft.com/office/drawing/2012/chart">
                    <a:prstGeom prst="rect">
                      <a:avLst/>
                    </a:prstGeom>
                  </c15:spPr>
                  <c15:layout>
                    <c:manualLayout>
                      <c:w val="1"/>
                      <c:h val="0.2"/>
                    </c:manualLayout>
                  </c15:layout>
                  <c15:dlblFieldTable/>
                  <c15:showDataLabelsRange val="0"/>
                </c:ext>
                <c:ext xmlns:c16="http://schemas.microsoft.com/office/drawing/2014/chart" uri="{C3380CC4-5D6E-409C-BE32-E72D297353CC}">
                  <c16:uniqueId val="{00000001-5D9F-40F4-A256-823C9FF01F41}"/>
                </c:ext>
              </c:extLst>
            </c:dLbl>
            <c:dLbl>
              <c:idx val="1"/>
              <c:layout>
                <c:manualLayout>
                  <c:x val="0"/>
                  <c:y val="0.28660887761598208"/>
                </c:manualLayout>
              </c:layout>
              <c:tx>
                <c:rich>
                  <a:bodyPr rot="0" spcFirstLastPara="1" vertOverflow="ellipsis" vert="horz" wrap="square" lIns="0" tIns="0" rIns="0" bIns="0" anchor="t" anchorCtr="0">
                    <a:noAutofit/>
                  </a:bodyPr>
                  <a:lstStyle/>
                  <a:p>
                    <a:pPr lvl="1" algn="ctr" rtl="0">
                      <a:defRPr sz="2000" b="1" i="0" u="none" strike="noStrike" kern="1200" baseline="0">
                        <a:solidFill>
                          <a:srgbClr val="C00000"/>
                        </a:solidFill>
                        <a:latin typeface="+mn-lt"/>
                        <a:ea typeface="+mn-ea"/>
                        <a:cs typeface="+mn-cs"/>
                      </a:defRPr>
                    </a:pPr>
                    <a:r>
                      <a:rPr lang="en-US" sz="2000" b="1" i="0" u="sng" strike="noStrike" baseline="0">
                        <a:solidFill>
                          <a:srgbClr val="C00000"/>
                        </a:solidFill>
                      </a:rPr>
                      <a:t>Kesintiler</a:t>
                    </a:r>
                    <a:br>
                      <a:rPr lang="en-US" sz="2000" b="1" i="0" u="none" strike="noStrike" baseline="0">
                        <a:solidFill>
                          <a:srgbClr val="C00000"/>
                        </a:solidFill>
                      </a:rPr>
                    </a:br>
                    <a:fld id="{D48269F3-90DB-4B96-9E27-A88140910F88}" type="VALUE">
                      <a:rPr lang="en-US" sz="2000">
                        <a:solidFill>
                          <a:srgbClr val="C00000"/>
                        </a:solidFill>
                      </a:rPr>
                      <a:pPr lvl="1" algn="ctr" rtl="0">
                        <a:defRPr sz="2000" b="1" i="0" u="none" strike="noStrike" kern="1200" baseline="0">
                          <a:solidFill>
                            <a:srgbClr val="C00000"/>
                          </a:solidFill>
                          <a:latin typeface="+mn-lt"/>
                          <a:ea typeface="+mn-ea"/>
                          <a:cs typeface="+mn-cs"/>
                        </a:defRPr>
                      </a:pPr>
                      <a:t>[DEĞER]</a:t>
                    </a:fld>
                    <a:endParaRPr lang="en-US" sz="2000" baseline="0">
                      <a:solidFill>
                        <a:srgbClr val="C00000"/>
                      </a:solidFill>
                    </a:endParaRPr>
                  </a:p>
                  <a:p>
                    <a:pPr lvl="1" algn="ctr" rtl="0">
                      <a:defRPr sz="2000" b="1" i="0" u="none" strike="noStrike" kern="1200" baseline="0">
                        <a:solidFill>
                          <a:srgbClr val="C00000"/>
                        </a:solidFill>
                        <a:latin typeface="+mn-lt"/>
                        <a:ea typeface="+mn-ea"/>
                        <a:cs typeface="+mn-cs"/>
                      </a:defRPr>
                    </a:pPr>
                    <a:fld id="{C4F91586-97B1-4B5B-B426-9B699746C01D}" type="PERCENTAGE">
                      <a:rPr lang="en-US" sz="2000">
                        <a:solidFill>
                          <a:srgbClr val="C00000"/>
                        </a:solidFill>
                      </a:rPr>
                      <a:pPr lvl="1" algn="ctr" rtl="0">
                        <a:defRPr sz="2000" b="1" i="0" u="none" strike="noStrike" kern="1200" baseline="0">
                          <a:solidFill>
                            <a:srgbClr val="C00000"/>
                          </a:solidFill>
                          <a:latin typeface="+mn-lt"/>
                          <a:ea typeface="+mn-ea"/>
                          <a:cs typeface="+mn-cs"/>
                        </a:defRPr>
                      </a:pPr>
                      <a:t>[YÜZDE]</a:t>
                    </a:fld>
                    <a:endParaRPr lang="tr-TR"/>
                  </a:p>
                </c:rich>
              </c:tx>
              <c:numFmt formatCode="%\ 0.00" sourceLinked="0"/>
              <c:spPr>
                <a:noFill/>
                <a:ln>
                  <a:noFill/>
                </a:ln>
                <a:effectLst/>
              </c:spPr>
              <c:dLblPos val="bestFit"/>
              <c:showLegendKey val="0"/>
              <c:showVal val="0"/>
              <c:showCatName val="0"/>
              <c:showSerName val="0"/>
              <c:showPercent val="1"/>
              <c:showBubbleSize val="0"/>
              <c:separator>
</c:separator>
              <c:extLst>
                <c:ext xmlns:c15="http://schemas.microsoft.com/office/drawing/2012/chart" uri="{CE6537A1-D6FC-4f65-9D91-7224C49458BB}">
                  <c15:spPr xmlns:c15="http://schemas.microsoft.com/office/drawing/2012/chart">
                    <a:prstGeom prst="rect">
                      <a:avLst/>
                    </a:prstGeom>
                  </c15:spPr>
                  <c15:layout>
                    <c:manualLayout>
                      <c:w val="1"/>
                      <c:h val="0.18251962962962964"/>
                    </c:manualLayout>
                  </c15:layout>
                  <c15:dlblFieldTable/>
                  <c15:showDataLabelsRange val="0"/>
                </c:ext>
                <c:ext xmlns:c16="http://schemas.microsoft.com/office/drawing/2014/chart" uri="{C3380CC4-5D6E-409C-BE32-E72D297353CC}">
                  <c16:uniqueId val="{00000003-5D9F-40F4-A256-823C9FF01F41}"/>
                </c:ext>
              </c:extLst>
            </c:dLbl>
            <c:numFmt formatCode="%\ 0.00" sourceLinked="0"/>
            <c:spPr>
              <a:noFill/>
              <a:ln>
                <a:noFill/>
              </a:ln>
              <a:effectLst/>
            </c:spPr>
            <c:txPr>
              <a:bodyPr rot="0" spcFirstLastPara="1" vertOverflow="ellipsis" vert="horz" wrap="square" lIns="0" tIns="0" rIns="0" bIns="0" anchor="ctr" anchorCtr="0">
                <a:spAutoFit/>
              </a:bodyPr>
              <a:lstStyle/>
              <a:p>
                <a:pPr algn="ctr">
                  <a:defRPr sz="1300" b="1" i="0" u="none" strike="noStrike" kern="1200" baseline="0">
                    <a:solidFill>
                      <a:schemeClr val="lt1"/>
                    </a:solidFill>
                    <a:latin typeface="+mn-lt"/>
                    <a:ea typeface="+mn-ea"/>
                    <a:cs typeface="+mn-cs"/>
                  </a:defRPr>
                </a:pPr>
                <a:endParaRPr lang="tr-TR"/>
              </a:p>
            </c:txPr>
            <c:dLblPos val="ctr"/>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'Özet Tablo'!$X$20:$X$21</c:f>
              <c:strCache>
                <c:ptCount val="2"/>
                <c:pt idx="0">
                  <c:v>Kazançlar</c:v>
                </c:pt>
                <c:pt idx="1">
                  <c:v>Kesintiler</c:v>
                </c:pt>
              </c:strCache>
            </c:strRef>
          </c:cat>
          <c:val>
            <c:numRef>
              <c:f>'Özet Tablo'!$Y$20:$Y$21</c:f>
              <c:numCache>
                <c:formatCode>#,##0.00\ "₺"</c:formatCode>
                <c:ptCount val="2"/>
                <c:pt idx="0">
                  <c:v>771671.43316556187</c:v>
                </c:pt>
                <c:pt idx="1">
                  <c:v>316506.8538509286</c:v>
                </c:pt>
              </c:numCache>
            </c:numRef>
          </c:val>
          <c:extLst>
            <c:ext xmlns:c16="http://schemas.microsoft.com/office/drawing/2014/chart" uri="{C3380CC4-5D6E-409C-BE32-E72D297353CC}">
              <c16:uniqueId val="{00000004-5D9F-40F4-A256-823C9FF01F41}"/>
            </c:ext>
          </c:extLst>
        </c:ser>
        <c:dLbls>
          <c:dLblPos val="inEnd"/>
          <c:showLegendKey val="0"/>
          <c:showVal val="1"/>
          <c:showCatName val="1"/>
          <c:showSerName val="0"/>
          <c:showPercent val="0"/>
          <c:showBubbleSize val="0"/>
          <c:showLeaderLines val="0"/>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85000"/>
      </a:schemeClr>
    </a:solidFill>
    <a:ln w="9525" cap="flat" cmpd="sng" algn="ctr">
      <a:noFill/>
      <a:round/>
    </a:ln>
    <a:effectLst/>
  </c:spPr>
  <c:txPr>
    <a:bodyPr/>
    <a:lstStyle/>
    <a:p>
      <a:pPr>
        <a:defRPr/>
      </a:pPr>
      <a:endParaRPr lang="tr-T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17</xdr:col>
      <xdr:colOff>53463</xdr:colOff>
      <xdr:row>0</xdr:row>
      <xdr:rowOff>70921</xdr:rowOff>
    </xdr:from>
    <xdr:to>
      <xdr:col>17</xdr:col>
      <xdr:colOff>7290954</xdr:colOff>
      <xdr:row>27</xdr:row>
      <xdr:rowOff>398319</xdr:rowOff>
    </xdr:to>
    <xdr:graphicFrame macro="">
      <xdr:nvGraphicFramePr>
        <xdr:cNvPr id="7" name="Grafik 6">
          <a:extLst>
            <a:ext uri="{FF2B5EF4-FFF2-40B4-BE49-F238E27FC236}">
              <a16:creationId xmlns:a16="http://schemas.microsoft.com/office/drawing/2014/main" id="{80F8C963-D5D5-4BCD-8610-182E47B88E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17</xdr:col>
      <xdr:colOff>4966692</xdr:colOff>
      <xdr:row>8</xdr:row>
      <xdr:rowOff>125886</xdr:rowOff>
    </xdr:from>
    <xdr:to>
      <xdr:col>17</xdr:col>
      <xdr:colOff>7306692</xdr:colOff>
      <xdr:row>19</xdr:row>
      <xdr:rowOff>5969</xdr:rowOff>
    </xdr:to>
    <xdr:graphicFrame macro="">
      <xdr:nvGraphicFramePr>
        <xdr:cNvPr id="3" name="Grafik 2">
          <a:extLst>
            <a:ext uri="{FF2B5EF4-FFF2-40B4-BE49-F238E27FC236}">
              <a16:creationId xmlns:a16="http://schemas.microsoft.com/office/drawing/2014/main" id="{7ADA3213-C9FB-42E9-8CD0-901898DBDF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Print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LT363"/>
  <sheetViews>
    <sheetView showGridLines="0" showRowColHeaders="0" tabSelected="1" showWhiteSpace="0" zoomScale="55" zoomScaleNormal="55" zoomScaleSheetLayoutView="40" zoomScalePageLayoutView="55" workbookViewId="0">
      <pane xSplit="2" topLeftCell="C1" activePane="topRight" state="frozen"/>
      <selection pane="topRight" sqref="A1:A14"/>
    </sheetView>
  </sheetViews>
  <sheetFormatPr defaultColWidth="0" defaultRowHeight="0" customHeight="1" zeroHeight="1" x14ac:dyDescent="0.25"/>
  <cols>
    <col min="1" max="13" width="12.7109375" style="12" customWidth="1"/>
    <col min="14" max="16" width="30.7109375" style="12" customWidth="1"/>
    <col min="17" max="17" width="12.7109375" style="12" customWidth="1"/>
    <col min="18" max="18" width="110.7109375" style="12" customWidth="1"/>
    <col min="19" max="19" width="12.7109375" style="12" customWidth="1"/>
    <col min="20" max="20" width="5.7109375" style="12" customWidth="1"/>
    <col min="21" max="21" width="80.7109375" style="12" customWidth="1"/>
    <col min="22" max="22" width="5.7109375" style="12" customWidth="1"/>
    <col min="23" max="23" width="1.7109375" style="12" customWidth="1"/>
    <col min="24" max="26" width="0.140625" style="42" customWidth="1"/>
    <col min="27" max="55" width="5.7109375" style="42" hidden="1" customWidth="1"/>
    <col min="56" max="58" width="20.7109375" style="42" hidden="1" customWidth="1"/>
    <col min="59" max="59" width="1.7109375" style="12" customWidth="1"/>
    <col min="60" max="97" width="0" style="12" hidden="1" customWidth="1"/>
    <col min="98" max="332" width="0" style="12" hidden="1"/>
    <col min="333" max="16384" width="5.7109375" style="12" hidden="1"/>
  </cols>
  <sheetData>
    <row r="1" spans="1:59" ht="39.950000000000003" customHeight="1" x14ac:dyDescent="0.25">
      <c r="A1" s="76" t="s">
        <v>71</v>
      </c>
      <c r="B1" s="1">
        <f>COUNTIF($A$1,"Temizlik Sorumlusu")*($AC$39)
+COUNTIF($A$1,"Temizlik Görevlisi")*($AC$40)</f>
        <v>2115.17</v>
      </c>
      <c r="C1" s="2" t="s">
        <v>79</v>
      </c>
      <c r="D1" s="2" t="s">
        <v>82</v>
      </c>
      <c r="E1" s="2" t="s">
        <v>83</v>
      </c>
      <c r="F1" s="3" t="s">
        <v>87</v>
      </c>
      <c r="G1" s="2" t="s">
        <v>88</v>
      </c>
      <c r="H1" s="2" t="s">
        <v>48</v>
      </c>
      <c r="I1" s="2" t="s">
        <v>64</v>
      </c>
      <c r="J1" s="4" t="s">
        <v>49</v>
      </c>
      <c r="K1" s="5"/>
      <c r="L1" s="6"/>
      <c r="M1" s="2" t="s">
        <v>78</v>
      </c>
      <c r="N1" s="2" t="s">
        <v>67</v>
      </c>
      <c r="O1" s="2" t="s">
        <v>90</v>
      </c>
      <c r="P1" s="7" t="s">
        <v>60</v>
      </c>
      <c r="Q1" s="82" t="s">
        <v>47</v>
      </c>
      <c r="R1" s="8"/>
      <c r="S1" s="83" t="s">
        <v>37</v>
      </c>
      <c r="T1" s="9"/>
      <c r="U1" s="10"/>
      <c r="V1" s="11"/>
      <c r="W1" s="70"/>
      <c r="X1" s="40" t="s">
        <v>28</v>
      </c>
      <c r="Y1" s="41">
        <f t="shared" ref="Y1" ca="1" si="0">IF(Z1&gt;0,Z1,Z1*-1)</f>
        <v>503192.34017359582</v>
      </c>
      <c r="Z1" s="41">
        <f ca="1">COUNTIF(Q1,"Ocak")*(AO15)
+COUNTIF(Q1,"Şubat")*(AO16)
+COUNTIF(Q1,"Mart")*(AO17)
+COUNTIF(Q1,"Nisan")*(AO18)
+COUNTIF(Q1,"Mayıs")*(AO19)
+COUNTIF(Q1,"Haziran")*(AO20)
+COUNTIF(Q1,"Temmuz")*(AO21)
+COUNTIF(Q1,"Ağustos")*(AO22)
+COUNTIF(Q1,"Eylül")*(AO23)
+COUNTIF(Q1,"Ekim")*(AO24)
+COUNTIF(Q1,"Kasım")*(AO25)
+COUNTIF(Q1,"Aralık")*(AO26)
+COUNTIF(Q1,"Yıllık Toplam")*(AO27)
+COUNTIF(Q1,"Yıllık Ortalama")*(AO28)</f>
        <v>503192.34017359582</v>
      </c>
      <c r="AE1" s="43">
        <f ca="1">(AX15*AY73)</f>
        <v>0</v>
      </c>
      <c r="AF1" s="43">
        <f>(300*H15)</f>
        <v>6000</v>
      </c>
      <c r="AG1" s="43">
        <f ca="1">(AH1+AK1+AO1+AP1+AT1)</f>
        <v>5574</v>
      </c>
      <c r="AH1" s="43">
        <f>(AF1)</f>
        <v>6000</v>
      </c>
      <c r="AI1" s="43">
        <f>(AF1)</f>
        <v>6000</v>
      </c>
      <c r="AJ1" s="43">
        <f>(AH1-AI1)</f>
        <v>0</v>
      </c>
      <c r="AK1" s="43">
        <f>(AJ1*0.00759*-1)</f>
        <v>0</v>
      </c>
      <c r="AL1" s="43">
        <f>(AH1)</f>
        <v>6000</v>
      </c>
      <c r="AM1" s="43">
        <f>($AC$13*H15)</f>
        <v>3160</v>
      </c>
      <c r="AN1" s="43">
        <f>IF(AL1-AM1&lt;=0,0,AL1-AM1)</f>
        <v>2840</v>
      </c>
      <c r="AO1" s="43">
        <f>(AN1*0.14*-1)</f>
        <v>-397.6</v>
      </c>
      <c r="AP1" s="43">
        <f>(AN1*0.01*-1)</f>
        <v>-28.400000000000002</v>
      </c>
      <c r="AQ1" s="43">
        <f>(AH1+AO1+AP1)</f>
        <v>5574</v>
      </c>
      <c r="AR1" s="43">
        <f>IF($AC$14*H15&gt;=AF1,AF1,$AC$14*H15)</f>
        <v>6000</v>
      </c>
      <c r="AS1" s="43">
        <f>IF(AQ1-AR1&lt;=0,0,AQ1-AR1)</f>
        <v>0</v>
      </c>
      <c r="AT1" s="43">
        <f ca="1">IF(AS1*AT73*-1&gt;=0,0,AS1*AT73*-1)</f>
        <v>0</v>
      </c>
      <c r="AU1" s="44">
        <v>26</v>
      </c>
      <c r="AV1" s="43">
        <f ca="1">(AW1/AY73)</f>
        <v>3843.840483417493</v>
      </c>
      <c r="AW1" s="43">
        <f t="shared" ref="AW1" si="1">(2748/26*AU1)</f>
        <v>2748</v>
      </c>
      <c r="AX1" s="44">
        <v>0</v>
      </c>
      <c r="BG1" s="73"/>
    </row>
    <row r="2" spans="1:59" ht="39.950000000000003" customHeight="1" x14ac:dyDescent="0.25">
      <c r="A2" s="76"/>
      <c r="B2" s="1"/>
      <c r="C2" s="2"/>
      <c r="D2" s="2"/>
      <c r="E2" s="2"/>
      <c r="F2" s="13"/>
      <c r="G2" s="2"/>
      <c r="H2" s="2"/>
      <c r="I2" s="2"/>
      <c r="J2" s="14"/>
      <c r="K2" s="15"/>
      <c r="L2" s="16"/>
      <c r="M2" s="2"/>
      <c r="N2" s="2"/>
      <c r="O2" s="2"/>
      <c r="P2" s="7"/>
      <c r="Q2" s="82"/>
      <c r="R2" s="8"/>
      <c r="S2" s="83"/>
      <c r="T2" s="17"/>
      <c r="U2" s="18" t="str">
        <f>IF($S$1="Analık Hâli İzni",$Y$22,
IF($S$1="Annelik İzni",$Y$23,
IF($S$1="Babalık İzni",$Y$24,
IF($S$1="Cenaze İzni",$Y$25,
IF($S$1="Doğal Afet İzni",$Y$26,
IF($S$1="Engelli Çocuk İzni",$Y$27,
IF($S$1="Evlat Edinme İzni",$Y$28,
IF($S$1="Evlilik İzni",$Y$29,
IF($S$1="İş Arama İzni",$Y$30,
IF($S$1="Mazeret İzni",$Y$31,
IF($S$1="Süt İzni",$Y$32,
IF($S$1="Ücretli Sendikal İzin ve Sendika Temsilci Sayısı",$Y$33,
IF($S$1="Ücretli Yıllık İzin",$Y$34,
IF($S$1="Yol İzni",$Y$35))))))))))))))</f>
        <v>a) Hizmeti 6 ay olanlar için 0 iş günü ücretli yıllık izin verilir.
Hizmeti 1-5 yıl olanlar için 18 iş günü ücretli yıllık izin verilir.
Hizmeti 5-10 yıl olanlar için 23 iş günü ücretli yıllık izin verilir.
Hizmeti 10-15 yıl olanlar için 23 iş günü ücretli yıllık izin verilir.
Hizmeti 15 yıldan fazla olanlar için 28 iş günü ücretli yıllık izin verilir.</v>
      </c>
      <c r="V2" s="19"/>
      <c r="W2" s="71"/>
      <c r="X2" s="40" t="s">
        <v>84</v>
      </c>
      <c r="Y2" s="41">
        <f t="shared" ref="Y2" ca="1" si="2">IF(Z2&gt;0,Z2,Z2*-1)</f>
        <v>0</v>
      </c>
      <c r="Z2" s="41">
        <f ca="1">COUNTIF(Q1,"Ocak")*(AS15)
+COUNTIF(Q1,"Şubat")*(AS16)
+COUNTIF(Q1,"Mart")*(AS17)
+COUNTIF(Q1,"Nisan")*(AS18)
+COUNTIF(Q1,"Mayıs")*(AS19)
+COUNTIF(Q1,"Haziran")*(AS20)
+COUNTIF(Q1,"Temmuz")*(AS21)
+COUNTIF(Q1,"Ağustos")*(AS22)
+COUNTIF(Q1,"Eylül")*(AS23)
+COUNTIF(Q1,"Ekim")*(AS24)
+COUNTIF(Q1,"Kasım")*(AS25)
+COUNTIF(Q1,"Aralık")*(AS26)
+COUNTIF(Q1,"Yıllık Toplam")*(AS27)
+COUNTIF(Q1,"Yıllık Ortalama")*(AS28)</f>
        <v>0</v>
      </c>
      <c r="AA2" s="45">
        <f>(10%)</f>
        <v>0.1</v>
      </c>
      <c r="AB2" s="42" t="s">
        <v>0</v>
      </c>
      <c r="AC2" s="43">
        <f>($AC$8*$AA$2)</f>
        <v>3303</v>
      </c>
      <c r="AD2" s="43">
        <f>($AD$8*$AA$2)</f>
        <v>3303</v>
      </c>
      <c r="AE2" s="43">
        <f ca="1">(AX16*AY74)</f>
        <v>0</v>
      </c>
      <c r="AF2" s="43">
        <f>(300*H16)</f>
        <v>6000</v>
      </c>
      <c r="AG2" s="43">
        <f t="shared" ref="AG2:AG12" ca="1" si="3">(AH2+AK2+AO2+AP2+AT2)</f>
        <v>5574</v>
      </c>
      <c r="AH2" s="43">
        <f t="shared" ref="AH2:AH12" si="4">(AF2)</f>
        <v>6000</v>
      </c>
      <c r="AI2" s="43">
        <f t="shared" ref="AI2:AI12" si="5">(AF2)</f>
        <v>6000</v>
      </c>
      <c r="AJ2" s="43">
        <f t="shared" ref="AJ2:AJ12" si="6">(AH2-AI2)</f>
        <v>0</v>
      </c>
      <c r="AK2" s="43">
        <f t="shared" ref="AK2:AK12" si="7">(AJ2*0.00759*-1)</f>
        <v>0</v>
      </c>
      <c r="AL2" s="43">
        <f t="shared" ref="AL2:AL12" si="8">(AH2)</f>
        <v>6000</v>
      </c>
      <c r="AM2" s="43">
        <f>($AC$13*H16)</f>
        <v>3160</v>
      </c>
      <c r="AN2" s="43">
        <f t="shared" ref="AN2:AN12" si="9">IF(AL2-AM2&lt;=0,0,AL2-AM2)</f>
        <v>2840</v>
      </c>
      <c r="AO2" s="43">
        <f t="shared" ref="AO2:AO12" si="10">(AN2*0.14*-1)</f>
        <v>-397.6</v>
      </c>
      <c r="AP2" s="43">
        <f t="shared" ref="AP2:AP12" si="11">(AN2*0.01*-1)</f>
        <v>-28.400000000000002</v>
      </c>
      <c r="AQ2" s="43">
        <f t="shared" ref="AQ2:AQ12" si="12">(AH2+AO2+AP2)</f>
        <v>5574</v>
      </c>
      <c r="AR2" s="43">
        <f>IF($AC$14*H16&gt;=AF2,AF2,$AC$14*H16)</f>
        <v>6000</v>
      </c>
      <c r="AS2" s="43">
        <f t="shared" ref="AS2:AS12" si="13">IF(AQ2-AR2&lt;=0,0,AQ2-AR2)</f>
        <v>0</v>
      </c>
      <c r="AT2" s="43">
        <f ca="1">IF(AS2*AT74*-1&gt;=0,0,AS2*AT74*-1)</f>
        <v>0</v>
      </c>
      <c r="AU2" s="44">
        <v>26</v>
      </c>
      <c r="AV2" s="43">
        <f ca="1">(AW2/AY74)</f>
        <v>4613.1680910883888</v>
      </c>
      <c r="AW2" s="43">
        <f>(3298/26*AU2)</f>
        <v>3298</v>
      </c>
      <c r="AX2" s="44">
        <v>0</v>
      </c>
      <c r="BD2" s="42">
        <v>0</v>
      </c>
      <c r="BE2" s="46">
        <v>0</v>
      </c>
      <c r="BF2" s="47">
        <v>0</v>
      </c>
      <c r="BG2" s="74"/>
    </row>
    <row r="3" spans="1:59" ht="39.950000000000003" customHeight="1" x14ac:dyDescent="0.25">
      <c r="A3" s="76"/>
      <c r="B3" s="1"/>
      <c r="C3" s="2"/>
      <c r="D3" s="2"/>
      <c r="E3" s="2"/>
      <c r="F3" s="13"/>
      <c r="G3" s="2"/>
      <c r="H3" s="2"/>
      <c r="I3" s="2"/>
      <c r="J3" s="14"/>
      <c r="K3" s="15"/>
      <c r="L3" s="16"/>
      <c r="M3" s="2"/>
      <c r="N3" s="2"/>
      <c r="O3" s="2"/>
      <c r="P3" s="7"/>
      <c r="Q3" s="82"/>
      <c r="R3" s="8"/>
      <c r="S3" s="83"/>
      <c r="T3" s="17"/>
      <c r="U3" s="18"/>
      <c r="V3" s="19"/>
      <c r="W3" s="71"/>
      <c r="X3" s="40" t="s">
        <v>85</v>
      </c>
      <c r="Y3" s="41">
        <f t="shared" ref="Y3" ca="1" si="14">IF(Z3&gt;0,Z3,Z3*-1)</f>
        <v>0</v>
      </c>
      <c r="Z3" s="41">
        <f ca="1">COUNTIF(Q1,"Ocak")*(AU15)
+COUNTIF(Q1,"Şubat")*(AU16)
+COUNTIF(Q1,"Mart")*(AU17)
+COUNTIF(Q1,"Nisan")*(AU18)
+COUNTIF(Q1,"Mayıs")*(AU19)
+COUNTIF(Q1,"Haziran")*(AU20)
+COUNTIF(Q1,"Temmuz")*(AU21)
+COUNTIF(Q1,"Ağustos")*(AU22)
+COUNTIF(Q1,"Eylül")*(AU23)
+COUNTIF(Q1,"Ekim")*(AU24)
+COUNTIF(Q1,"Kasım")*(AU25)
+COUNTIF(Q1,"Aralık")*(AU26)
+COUNTIF(Q1,"Yıllık Toplam")*(AU27)
+COUNTIF(Q1,"Yıllık Ortalama")*(AU28)</f>
        <v>0</v>
      </c>
      <c r="AA3" s="45">
        <f>(2%)</f>
        <v>0.02</v>
      </c>
      <c r="AB3" s="42" t="s">
        <v>0</v>
      </c>
      <c r="AC3" s="43">
        <f>($AC$8*$AA$3)</f>
        <v>660.6</v>
      </c>
      <c r="AD3" s="43">
        <f>($AD$8*$AA$3)</f>
        <v>660.6</v>
      </c>
      <c r="AE3" s="43">
        <f ca="1">(AX17*AY75)</f>
        <v>0</v>
      </c>
      <c r="AF3" s="43">
        <f>(300*H17)</f>
        <v>6000</v>
      </c>
      <c r="AG3" s="43">
        <f t="shared" ca="1" si="3"/>
        <v>5574</v>
      </c>
      <c r="AH3" s="43">
        <f t="shared" si="4"/>
        <v>6000</v>
      </c>
      <c r="AI3" s="43">
        <f t="shared" si="5"/>
        <v>6000</v>
      </c>
      <c r="AJ3" s="43">
        <f t="shared" si="6"/>
        <v>0</v>
      </c>
      <c r="AK3" s="43">
        <f t="shared" si="7"/>
        <v>0</v>
      </c>
      <c r="AL3" s="43">
        <f t="shared" si="8"/>
        <v>6000</v>
      </c>
      <c r="AM3" s="43">
        <f>($AC$13*H17)</f>
        <v>3160</v>
      </c>
      <c r="AN3" s="43">
        <f t="shared" si="9"/>
        <v>2840</v>
      </c>
      <c r="AO3" s="43">
        <f t="shared" si="10"/>
        <v>-397.6</v>
      </c>
      <c r="AP3" s="43">
        <f t="shared" si="11"/>
        <v>-28.400000000000002</v>
      </c>
      <c r="AQ3" s="43">
        <f t="shared" si="12"/>
        <v>5574</v>
      </c>
      <c r="AR3" s="43">
        <f>IF($AC$14*H17&gt;=AF3,AF3,$AC$14*H17)</f>
        <v>6000</v>
      </c>
      <c r="AS3" s="43">
        <f t="shared" si="13"/>
        <v>0</v>
      </c>
      <c r="AT3" s="43">
        <f ca="1">IF(AS3*AT75*-1&gt;=0,0,AS3*AT75*-1)</f>
        <v>0</v>
      </c>
      <c r="AU3" s="44">
        <v>26</v>
      </c>
      <c r="AV3" s="43">
        <f ca="1">(AW3/AY75)</f>
        <v>4655.4954967206322</v>
      </c>
      <c r="AW3" s="43">
        <f t="shared" ref="AW3:AW12" si="15">(3298/26*AU3)</f>
        <v>3298</v>
      </c>
      <c r="AX3" s="44">
        <v>15</v>
      </c>
      <c r="BD3" s="42">
        <v>1</v>
      </c>
      <c r="BE3" s="46">
        <v>0.5</v>
      </c>
      <c r="BF3" s="47">
        <v>0.03</v>
      </c>
      <c r="BG3" s="74"/>
    </row>
    <row r="4" spans="1:59" ht="39.950000000000003" customHeight="1" x14ac:dyDescent="0.25">
      <c r="A4" s="76"/>
      <c r="B4" s="1"/>
      <c r="C4" s="2"/>
      <c r="D4" s="2"/>
      <c r="E4" s="2"/>
      <c r="F4" s="13"/>
      <c r="G4" s="2"/>
      <c r="H4" s="2"/>
      <c r="I4" s="2"/>
      <c r="J4" s="14"/>
      <c r="K4" s="15"/>
      <c r="L4" s="16"/>
      <c r="M4" s="2"/>
      <c r="N4" s="2"/>
      <c r="O4" s="2"/>
      <c r="P4" s="7"/>
      <c r="Q4" s="82"/>
      <c r="R4" s="8"/>
      <c r="S4" s="83"/>
      <c r="T4" s="17"/>
      <c r="U4" s="18"/>
      <c r="V4" s="19"/>
      <c r="W4" s="71"/>
      <c r="X4" s="40" t="s">
        <v>86</v>
      </c>
      <c r="Y4" s="41">
        <f ca="1">IF(Z4&gt;0,Z4,Z4*-1)</f>
        <v>0</v>
      </c>
      <c r="Z4" s="41">
        <f ca="1">COUNTIF(Q1,"Ocak")*(AW15)
+COUNTIF(Q1,"Şubat")*(AW16)
+COUNTIF(Q1,"Mart")*(AW17)
+COUNTIF(Q1,"Nisan")*(AW18)
+COUNTIF(Q1,"Mayıs")*(AW19)
+COUNTIF(Q1,"Haziran")*(AW20)
+COUNTIF(Q1,"Temmuz")*(AW21)
+COUNTIF(Q1,"Ağustos")*(AW22)
+COUNTIF(Q1,"Eylül")*(AW23)
+COUNTIF(Q1,"Ekim")*(AW24)
+COUNTIF(Q1,"Kasım")*(AW25)
+COUNTIF(Q1,"Aralık")*(AW26)
+COUNTIF(Q1,"Yıllık Toplam")*(AW27)
+COUNTIF(Q1,"Yıllık Ortalama")*(AW28)</f>
        <v>0</v>
      </c>
      <c r="AA4" s="45">
        <f>(1%)</f>
        <v>0.01</v>
      </c>
      <c r="AB4" s="42" t="s">
        <v>0</v>
      </c>
      <c r="AC4" s="43">
        <f>($AC$8*$AA$4)</f>
        <v>330.3</v>
      </c>
      <c r="AD4" s="43">
        <f>($AD$8*$AA$4)</f>
        <v>330.3</v>
      </c>
      <c r="AE4" s="43">
        <f ca="1">(AX18*AY76)</f>
        <v>0</v>
      </c>
      <c r="AF4" s="43">
        <f>(300*H18)</f>
        <v>6000</v>
      </c>
      <c r="AG4" s="43">
        <f t="shared" ca="1" si="3"/>
        <v>5574</v>
      </c>
      <c r="AH4" s="43">
        <f t="shared" si="4"/>
        <v>6000</v>
      </c>
      <c r="AI4" s="43">
        <f t="shared" si="5"/>
        <v>6000</v>
      </c>
      <c r="AJ4" s="43">
        <f t="shared" si="6"/>
        <v>0</v>
      </c>
      <c r="AK4" s="43">
        <f t="shared" si="7"/>
        <v>0</v>
      </c>
      <c r="AL4" s="43">
        <f t="shared" si="8"/>
        <v>6000</v>
      </c>
      <c r="AM4" s="43">
        <f>($AC$13*H18)</f>
        <v>3160</v>
      </c>
      <c r="AN4" s="43">
        <f t="shared" si="9"/>
        <v>2840</v>
      </c>
      <c r="AO4" s="43">
        <f t="shared" si="10"/>
        <v>-397.6</v>
      </c>
      <c r="AP4" s="43">
        <f t="shared" si="11"/>
        <v>-28.400000000000002</v>
      </c>
      <c r="AQ4" s="43">
        <f t="shared" si="12"/>
        <v>5574</v>
      </c>
      <c r="AR4" s="43">
        <f>IF($AC$14*H18&gt;=AF4,AF4,$AC$14*H18)</f>
        <v>6000</v>
      </c>
      <c r="AS4" s="43">
        <f t="shared" si="13"/>
        <v>0</v>
      </c>
      <c r="AT4" s="43">
        <f ca="1">IF(AS4*AT76*-1&gt;=0,0,AS4*AT76*-1)</f>
        <v>0</v>
      </c>
      <c r="AU4" s="44">
        <v>26</v>
      </c>
      <c r="AV4" s="43">
        <f ca="1">(AW4/AY76)</f>
        <v>4904.7456165137346</v>
      </c>
      <c r="AW4" s="43">
        <f t="shared" si="15"/>
        <v>3298</v>
      </c>
      <c r="AX4" s="44">
        <v>0</v>
      </c>
      <c r="BD4" s="42">
        <v>2</v>
      </c>
      <c r="BE4" s="46">
        <v>1</v>
      </c>
      <c r="BF4" s="47">
        <v>0.04</v>
      </c>
      <c r="BG4" s="74"/>
    </row>
    <row r="5" spans="1:59" ht="39.950000000000003" customHeight="1" x14ac:dyDescent="0.25">
      <c r="A5" s="76"/>
      <c r="B5" s="1"/>
      <c r="C5" s="2"/>
      <c r="D5" s="2"/>
      <c r="E5" s="2"/>
      <c r="F5" s="13"/>
      <c r="G5" s="2"/>
      <c r="H5" s="2"/>
      <c r="I5" s="2"/>
      <c r="J5" s="14"/>
      <c r="K5" s="15"/>
      <c r="L5" s="16"/>
      <c r="M5" s="2"/>
      <c r="N5" s="2"/>
      <c r="O5" s="2"/>
      <c r="P5" s="7"/>
      <c r="Q5" s="82"/>
      <c r="R5" s="8"/>
      <c r="S5" s="83"/>
      <c r="T5" s="17"/>
      <c r="U5" s="18"/>
      <c r="V5" s="19"/>
      <c r="W5" s="71"/>
      <c r="X5" s="40" t="s">
        <v>89</v>
      </c>
      <c r="Y5" s="41">
        <f ca="1">IF(Z5&gt;0,Z5,Z5*-1)</f>
        <v>0</v>
      </c>
      <c r="Z5" s="43">
        <f ca="1">COUNTIF(Q1,"Ocak")*(AE1)
+COUNTIF(Q1,"Şubat")*(AE2)
+COUNTIF(Q1,"Mart")*(AE3)
+COUNTIF(Q1,"Nisan")*(AE4)
+COUNTIF(Q1,"Mayıs")*(AE5)
+COUNTIF(Q1,"Haziran")*(AE6)
+COUNTIF(Q1,"Temmuz")*(AE7)
+COUNTIF(Q1,"Ağustos")*(AE8)
+COUNTIF(Q1,"Eylül")*(AE9)
+COUNTIF(Q1,"Ekim")*(AE10)
+COUNTIF(Q1,"Kasım")*(AE11)
+COUNTIF(Q1,"Aralık")*(AE12)
+COUNTIF(Q1,"Yıllık Toplam")*(AE13)
+COUNTIF(Q1,"Yıllık Ortalama")*(AE14)</f>
        <v>0</v>
      </c>
      <c r="AA5" s="42" t="s">
        <v>0</v>
      </c>
      <c r="AB5" s="42" t="s">
        <v>0</v>
      </c>
      <c r="AC5" s="43">
        <f>($AC$16)</f>
        <v>3154.6307830000001</v>
      </c>
      <c r="AD5" s="43">
        <f>($AD$16)</f>
        <v>3154.6307830000001</v>
      </c>
      <c r="AE5" s="43">
        <f ca="1">(AX19*AY77)</f>
        <v>0</v>
      </c>
      <c r="AF5" s="43">
        <f>(300*H19)</f>
        <v>6000</v>
      </c>
      <c r="AG5" s="43">
        <f t="shared" ca="1" si="3"/>
        <v>5574</v>
      </c>
      <c r="AH5" s="43">
        <f t="shared" si="4"/>
        <v>6000</v>
      </c>
      <c r="AI5" s="43">
        <f t="shared" si="5"/>
        <v>6000</v>
      </c>
      <c r="AJ5" s="43">
        <f t="shared" si="6"/>
        <v>0</v>
      </c>
      <c r="AK5" s="43">
        <f t="shared" si="7"/>
        <v>0</v>
      </c>
      <c r="AL5" s="43">
        <f t="shared" si="8"/>
        <v>6000</v>
      </c>
      <c r="AM5" s="43">
        <f>($AC$13*H19)</f>
        <v>3160</v>
      </c>
      <c r="AN5" s="43">
        <f t="shared" si="9"/>
        <v>2840</v>
      </c>
      <c r="AO5" s="43">
        <f t="shared" si="10"/>
        <v>-397.6</v>
      </c>
      <c r="AP5" s="43">
        <f t="shared" si="11"/>
        <v>-28.400000000000002</v>
      </c>
      <c r="AQ5" s="43">
        <f t="shared" si="12"/>
        <v>5574</v>
      </c>
      <c r="AR5" s="43">
        <f>IF($AC$14*H19&gt;=AF5,AF5,$AC$14*H19)</f>
        <v>6000</v>
      </c>
      <c r="AS5" s="43">
        <f t="shared" si="13"/>
        <v>0</v>
      </c>
      <c r="AT5" s="43">
        <f ca="1">IF(AS5*AT77*-1&gt;=0,0,AS5*AT77*-1)</f>
        <v>0</v>
      </c>
      <c r="AU5" s="44">
        <v>26</v>
      </c>
      <c r="AV5" s="43">
        <f ca="1">(AW5/AY77)</f>
        <v>4904.7456165137346</v>
      </c>
      <c r="AW5" s="43">
        <f t="shared" si="15"/>
        <v>3298</v>
      </c>
      <c r="AX5" s="44">
        <v>0</v>
      </c>
      <c r="BD5" s="42">
        <v>3</v>
      </c>
      <c r="BE5" s="46">
        <v>1.5</v>
      </c>
      <c r="BF5" s="47">
        <v>0.05</v>
      </c>
      <c r="BG5" s="74"/>
    </row>
    <row r="6" spans="1:59" ht="39.950000000000003" customHeight="1" x14ac:dyDescent="0.25">
      <c r="A6" s="76"/>
      <c r="B6" s="1"/>
      <c r="C6" s="2"/>
      <c r="D6" s="2"/>
      <c r="E6" s="2"/>
      <c r="F6" s="13"/>
      <c r="G6" s="2"/>
      <c r="H6" s="2"/>
      <c r="I6" s="2"/>
      <c r="J6" s="14"/>
      <c r="K6" s="15"/>
      <c r="L6" s="16"/>
      <c r="M6" s="2"/>
      <c r="N6" s="2"/>
      <c r="O6" s="2"/>
      <c r="P6" s="7"/>
      <c r="Q6" s="82"/>
      <c r="R6" s="8"/>
      <c r="S6" s="83"/>
      <c r="T6" s="17"/>
      <c r="U6" s="18"/>
      <c r="V6" s="19"/>
      <c r="W6" s="71"/>
      <c r="X6" s="40" t="s">
        <v>5</v>
      </c>
      <c r="Y6" s="41">
        <f ca="1">IF(Z6&gt;0,Z6,Z6*-1)</f>
        <v>66888</v>
      </c>
      <c r="Z6" s="41">
        <f ca="1">COUNTIF(Q1,"Ocak")*(AG1)
+COUNTIF(Q1,"Şubat")*(AG2)
+COUNTIF(Q1,"Mart")*(AG3)
+COUNTIF(Q1,"Nisan")*(AG4)
+COUNTIF(Q1,"Mayıs")*(AG5)
+COUNTIF(Q1,"Haziran")*(AG6)
+COUNTIF(Q1,"Temmuz")*(AG7)
+COUNTIF(Q1,"Ağustos")*(AG8)
+COUNTIF(Q1,"Eylül")*(AG9)
+COUNTIF(Q1,"Ekim")*(AG10)
+COUNTIF(Q1,"Kasım")*(AG11)
+COUNTIF(Q1,"Aralık")*(AG12)
+COUNTIF(Q1,"Yıllık Toplam")*(AG13)
+COUNTIF(Q1,"Yıllık Ortalama")*(AG14)</f>
        <v>66888</v>
      </c>
      <c r="AA6" s="42" t="s">
        <v>0</v>
      </c>
      <c r="AB6" s="42" t="s">
        <v>0</v>
      </c>
      <c r="AC6" s="43">
        <f>($AC$17)</f>
        <v>693.93550000000005</v>
      </c>
      <c r="AD6" s="43">
        <f>($AD$17)</f>
        <v>693.93550000000005</v>
      </c>
      <c r="AE6" s="43">
        <f ca="1">(AX20*AY78)</f>
        <v>0</v>
      </c>
      <c r="AF6" s="43">
        <f>(300*H20)</f>
        <v>6000</v>
      </c>
      <c r="AG6" s="43">
        <f t="shared" ca="1" si="3"/>
        <v>5574</v>
      </c>
      <c r="AH6" s="43">
        <f t="shared" si="4"/>
        <v>6000</v>
      </c>
      <c r="AI6" s="43">
        <f t="shared" si="5"/>
        <v>6000</v>
      </c>
      <c r="AJ6" s="43">
        <f t="shared" si="6"/>
        <v>0</v>
      </c>
      <c r="AK6" s="43">
        <f t="shared" si="7"/>
        <v>0</v>
      </c>
      <c r="AL6" s="43">
        <f t="shared" si="8"/>
        <v>6000</v>
      </c>
      <c r="AM6" s="43">
        <f>($AC$13*H20)</f>
        <v>3160</v>
      </c>
      <c r="AN6" s="43">
        <f t="shared" si="9"/>
        <v>2840</v>
      </c>
      <c r="AO6" s="43">
        <f t="shared" si="10"/>
        <v>-397.6</v>
      </c>
      <c r="AP6" s="43">
        <f t="shared" si="11"/>
        <v>-28.400000000000002</v>
      </c>
      <c r="AQ6" s="43">
        <f t="shared" si="12"/>
        <v>5574</v>
      </c>
      <c r="AR6" s="43">
        <f>IF($AC$14*H20&gt;=AF6,AF6,$AC$14*H20)</f>
        <v>6000</v>
      </c>
      <c r="AS6" s="43">
        <f t="shared" si="13"/>
        <v>0</v>
      </c>
      <c r="AT6" s="43">
        <f ca="1">IF(AS6*AT78*-1&gt;=0,0,AS6*AT78*-1)</f>
        <v>0</v>
      </c>
      <c r="AU6" s="44">
        <v>26</v>
      </c>
      <c r="AV6" s="43">
        <f ca="1">(AW6/AY78)</f>
        <v>4955.9143395391657</v>
      </c>
      <c r="AW6" s="43">
        <f t="shared" si="15"/>
        <v>3298</v>
      </c>
      <c r="AX6" s="44">
        <v>15</v>
      </c>
      <c r="BD6" s="42">
        <v>4</v>
      </c>
      <c r="BE6" s="46">
        <v>2</v>
      </c>
      <c r="BF6" s="47">
        <v>0.06</v>
      </c>
      <c r="BG6" s="74"/>
    </row>
    <row r="7" spans="1:59" ht="39.950000000000003" customHeight="1" x14ac:dyDescent="0.25">
      <c r="A7" s="76"/>
      <c r="B7" s="1"/>
      <c r="C7" s="2"/>
      <c r="D7" s="2"/>
      <c r="E7" s="2"/>
      <c r="F7" s="13"/>
      <c r="G7" s="2"/>
      <c r="H7" s="2"/>
      <c r="I7" s="2"/>
      <c r="J7" s="14"/>
      <c r="K7" s="15"/>
      <c r="L7" s="16"/>
      <c r="M7" s="2"/>
      <c r="N7" s="2"/>
      <c r="O7" s="2"/>
      <c r="P7" s="7"/>
      <c r="Q7" s="82"/>
      <c r="R7" s="8"/>
      <c r="S7" s="83"/>
      <c r="T7" s="17"/>
      <c r="U7" s="18"/>
      <c r="V7" s="19"/>
      <c r="W7" s="71"/>
      <c r="X7" s="40" t="s">
        <v>27</v>
      </c>
      <c r="Y7" s="41">
        <f>IF(Z7&gt;0,Z7,Z7*-1)</f>
        <v>39026</v>
      </c>
      <c r="Z7" s="41">
        <f>COUNTIF(Q1,"Ocak")*(AW1)
+COUNTIF(Q1,"Şubat")*(AW2)
+COUNTIF(Q1,"Mart")*(AW3)
+COUNTIF(Q1,"Nisan")*(AW4)
+COUNTIF(Q1,"Mayıs")*(AW5)
+COUNTIF(Q1,"Haziran")*(AW6)
+COUNTIF(Q1,"Temmuz")*(AW7)
+COUNTIF(Q1,"Ağustos")*(AW8)
+COUNTIF(Q1,"Eylül")*(AW9)
+COUNTIF(Q1,"Ekim")*(AW10)
+COUNTIF(Q1,"Kasım")*(AW11)
+COUNTIF(Q1,"Aralık")*(AW12)
+COUNTIF(Q1,"Yıllık Toplam")*(AW13)
+COUNTIF(Q1,"Yıllık Ortalama")*(AW14)</f>
        <v>39026</v>
      </c>
      <c r="AA7" s="42" t="s">
        <v>0</v>
      </c>
      <c r="AB7" s="42" t="s">
        <v>0</v>
      </c>
      <c r="AC7" s="43">
        <f>($AC$18)</f>
        <v>346.96775000000002</v>
      </c>
      <c r="AD7" s="43">
        <f>($AD$18)</f>
        <v>346.96775000000002</v>
      </c>
      <c r="AE7" s="43">
        <f ca="1">(AX21*AY79)</f>
        <v>0</v>
      </c>
      <c r="AF7" s="43">
        <f>(300*H21)</f>
        <v>6000</v>
      </c>
      <c r="AG7" s="43">
        <f t="shared" ca="1" si="3"/>
        <v>5574</v>
      </c>
      <c r="AH7" s="43">
        <f t="shared" si="4"/>
        <v>6000</v>
      </c>
      <c r="AI7" s="43">
        <f t="shared" si="5"/>
        <v>6000</v>
      </c>
      <c r="AJ7" s="43">
        <f t="shared" si="6"/>
        <v>0</v>
      </c>
      <c r="AK7" s="43">
        <f t="shared" si="7"/>
        <v>0</v>
      </c>
      <c r="AL7" s="43">
        <f t="shared" si="8"/>
        <v>6000</v>
      </c>
      <c r="AM7" s="43">
        <f>($AD$13*H21)</f>
        <v>3160</v>
      </c>
      <c r="AN7" s="43">
        <f t="shared" si="9"/>
        <v>2840</v>
      </c>
      <c r="AO7" s="43">
        <f t="shared" si="10"/>
        <v>-397.6</v>
      </c>
      <c r="AP7" s="43">
        <f t="shared" si="11"/>
        <v>-28.400000000000002</v>
      </c>
      <c r="AQ7" s="43">
        <f t="shared" si="12"/>
        <v>5574</v>
      </c>
      <c r="AR7" s="43">
        <f>IF($AD$14*H21&gt;=AF7,AF7,$AD$14*H21)</f>
        <v>6000</v>
      </c>
      <c r="AS7" s="43">
        <f t="shared" si="13"/>
        <v>0</v>
      </c>
      <c r="AT7" s="43">
        <f ca="1">IF(AS7*AT79*-1&gt;=0,0,AS7*AT79*-1)</f>
        <v>0</v>
      </c>
      <c r="AU7" s="44">
        <v>26</v>
      </c>
      <c r="AV7" s="43">
        <f ca="1">(AW7/AY79)</f>
        <v>5380.8878954495767</v>
      </c>
      <c r="AW7" s="43">
        <f t="shared" si="15"/>
        <v>3298</v>
      </c>
      <c r="AX7" s="44">
        <v>0</v>
      </c>
      <c r="BD7" s="42">
        <v>5</v>
      </c>
      <c r="BE7" s="46">
        <v>2.5</v>
      </c>
      <c r="BF7" s="47">
        <v>7.0000000000000007E-2</v>
      </c>
      <c r="BG7" s="74"/>
    </row>
    <row r="8" spans="1:59" ht="39.950000000000003" customHeight="1" x14ac:dyDescent="0.25">
      <c r="A8" s="76"/>
      <c r="B8" s="1"/>
      <c r="C8" s="2"/>
      <c r="D8" s="2"/>
      <c r="E8" s="2"/>
      <c r="F8" s="13"/>
      <c r="G8" s="2"/>
      <c r="H8" s="2"/>
      <c r="I8" s="2"/>
      <c r="J8" s="14"/>
      <c r="K8" s="15"/>
      <c r="L8" s="16"/>
      <c r="M8" s="2"/>
      <c r="N8" s="2"/>
      <c r="O8" s="2"/>
      <c r="P8" s="7"/>
      <c r="Q8" s="82"/>
      <c r="R8" s="8"/>
      <c r="S8" s="83"/>
      <c r="T8" s="17"/>
      <c r="U8" s="18"/>
      <c r="V8" s="19"/>
      <c r="W8" s="71"/>
      <c r="X8" s="40" t="s">
        <v>32</v>
      </c>
      <c r="Y8" s="41">
        <f ca="1">IF(Z8&gt;0,Z8,Z8*-1)</f>
        <v>82482.035857191106</v>
      </c>
      <c r="Z8" s="41">
        <f ca="1">COUNTIF(Q1,"Ocak")*(AF29)
+COUNTIF(Q1,"Şubat")*(AF30)
+COUNTIF(Q1,"Mart")*(AF31)
+COUNTIF(Q1,"Nisan")*(AF32)
+COUNTIF(Q1,"Mayıs")*(AF33)
+COUNTIF(Q1,"Haziran")*(AF34)
+COUNTIF(Q1,"Temmuz")*(AF35)
+COUNTIF(Q1,"Ağustos")*(AF36)
+COUNTIF(Q1,"Eylül")*(AF37)
+COUNTIF(Q1,"Ekim")*(AF38)
+COUNTIF(Q1,"Kasım")*(AF39)
+COUNTIF(Q1,"Aralık")*(AF40)
+COUNTIF(Q1,"Yıllık Toplam")*(AF41)
+COUNTIF(Q1,"Yıllık Ortalama")*(AF42)</f>
        <v>82482.035857191106</v>
      </c>
      <c r="AA8" s="43" t="s">
        <v>0</v>
      </c>
      <c r="AB8" s="42" t="s">
        <v>0</v>
      </c>
      <c r="AC8" s="41">
        <v>33030</v>
      </c>
      <c r="AD8" s="41">
        <v>33030</v>
      </c>
      <c r="AE8" s="43">
        <f ca="1">(AX22*AY80)</f>
        <v>0</v>
      </c>
      <c r="AF8" s="43">
        <f>(300*H22)</f>
        <v>6000</v>
      </c>
      <c r="AG8" s="43">
        <f t="shared" ca="1" si="3"/>
        <v>5574</v>
      </c>
      <c r="AH8" s="43">
        <f t="shared" si="4"/>
        <v>6000</v>
      </c>
      <c r="AI8" s="43">
        <f t="shared" si="5"/>
        <v>6000</v>
      </c>
      <c r="AJ8" s="43">
        <f t="shared" si="6"/>
        <v>0</v>
      </c>
      <c r="AK8" s="43">
        <f t="shared" si="7"/>
        <v>0</v>
      </c>
      <c r="AL8" s="43">
        <f t="shared" si="8"/>
        <v>6000</v>
      </c>
      <c r="AM8" s="43">
        <f>($AD$13*H22)</f>
        <v>3160</v>
      </c>
      <c r="AN8" s="43">
        <f t="shared" si="9"/>
        <v>2840</v>
      </c>
      <c r="AO8" s="43">
        <f t="shared" si="10"/>
        <v>-397.6</v>
      </c>
      <c r="AP8" s="43">
        <f t="shared" si="11"/>
        <v>-28.400000000000002</v>
      </c>
      <c r="AQ8" s="43">
        <f t="shared" si="12"/>
        <v>5574</v>
      </c>
      <c r="AR8" s="43">
        <f>IF($AD$14*H22&gt;=AF8,AF8,$AD$14*H22)</f>
        <v>6000</v>
      </c>
      <c r="AS8" s="43">
        <f t="shared" si="13"/>
        <v>0</v>
      </c>
      <c r="AT8" s="43">
        <f ca="1">IF(AS8*AT80*-1&gt;=0,0,AS8*AT80*-1)</f>
        <v>0</v>
      </c>
      <c r="AU8" s="44">
        <v>26</v>
      </c>
      <c r="AV8" s="43">
        <f ca="1">(AW8/AY80)</f>
        <v>5380.8878954495767</v>
      </c>
      <c r="AW8" s="43">
        <f t="shared" si="15"/>
        <v>3298</v>
      </c>
      <c r="AX8" s="44">
        <v>0</v>
      </c>
      <c r="BD8" s="42">
        <v>6</v>
      </c>
      <c r="BE8" s="46">
        <v>3</v>
      </c>
      <c r="BF8" s="47">
        <v>0.08</v>
      </c>
      <c r="BG8" s="74"/>
    </row>
    <row r="9" spans="1:59" ht="39.950000000000003" customHeight="1" x14ac:dyDescent="0.25">
      <c r="A9" s="76"/>
      <c r="B9" s="1"/>
      <c r="C9" s="2"/>
      <c r="D9" s="2"/>
      <c r="E9" s="2"/>
      <c r="F9" s="13"/>
      <c r="G9" s="2"/>
      <c r="H9" s="2"/>
      <c r="I9" s="2"/>
      <c r="J9" s="14"/>
      <c r="K9" s="15"/>
      <c r="L9" s="16"/>
      <c r="M9" s="2"/>
      <c r="N9" s="2"/>
      <c r="O9" s="2"/>
      <c r="P9" s="7"/>
      <c r="Q9" s="82"/>
      <c r="R9" s="8"/>
      <c r="S9" s="83"/>
      <c r="T9" s="17"/>
      <c r="U9" s="18"/>
      <c r="V9" s="19"/>
      <c r="W9" s="71"/>
      <c r="X9" s="40" t="s">
        <v>77</v>
      </c>
      <c r="Y9" s="41">
        <f t="shared" ref="Y9:Y11" ca="1" si="16">IF(Z9&gt;0,Z9,Z9*-1)</f>
        <v>34621.029302947361</v>
      </c>
      <c r="Z9" s="41">
        <f ca="1">COUNTIF(Q1,"Ocak")*(AI29)
+COUNTIF(Q1,"Şubat")*(AI30)
+COUNTIF(Q1,"Mart")*(AI31)
+COUNTIF(Q1,"Nisan")*(AI32)
+COUNTIF(Q1,"Mayıs")*(AI33)
+COUNTIF(Q1,"Haziran")*(AI34)
+COUNTIF(Q1,"Temmuz")*(AI35)
+COUNTIF(Q1,"Ağustos")*(AI36)
+COUNTIF(Q1,"Eylül")*(AI37)
+COUNTIF(Q1,"Ekim")*(AI38)
+COUNTIF(Q1,"Kasım")*(AI39)
+COUNTIF(Q1,"Aralık")*(AI40)
+COUNTIF(Q1,"Yıllık Toplam")*(AI41)
+COUNTIF(Q1,"Yıllık Ortalama")*(AI42)</f>
        <v>34621.029302947361</v>
      </c>
      <c r="AA9" s="43" t="s">
        <v>0</v>
      </c>
      <c r="AB9" s="42" t="s">
        <v>0</v>
      </c>
      <c r="AC9" s="41">
        <v>0</v>
      </c>
      <c r="AD9" s="41">
        <v>0</v>
      </c>
      <c r="AE9" s="43">
        <f ca="1">(AX23*AY81)</f>
        <v>0</v>
      </c>
      <c r="AF9" s="43">
        <f>(300*H23)</f>
        <v>6000</v>
      </c>
      <c r="AG9" s="43">
        <f t="shared" ca="1" si="3"/>
        <v>5574</v>
      </c>
      <c r="AH9" s="43">
        <f t="shared" si="4"/>
        <v>6000</v>
      </c>
      <c r="AI9" s="43">
        <f t="shared" si="5"/>
        <v>6000</v>
      </c>
      <c r="AJ9" s="43">
        <f t="shared" si="6"/>
        <v>0</v>
      </c>
      <c r="AK9" s="43">
        <f t="shared" si="7"/>
        <v>0</v>
      </c>
      <c r="AL9" s="43">
        <f t="shared" si="8"/>
        <v>6000</v>
      </c>
      <c r="AM9" s="43">
        <f>($AD$13*H23)</f>
        <v>3160</v>
      </c>
      <c r="AN9" s="43">
        <f t="shared" si="9"/>
        <v>2840</v>
      </c>
      <c r="AO9" s="43">
        <f t="shared" si="10"/>
        <v>-397.6</v>
      </c>
      <c r="AP9" s="43">
        <f t="shared" si="11"/>
        <v>-28.400000000000002</v>
      </c>
      <c r="AQ9" s="43">
        <f t="shared" si="12"/>
        <v>5574</v>
      </c>
      <c r="AR9" s="43">
        <f>IF($AD$14*H23&gt;=AF9,AF9,$AD$14*H23)</f>
        <v>6000</v>
      </c>
      <c r="AS9" s="43">
        <f t="shared" si="13"/>
        <v>0</v>
      </c>
      <c r="AT9" s="43">
        <f ca="1">IF(AS9*AT81*-1&gt;=0,0,AS9*AT81*-1)</f>
        <v>0</v>
      </c>
      <c r="AU9" s="44">
        <v>26</v>
      </c>
      <c r="AV9" s="43">
        <f ca="1">(AW9/AY81)</f>
        <v>5380.8878954495767</v>
      </c>
      <c r="AW9" s="43">
        <f t="shared" si="15"/>
        <v>3298</v>
      </c>
      <c r="AX9" s="44">
        <v>15</v>
      </c>
      <c r="BD9" s="42">
        <v>7</v>
      </c>
      <c r="BE9" s="46">
        <v>3.5</v>
      </c>
      <c r="BF9" s="47">
        <v>0.09</v>
      </c>
      <c r="BG9" s="74"/>
    </row>
    <row r="10" spans="1:59" ht="39.950000000000003" customHeight="1" x14ac:dyDescent="0.25">
      <c r="A10" s="76"/>
      <c r="B10" s="1"/>
      <c r="C10" s="2"/>
      <c r="D10" s="2"/>
      <c r="E10" s="2"/>
      <c r="F10" s="13"/>
      <c r="G10" s="2"/>
      <c r="H10" s="2"/>
      <c r="I10" s="2"/>
      <c r="J10" s="14"/>
      <c r="K10" s="15"/>
      <c r="L10" s="16"/>
      <c r="M10" s="2"/>
      <c r="N10" s="2"/>
      <c r="O10" s="2"/>
      <c r="P10" s="7"/>
      <c r="Q10" s="82"/>
      <c r="R10" s="8"/>
      <c r="S10" s="83"/>
      <c r="T10" s="17"/>
      <c r="U10" s="18"/>
      <c r="V10" s="19"/>
      <c r="W10" s="71"/>
      <c r="X10" s="40" t="s">
        <v>68</v>
      </c>
      <c r="Y10" s="41">
        <f t="shared" ca="1" si="16"/>
        <v>3129.3743296394368</v>
      </c>
      <c r="Z10" s="41">
        <f ca="1">COUNTIF(Q1,"Ocak")*(AL29)
+COUNTIF(Q1,"Şubat")*(AL30)
+COUNTIF(Q1,"Mart")*(AL31)
+COUNTIF(Q1,"Nisan")*(AL32)
+COUNTIF(Q1,"Mayıs")*(AL33)
+COUNTIF(Q1,"Haziran")*(AL34)
+COUNTIF(Q1,"Temmuz")*(AL35)
+COUNTIF(Q1,"Ağustos")*(AL36)
+COUNTIF(Q1,"Eylül")*(AL37)
+COUNTIF(Q1,"Ekim")*(AL38)
+COUNTIF(Q1,"Kasım")*(AL39)
+COUNTIF(Q1,"Aralık")*(AL40)
+COUNTIF(Q1,"Yıllık Toplam")*(AL41)
+COUNTIF(Q1,"Yıllık Ortalama")*(AL42)</f>
        <v>3129.3743296394368</v>
      </c>
      <c r="AA10" s="43" t="s">
        <v>0</v>
      </c>
      <c r="AB10" s="42" t="s">
        <v>0</v>
      </c>
      <c r="AC10" s="41">
        <v>158</v>
      </c>
      <c r="AD10" s="41">
        <v>158</v>
      </c>
      <c r="AE10" s="43">
        <f ca="1">(AX24*AY82)</f>
        <v>0</v>
      </c>
      <c r="AF10" s="43">
        <f>(300*H24)</f>
        <v>6000</v>
      </c>
      <c r="AG10" s="43">
        <f t="shared" ca="1" si="3"/>
        <v>5574</v>
      </c>
      <c r="AH10" s="43">
        <f t="shared" si="4"/>
        <v>6000</v>
      </c>
      <c r="AI10" s="43">
        <f t="shared" si="5"/>
        <v>6000</v>
      </c>
      <c r="AJ10" s="43">
        <f t="shared" si="6"/>
        <v>0</v>
      </c>
      <c r="AK10" s="43">
        <f t="shared" si="7"/>
        <v>0</v>
      </c>
      <c r="AL10" s="43">
        <f t="shared" si="8"/>
        <v>6000</v>
      </c>
      <c r="AM10" s="43">
        <f>($AD$13*H24)</f>
        <v>3160</v>
      </c>
      <c r="AN10" s="43">
        <f t="shared" si="9"/>
        <v>2840</v>
      </c>
      <c r="AO10" s="43">
        <f t="shared" si="10"/>
        <v>-397.6</v>
      </c>
      <c r="AP10" s="43">
        <f t="shared" si="11"/>
        <v>-28.400000000000002</v>
      </c>
      <c r="AQ10" s="43">
        <f t="shared" si="12"/>
        <v>5574</v>
      </c>
      <c r="AR10" s="43">
        <f>IF($AD$14*H24&gt;=AF10,AF10,$AD$14*H24)</f>
        <v>6000</v>
      </c>
      <c r="AS10" s="43">
        <f t="shared" si="13"/>
        <v>0</v>
      </c>
      <c r="AT10" s="43">
        <f ca="1">IF(AS10*AT82*-1&gt;=0,0,AS10*AT82*-1)</f>
        <v>0</v>
      </c>
      <c r="AU10" s="44">
        <v>26</v>
      </c>
      <c r="AV10" s="43">
        <f ca="1">(AW10/AY82)</f>
        <v>5380.8878954495767</v>
      </c>
      <c r="AW10" s="43">
        <f t="shared" si="15"/>
        <v>3298</v>
      </c>
      <c r="AX10" s="44">
        <v>0</v>
      </c>
      <c r="BD10" s="42">
        <v>8</v>
      </c>
      <c r="BE10" s="46">
        <v>4</v>
      </c>
      <c r="BF10" s="47">
        <v>0.1</v>
      </c>
      <c r="BG10" s="74"/>
    </row>
    <row r="11" spans="1:59" ht="39.950000000000003" customHeight="1" x14ac:dyDescent="0.25">
      <c r="A11" s="76"/>
      <c r="B11" s="1"/>
      <c r="C11" s="2"/>
      <c r="D11" s="2"/>
      <c r="E11" s="2"/>
      <c r="F11" s="13"/>
      <c r="G11" s="2"/>
      <c r="H11" s="2"/>
      <c r="I11" s="2"/>
      <c r="J11" s="14"/>
      <c r="K11" s="15"/>
      <c r="L11" s="16"/>
      <c r="M11" s="2"/>
      <c r="N11" s="2"/>
      <c r="O11" s="2"/>
      <c r="P11" s="7"/>
      <c r="Q11" s="82"/>
      <c r="R11" s="8"/>
      <c r="S11" s="83"/>
      <c r="T11" s="17"/>
      <c r="U11" s="18"/>
      <c r="V11" s="19"/>
      <c r="W11" s="71"/>
      <c r="X11" s="40" t="s">
        <v>69</v>
      </c>
      <c r="Y11" s="41">
        <f t="shared" ca="1" si="16"/>
        <v>0</v>
      </c>
      <c r="Z11" s="41">
        <f ca="1">COUNTIF(Q1,"Ocak")*(AP29)
+COUNTIF(Q1,"Şubat")*(AP30)
+COUNTIF(Q1,"Mart")*(AP31)
+COUNTIF(Q1,"Nisan")*(AP32)
+COUNTIF(Q1,"Mayıs")*(AP33)
+COUNTIF(Q1,"Haziran")*(AP34)
+COUNTIF(Q1,"Temmuz")*(AP35)
+COUNTIF(Q1,"Ağustos")*(AP36)
+COUNTIF(Q1,"Eylül")*(AP37)
+COUNTIF(Q1,"Ekim")*(AP38)
+COUNTIF(Q1,"Kasım")*(AP39)
+COUNTIF(Q1,"Aralık")*(AP40)
+COUNTIF(Q1,"Yıllık Toplam")*(AP41)
+COUNTIF(Q1,"Yıllık Ortalama")*(AP42)</f>
        <v>0</v>
      </c>
      <c r="AA11" s="43" t="s">
        <v>0</v>
      </c>
      <c r="AB11" s="42" t="s">
        <v>0</v>
      </c>
      <c r="AC11" s="41">
        <v>1000</v>
      </c>
      <c r="AD11" s="41">
        <v>1000</v>
      </c>
      <c r="AE11" s="43">
        <f ca="1">(AX25*AY83)</f>
        <v>0</v>
      </c>
      <c r="AF11" s="43">
        <f>(300*H25)</f>
        <v>6000</v>
      </c>
      <c r="AG11" s="43">
        <f t="shared" ca="1" si="3"/>
        <v>5574</v>
      </c>
      <c r="AH11" s="43">
        <f t="shared" si="4"/>
        <v>6000</v>
      </c>
      <c r="AI11" s="43">
        <f t="shared" si="5"/>
        <v>6000</v>
      </c>
      <c r="AJ11" s="43">
        <f t="shared" si="6"/>
        <v>0</v>
      </c>
      <c r="AK11" s="43">
        <f t="shared" si="7"/>
        <v>0</v>
      </c>
      <c r="AL11" s="43">
        <f t="shared" si="8"/>
        <v>6000</v>
      </c>
      <c r="AM11" s="43">
        <f>($AD$13*H25)</f>
        <v>3160</v>
      </c>
      <c r="AN11" s="43">
        <f t="shared" si="9"/>
        <v>2840</v>
      </c>
      <c r="AO11" s="43">
        <f t="shared" si="10"/>
        <v>-397.6</v>
      </c>
      <c r="AP11" s="43">
        <f t="shared" si="11"/>
        <v>-28.400000000000002</v>
      </c>
      <c r="AQ11" s="43">
        <f t="shared" si="12"/>
        <v>5574</v>
      </c>
      <c r="AR11" s="43">
        <f>IF($AD$14*H25&gt;=AF11,AF11,$AD$14*H25)</f>
        <v>6000</v>
      </c>
      <c r="AS11" s="43">
        <f t="shared" si="13"/>
        <v>0</v>
      </c>
      <c r="AT11" s="43">
        <f ca="1">IF(AS11*AT83*-1&gt;=0,0,AS11*AT83*-1)</f>
        <v>0</v>
      </c>
      <c r="AU11" s="44">
        <v>26</v>
      </c>
      <c r="AV11" s="43">
        <f ca="1">(AW11/AY83)</f>
        <v>5380.8878954495767</v>
      </c>
      <c r="AW11" s="43">
        <f t="shared" si="15"/>
        <v>3298</v>
      </c>
      <c r="AX11" s="44">
        <v>0</v>
      </c>
      <c r="BD11" s="42">
        <v>9</v>
      </c>
      <c r="BE11" s="46">
        <v>4.5</v>
      </c>
      <c r="BF11" s="47">
        <v>0.11</v>
      </c>
      <c r="BG11" s="74"/>
    </row>
    <row r="12" spans="1:59" ht="39.950000000000003" customHeight="1" x14ac:dyDescent="0.25">
      <c r="A12" s="76"/>
      <c r="B12" s="1"/>
      <c r="C12" s="2"/>
      <c r="D12" s="2"/>
      <c r="E12" s="2"/>
      <c r="F12" s="13"/>
      <c r="G12" s="2"/>
      <c r="H12" s="2"/>
      <c r="I12" s="2"/>
      <c r="J12" s="14"/>
      <c r="K12" s="15"/>
      <c r="L12" s="16"/>
      <c r="M12" s="2"/>
      <c r="N12" s="2"/>
      <c r="O12" s="2"/>
      <c r="P12" s="7"/>
      <c r="Q12" s="82"/>
      <c r="R12" s="8"/>
      <c r="S12" s="83"/>
      <c r="T12" s="17"/>
      <c r="U12" s="18"/>
      <c r="V12" s="19"/>
      <c r="W12" s="71"/>
      <c r="X12" s="40" t="s">
        <v>33</v>
      </c>
      <c r="Y12" s="41">
        <f t="shared" ref="Y12:Y21" ca="1" si="17">IF(Z12&gt;0,Z12,Z12*-1)</f>
        <v>0</v>
      </c>
      <c r="Z12" s="41">
        <f ca="1">COUNTIF(Q1,"Ocak")*(AG43)
+COUNTIF(Q1,"Şubat")*(AG44)
+COUNTIF(Q1,"Mart")*(AG45)
+COUNTIF(Q1,"Nisan")*(AG46)
+COUNTIF(Q1,"Mayıs")*(AG47)
+COUNTIF(Q1,"Haziran")*(AG48)
+COUNTIF(Q1,"Temmuz")*(AG49)
+COUNTIF(Q1,"Ağustos")*(AG50)
+COUNTIF(Q1,"Eylül")*(AG51)
+COUNTIF(Q1,"Ekim")*(AG52)
+COUNTIF(Q1,"Kasım")*(AG53)
+COUNTIF(Q1,"Aralık")*(AG54)
+COUNTIF(Q1,"Yıllık Toplam")*(AG55)
+COUNTIF(Q1,"Yıllık Ortalama")*(AG56)</f>
        <v>0</v>
      </c>
      <c r="AA12" s="43" t="s">
        <v>0</v>
      </c>
      <c r="AB12" s="42" t="s">
        <v>0</v>
      </c>
      <c r="AC12" s="41">
        <v>1000</v>
      </c>
      <c r="AD12" s="41">
        <v>1000</v>
      </c>
      <c r="AE12" s="43">
        <f ca="1">(AX26*AY84)</f>
        <v>0</v>
      </c>
      <c r="AF12" s="43">
        <f>(300*H26)</f>
        <v>6000</v>
      </c>
      <c r="AG12" s="43">
        <f t="shared" ca="1" si="3"/>
        <v>5574</v>
      </c>
      <c r="AH12" s="43">
        <f t="shared" si="4"/>
        <v>6000</v>
      </c>
      <c r="AI12" s="43">
        <f t="shared" si="5"/>
        <v>6000</v>
      </c>
      <c r="AJ12" s="43">
        <f t="shared" si="6"/>
        <v>0</v>
      </c>
      <c r="AK12" s="43">
        <f t="shared" si="7"/>
        <v>0</v>
      </c>
      <c r="AL12" s="43">
        <f t="shared" si="8"/>
        <v>6000</v>
      </c>
      <c r="AM12" s="43">
        <f>($AD$13*H26)</f>
        <v>3160</v>
      </c>
      <c r="AN12" s="43">
        <f t="shared" si="9"/>
        <v>2840</v>
      </c>
      <c r="AO12" s="43">
        <f t="shared" si="10"/>
        <v>-397.6</v>
      </c>
      <c r="AP12" s="43">
        <f t="shared" si="11"/>
        <v>-28.400000000000002</v>
      </c>
      <c r="AQ12" s="43">
        <f t="shared" si="12"/>
        <v>5574</v>
      </c>
      <c r="AR12" s="43">
        <f>IF($AD$14*H26&gt;=AF12,AF12,$AD$14*H26)</f>
        <v>6000</v>
      </c>
      <c r="AS12" s="43">
        <f t="shared" si="13"/>
        <v>0</v>
      </c>
      <c r="AT12" s="43">
        <f ca="1">IF(AS12*AT84*-1&gt;=0,0,AS12*AT84*-1)</f>
        <v>0</v>
      </c>
      <c r="AU12" s="44">
        <v>26</v>
      </c>
      <c r="AV12" s="43">
        <f ca="1">(AW12/AY84)</f>
        <v>5380.8878954495767</v>
      </c>
      <c r="AW12" s="43">
        <f t="shared" si="15"/>
        <v>3298</v>
      </c>
      <c r="AX12" s="44">
        <v>15</v>
      </c>
      <c r="BD12" s="42">
        <v>10</v>
      </c>
      <c r="BE12" s="46">
        <v>5</v>
      </c>
      <c r="BF12" s="47">
        <v>0.12</v>
      </c>
      <c r="BG12" s="74"/>
    </row>
    <row r="13" spans="1:59" ht="39.950000000000003" customHeight="1" x14ac:dyDescent="0.25">
      <c r="A13" s="76"/>
      <c r="B13" s="1"/>
      <c r="C13" s="2"/>
      <c r="D13" s="2"/>
      <c r="E13" s="2"/>
      <c r="F13" s="13"/>
      <c r="G13" s="2"/>
      <c r="H13" s="2"/>
      <c r="I13" s="2"/>
      <c r="J13" s="14"/>
      <c r="K13" s="15"/>
      <c r="L13" s="16"/>
      <c r="M13" s="2"/>
      <c r="N13" s="2"/>
      <c r="O13" s="2"/>
      <c r="P13" s="7"/>
      <c r="Q13" s="82"/>
      <c r="R13" s="8"/>
      <c r="S13" s="83"/>
      <c r="T13" s="17"/>
      <c r="U13" s="18"/>
      <c r="V13" s="19"/>
      <c r="W13" s="71"/>
      <c r="X13" s="40" t="s">
        <v>34</v>
      </c>
      <c r="Y13" s="41">
        <f t="shared" si="17"/>
        <v>25382.039999999994</v>
      </c>
      <c r="Z13" s="41">
        <f>COUNTIF(Q1,"Ocak")*(AI43)*-1
+COUNTIF(Q1,"Şubat")*(AI44)*-1
+COUNTIF(Q1,"Mart")*(AI45)*-1
+COUNTIF(Q1,"Nisan")*(AI46)*-1
+COUNTIF(Q1,"Mayıs")*(AI47)*-1
+COUNTIF(Q1,"Haziran")*(AI48)*-1
+COUNTIF(Q1,"Temmuz")*(AI49)*-1
+COUNTIF(Q1,"Ağustos")*(AI50)*-1
+COUNTIF(Q1,"Eylül")*(AI51)*-1
+COUNTIF(Q1,"Ekim")*(AI52)*-1
+COUNTIF(Q1,"Kasım")*(AI53)*-1
+COUNTIF(Q1,"Aralık")*(AI54)*-1
+COUNTIF(Q1,"Yıllık Toplam")*(AI55)*-1
+COUNTIF(Q1,"Yıllık Ortalama")*(AI56)*-1</f>
        <v>25382.039999999994</v>
      </c>
      <c r="AA13" s="45">
        <f>(23.65%)</f>
        <v>0.23649999999999999</v>
      </c>
      <c r="AB13" s="42" t="s">
        <v>0</v>
      </c>
      <c r="AC13" s="41">
        <v>158</v>
      </c>
      <c r="AD13" s="41">
        <v>158</v>
      </c>
      <c r="AE13" s="43">
        <f ca="1">(AE1+AE2+AE3+AE4+AE5+AE6+AE7+AE8+AE9+AE10+AE11+AE12)</f>
        <v>0</v>
      </c>
      <c r="AF13" s="43">
        <f>(AF1+AF2+AF3+AF4+AF5+AF6+AF7+AF8+AF9+AF10+AF11+AF12)</f>
        <v>72000</v>
      </c>
      <c r="AG13" s="43">
        <f ca="1">(AG1+AG2+AG3+AG4+AG5+AG6+AG7+AG8+AG9+AG10+AG11+AG12)</f>
        <v>66888</v>
      </c>
      <c r="AH13" s="43">
        <f t="shared" ref="AH13:AT13" si="18">(AH1+AH2+AH3+AH4+AH5+AH6+AH7+AH8+AH9+AH10+AH11+AH12)</f>
        <v>72000</v>
      </c>
      <c r="AI13" s="43">
        <f t="shared" si="18"/>
        <v>72000</v>
      </c>
      <c r="AJ13" s="43">
        <f t="shared" si="18"/>
        <v>0</v>
      </c>
      <c r="AK13" s="43">
        <f t="shared" si="18"/>
        <v>0</v>
      </c>
      <c r="AL13" s="43">
        <f t="shared" si="18"/>
        <v>72000</v>
      </c>
      <c r="AM13" s="43">
        <f t="shared" si="18"/>
        <v>37920</v>
      </c>
      <c r="AN13" s="43">
        <f t="shared" si="18"/>
        <v>34080</v>
      </c>
      <c r="AO13" s="43">
        <f t="shared" si="18"/>
        <v>-4771.2</v>
      </c>
      <c r="AP13" s="43">
        <f t="shared" si="18"/>
        <v>-340.79999999999995</v>
      </c>
      <c r="AQ13" s="43">
        <f t="shared" si="18"/>
        <v>66888</v>
      </c>
      <c r="AR13" s="43">
        <f t="shared" si="18"/>
        <v>72000</v>
      </c>
      <c r="AS13" s="43">
        <f t="shared" si="18"/>
        <v>0</v>
      </c>
      <c r="AT13" s="43">
        <f t="shared" ca="1" si="18"/>
        <v>0</v>
      </c>
      <c r="AU13" s="44">
        <f>(AU1+AU2+AU3+AU4+AU5+AU6+AU7+AU8+AU9+AU10+AU11+AU12)</f>
        <v>312</v>
      </c>
      <c r="AV13" s="43">
        <f t="shared" ref="AV13:AW13" ca="1" si="19">(AV1+AV2+AV3+AV4+AV5+AV6+AV7+AV8+AV9+AV10+AV11+AV12)</f>
        <v>60163.237016490595</v>
      </c>
      <c r="AW13" s="43">
        <f t="shared" si="19"/>
        <v>39026</v>
      </c>
      <c r="AX13" s="48" t="s">
        <v>0</v>
      </c>
      <c r="BD13" s="42">
        <v>11</v>
      </c>
      <c r="BE13" s="46">
        <v>5.5</v>
      </c>
      <c r="BF13" s="47">
        <v>0.13</v>
      </c>
      <c r="BG13" s="74"/>
    </row>
    <row r="14" spans="1:59" ht="39.950000000000003" customHeight="1" x14ac:dyDescent="0.25">
      <c r="A14" s="76"/>
      <c r="B14" s="1"/>
      <c r="C14" s="2"/>
      <c r="D14" s="2"/>
      <c r="E14" s="2"/>
      <c r="F14" s="23"/>
      <c r="G14" s="2"/>
      <c r="H14" s="2"/>
      <c r="I14" s="2"/>
      <c r="J14" s="24"/>
      <c r="K14" s="25"/>
      <c r="L14" s="26"/>
      <c r="M14" s="2"/>
      <c r="N14" s="2"/>
      <c r="O14" s="2"/>
      <c r="P14" s="7"/>
      <c r="Q14" s="82"/>
      <c r="R14" s="8"/>
      <c r="S14" s="83"/>
      <c r="T14" s="17"/>
      <c r="U14" s="18"/>
      <c r="V14" s="19"/>
      <c r="W14" s="71"/>
      <c r="X14" s="40" t="s">
        <v>29</v>
      </c>
      <c r="Y14" s="41">
        <f t="shared" ca="1" si="17"/>
        <v>0</v>
      </c>
      <c r="Z14" s="41">
        <f ca="1">COUNTIF(Q1,"Ocak")*(AM43)*-1
+COUNTIF(Q1,"Şubat")*(AM44)*-1
+COUNTIF(Q1,"Mart")*(AM45)*-1
+COUNTIF(Q1,"Nisan")*(AM46)*-1
+COUNTIF(Q1,"Mayıs")*(AM47)*-1
+COUNTIF(Q1,"Haziran")*(AM48)*-1
+COUNTIF(Q1,"Temmuz")*(AM49)*-1
+COUNTIF(Q1,"Ağustos")*(AM50)*-1
+COUNTIF(Q1,"Eylül")*(AM51)*-1
+COUNTIF(Q1,"Ekim")*(AM52)*-1
+COUNTIF(Q1,"Kasım")*(AM53)*-1
+COUNTIF(Q1,"Aralık")*(AM54)*-1
+COUNTIF(Q1,"Yıllık Toplam")*(AM55)*-1
+COUNTIF(Q1,"Yıllık Ortalama")*(AM56)*-1</f>
        <v>0</v>
      </c>
      <c r="AA14" s="43" t="s">
        <v>0</v>
      </c>
      <c r="AB14" s="42" t="s">
        <v>0</v>
      </c>
      <c r="AC14" s="41">
        <v>300</v>
      </c>
      <c r="AD14" s="41">
        <v>300</v>
      </c>
      <c r="AE14" s="43">
        <f ca="1">(AE13/12)</f>
        <v>0</v>
      </c>
      <c r="AF14" s="43">
        <f>(AF13/12)</f>
        <v>6000</v>
      </c>
      <c r="AG14" s="43">
        <f ca="1">(AG13/12)</f>
        <v>5574</v>
      </c>
      <c r="AH14" s="43">
        <f t="shared" ref="AH14:AT14" si="20">(AH13/12)</f>
        <v>6000</v>
      </c>
      <c r="AI14" s="43">
        <f t="shared" si="20"/>
        <v>6000</v>
      </c>
      <c r="AJ14" s="43">
        <f t="shared" si="20"/>
        <v>0</v>
      </c>
      <c r="AK14" s="43">
        <f t="shared" si="20"/>
        <v>0</v>
      </c>
      <c r="AL14" s="43">
        <f t="shared" si="20"/>
        <v>6000</v>
      </c>
      <c r="AM14" s="43">
        <f t="shared" si="20"/>
        <v>3160</v>
      </c>
      <c r="AN14" s="43">
        <f t="shared" si="20"/>
        <v>2840</v>
      </c>
      <c r="AO14" s="43">
        <f t="shared" si="20"/>
        <v>-397.59999999999997</v>
      </c>
      <c r="AP14" s="43">
        <f t="shared" si="20"/>
        <v>-28.399999999999995</v>
      </c>
      <c r="AQ14" s="43">
        <f t="shared" si="20"/>
        <v>5574</v>
      </c>
      <c r="AR14" s="43">
        <f t="shared" si="20"/>
        <v>6000</v>
      </c>
      <c r="AS14" s="43">
        <f t="shared" si="20"/>
        <v>0</v>
      </c>
      <c r="AT14" s="43">
        <f t="shared" ca="1" si="20"/>
        <v>0</v>
      </c>
      <c r="AU14" s="48" t="s">
        <v>0</v>
      </c>
      <c r="AV14" s="43">
        <f t="shared" ref="AV14:AW14" ca="1" si="21">(AV13/12)</f>
        <v>5013.6030847075499</v>
      </c>
      <c r="AW14" s="43">
        <f t="shared" si="21"/>
        <v>3252.1666666666665</v>
      </c>
      <c r="AX14" s="48" t="s">
        <v>0</v>
      </c>
      <c r="BD14" s="42">
        <v>12</v>
      </c>
      <c r="BE14" s="46">
        <v>6</v>
      </c>
      <c r="BF14" s="47">
        <v>0.14000000000000001</v>
      </c>
      <c r="BG14" s="74"/>
    </row>
    <row r="15" spans="1:59" ht="39.950000000000003" customHeight="1" x14ac:dyDescent="0.25">
      <c r="A15" s="20">
        <f ca="1">(AT73)</f>
        <v>0.15</v>
      </c>
      <c r="B15" s="27" t="s">
        <v>8</v>
      </c>
      <c r="C15" s="77">
        <v>0</v>
      </c>
      <c r="D15" s="78">
        <v>0</v>
      </c>
      <c r="E15" s="78">
        <v>0</v>
      </c>
      <c r="F15" s="79">
        <v>0</v>
      </c>
      <c r="G15" s="78">
        <v>0</v>
      </c>
      <c r="H15" s="77">
        <v>20</v>
      </c>
      <c r="I15" s="77">
        <v>0</v>
      </c>
      <c r="J15" s="80" t="s">
        <v>1</v>
      </c>
      <c r="K15" s="80" t="s">
        <v>1</v>
      </c>
      <c r="L15" s="80" t="s">
        <v>1</v>
      </c>
      <c r="M15" s="81">
        <v>0</v>
      </c>
      <c r="N15" s="28">
        <f ca="1">(AE73+AI43+AK43+AH73+AL73+AM73+AV73-O15)</f>
        <v>55802.505628835723</v>
      </c>
      <c r="O15" s="28">
        <f ca="1">(AS15+AU15+AW15+AE1+AG1+AL43)</f>
        <v>5574</v>
      </c>
      <c r="P15" s="29">
        <f ca="1">(N15+O15)</f>
        <v>61376.505628835723</v>
      </c>
      <c r="Q15" s="82"/>
      <c r="R15" s="8"/>
      <c r="S15" s="83"/>
      <c r="T15" s="17"/>
      <c r="U15" s="18"/>
      <c r="V15" s="19"/>
      <c r="W15" s="71"/>
      <c r="X15" s="40" t="s">
        <v>30</v>
      </c>
      <c r="Y15" s="41">
        <f t="shared" ca="1" si="17"/>
        <v>4704.420798455164</v>
      </c>
      <c r="Z15" s="43">
        <f ca="1">COUNTIF(Q1,"Ocak")*(AH73)*-1
+COUNTIF(Q1,"Şubat")*(AH74)*-1
+COUNTIF(Q1,"Mart")*(AH75)*-1
+COUNTIF(Q1,"Nisan")*(AH76)*-1
+COUNTIF(Q1,"Mayıs")*(AH77)*-1
+COUNTIF(Q1,"Haziran")*(AH78)*-1
+COUNTIF(Q1,"Temmuz")*(AH79)*-1
+COUNTIF(Q1,"Ağustos")*(AH80)*-1
+COUNTIF(Q1,"Eylül")*(AH81)*-1
+COUNTIF(Q1,"Ekim")*(AH82)*-1
+COUNTIF(Q1,"Kasım")*(AH83)*-1
+COUNTIF(Q1,"Aralık")*(AH84)*-1
+COUNTIF(Q1,"Yıllık Toplam")*(AH85)*-1
+COUNTIF(Q1,"Yıllık Ortalama")*(AH86)*-1</f>
        <v>4704.420798455164</v>
      </c>
      <c r="AE15" s="49">
        <v>45658</v>
      </c>
      <c r="AF15" s="50">
        <f t="shared" ref="AF15:AF26" si="22">EOMONTH(AE15,0)</f>
        <v>45688</v>
      </c>
      <c r="AG15" s="51">
        <f>DAY(AF15)</f>
        <v>31</v>
      </c>
      <c r="AH15" s="51">
        <f>NETWORKDAYS.INTL(AE15,AF15,11)</f>
        <v>27</v>
      </c>
      <c r="AI15" s="51">
        <f>(AG15-AH15)</f>
        <v>4</v>
      </c>
      <c r="AJ15" s="41">
        <f>COUNTIF($A$1,"Temizlik Sorumlusu")*($AB$39)
+COUNTIF($A$1,"Temizlik Görevlisi")*($AB$40)</f>
        <v>2115.17</v>
      </c>
      <c r="AK15" s="41">
        <f ca="1">(AJ15*AY73)</f>
        <v>1512.1561847</v>
      </c>
      <c r="AL15" s="41">
        <f>COUNTIF($A$1,"Temizlik Sorumlusu")*($AB$39)
+COUNTIF($A$1,"Temizlik Görevlisi")*($AB$40)</f>
        <v>2115.17</v>
      </c>
      <c r="AM15" s="43">
        <f ca="1">(AL15*AY73+AI58/30*-1+AZ58/30)</f>
        <v>1644.1772613666667</v>
      </c>
      <c r="AN15" s="52">
        <f>(AJ15*AG15)</f>
        <v>65570.27</v>
      </c>
      <c r="AO15" s="43">
        <f ca="1">(AN15*AY73)</f>
        <v>46876.841725700004</v>
      </c>
      <c r="AP15" s="43">
        <f>(20*C15)</f>
        <v>0</v>
      </c>
      <c r="AQ15" s="43">
        <f ca="1">(AP15*AY73)</f>
        <v>0</v>
      </c>
      <c r="AR15" s="43">
        <f>(AJ15/7.5*1.6*D15)</f>
        <v>0</v>
      </c>
      <c r="AS15" s="43">
        <f ca="1">(AR15*AY73)</f>
        <v>0</v>
      </c>
      <c r="AT15" s="43">
        <f>(AJ15/7.5*1.25*E15)</f>
        <v>0</v>
      </c>
      <c r="AU15" s="43">
        <f ca="1">(AT15*AY73)</f>
        <v>0</v>
      </c>
      <c r="AV15" s="43">
        <f>(AJ15*2*F15)</f>
        <v>0</v>
      </c>
      <c r="AW15" s="43">
        <f ca="1">(AV15*AY73)</f>
        <v>0</v>
      </c>
      <c r="AX15" s="43">
        <f>(AJ15/7.5*0.15*G15)</f>
        <v>0</v>
      </c>
      <c r="BD15" s="42">
        <v>13</v>
      </c>
      <c r="BE15" s="46">
        <v>6.5</v>
      </c>
      <c r="BF15" s="47">
        <v>0.15</v>
      </c>
      <c r="BG15" s="74"/>
    </row>
    <row r="16" spans="1:59" ht="39.950000000000003" customHeight="1" x14ac:dyDescent="0.25">
      <c r="A16" s="20">
        <f ca="1">(AT74)</f>
        <v>0.15</v>
      </c>
      <c r="B16" s="27" t="s">
        <v>9</v>
      </c>
      <c r="C16" s="77">
        <v>0</v>
      </c>
      <c r="D16" s="78">
        <v>0</v>
      </c>
      <c r="E16" s="78">
        <v>0</v>
      </c>
      <c r="F16" s="79">
        <v>0</v>
      </c>
      <c r="G16" s="78">
        <v>0</v>
      </c>
      <c r="H16" s="77">
        <v>20</v>
      </c>
      <c r="I16" s="77">
        <v>0</v>
      </c>
      <c r="J16" s="80" t="s">
        <v>1</v>
      </c>
      <c r="K16" s="80" t="s">
        <v>1</v>
      </c>
      <c r="L16" s="80" t="s">
        <v>1</v>
      </c>
      <c r="M16" s="81">
        <v>0</v>
      </c>
      <c r="N16" s="28">
        <f ca="1">(AE74+AI44+AK44+AH74+AL74+AM74+AV74-O16)</f>
        <v>51816.033819713775</v>
      </c>
      <c r="O16" s="28">
        <f ca="1">(AS16+AU16+AW16+AE2+AG2+AL44)</f>
        <v>5574</v>
      </c>
      <c r="P16" s="29">
        <f t="shared" ref="P16:P26" ca="1" si="23">(N16+O16)</f>
        <v>57390.033819713775</v>
      </c>
      <c r="Q16" s="82"/>
      <c r="R16" s="8"/>
      <c r="S16" s="83"/>
      <c r="T16" s="17"/>
      <c r="U16" s="18"/>
      <c r="V16" s="19"/>
      <c r="W16" s="71"/>
      <c r="X16" s="40" t="s">
        <v>3</v>
      </c>
      <c r="Y16" s="41">
        <f t="shared" ca="1" si="17"/>
        <v>147036.1601823087</v>
      </c>
      <c r="Z16" s="43">
        <f ca="1">COUNTIF(Q1,"Ocak")*(AL73)*-1
+COUNTIF(Q1,"Şubat")*(AL74)*-1
+COUNTIF(Q1,"Mart")*(AL75)*-1
+COUNTIF(Q1,"Nisan")*(AL76)*-1
+COUNTIF(Q1,"Mayıs")*(AL77)*-1
+COUNTIF(Q1,"Haziran")*(AL78)*-1
+COUNTIF(Q1,"Temmuz")*(AL79)*-1
+COUNTIF(Q1,"Ağustos")*(AL80)*-1
+COUNTIF(Q1,"Eylül")*(AL81)*-1
+COUNTIF(Q1,"Ekim")*(AL82)*-1
+COUNTIF(Q1,"Kasım")*(AL83)*-1
+COUNTIF(Q1,"Aralık")*(AL84)*-1
+COUNTIF(Q1,"Yıllık Toplam")*(AL85)*-1
+COUNTIF(Q1,"Yıllık Ortalama")*(AL86)*-1</f>
        <v>147036.1601823087</v>
      </c>
      <c r="AA16" s="53">
        <f>(2273)</f>
        <v>2273</v>
      </c>
      <c r="AB16" s="42" t="s">
        <v>0</v>
      </c>
      <c r="AC16" s="43">
        <f>($AA$29*$AA$16)</f>
        <v>3154.6307830000001</v>
      </c>
      <c r="AD16" s="43">
        <f>($AB$29*$AA$16)</f>
        <v>3154.6307830000001</v>
      </c>
      <c r="AE16" s="50">
        <f>(AF15+1)</f>
        <v>45689</v>
      </c>
      <c r="AF16" s="50">
        <f t="shared" si="22"/>
        <v>45716</v>
      </c>
      <c r="AG16" s="51">
        <f t="shared" ref="AG16:AG26" si="24">DAY(AF16)</f>
        <v>28</v>
      </c>
      <c r="AH16" s="51">
        <f t="shared" ref="AH16:AH26" si="25">NETWORKDAYS.INTL(AE16,AF16,11)</f>
        <v>24</v>
      </c>
      <c r="AI16" s="51">
        <f t="shared" ref="AI16:AI26" si="26">(AG16-AH16)</f>
        <v>4</v>
      </c>
      <c r="AJ16" s="41">
        <f>COUNTIF($A$1,"Temizlik Sorumlusu")*($AB$39)
+COUNTIF($A$1,"Temizlik Görevlisi")*($AB$40)</f>
        <v>2115.17</v>
      </c>
      <c r="AK16" s="41">
        <f ca="1">(AJ16*AY74)</f>
        <v>1512.1561847</v>
      </c>
      <c r="AL16" s="41">
        <f>COUNTIF($A$1,"Temizlik Sorumlusu")*($AB$39)
+COUNTIF($A$1,"Temizlik Görevlisi")*($AB$40)</f>
        <v>2115.17</v>
      </c>
      <c r="AM16" s="43">
        <f ca="1">(AL16*AY74+AI59/30*-1+AZ59/30)</f>
        <v>1644.1772613666667</v>
      </c>
      <c r="AN16" s="52">
        <f>(AJ16*AG16)</f>
        <v>59224.76</v>
      </c>
      <c r="AO16" s="43">
        <f ca="1">(AN16*AY74)</f>
        <v>42340.373171600004</v>
      </c>
      <c r="AP16" s="43">
        <f>(20*C16)</f>
        <v>0</v>
      </c>
      <c r="AQ16" s="43">
        <f ca="1">(AP16*AY74)</f>
        <v>0</v>
      </c>
      <c r="AR16" s="43">
        <f>(AJ16/7.5*1.6*D16)</f>
        <v>0</v>
      </c>
      <c r="AS16" s="43">
        <f ca="1">(AR16*AY74)</f>
        <v>0</v>
      </c>
      <c r="AT16" s="43">
        <f>(AJ16/7.5*1.25*E16)</f>
        <v>0</v>
      </c>
      <c r="AU16" s="43">
        <f ca="1">(AT16*AY74)</f>
        <v>0</v>
      </c>
      <c r="AV16" s="43">
        <f>(AJ16*2*F16)</f>
        <v>0</v>
      </c>
      <c r="AW16" s="43">
        <f ca="1">(AV16*AY74)</f>
        <v>0</v>
      </c>
      <c r="AX16" s="43">
        <f>(AJ16/7.5*0.15*G16)</f>
        <v>0</v>
      </c>
      <c r="BD16" s="42">
        <v>14</v>
      </c>
      <c r="BE16" s="46">
        <v>7</v>
      </c>
      <c r="BF16" s="47">
        <v>0.16</v>
      </c>
      <c r="BG16" s="74"/>
    </row>
    <row r="17" spans="1:59" ht="39.950000000000003" customHeight="1" x14ac:dyDescent="0.25">
      <c r="A17" s="20">
        <f ca="1">(AT75)</f>
        <v>0.15764694885402894</v>
      </c>
      <c r="B17" s="27" t="s">
        <v>10</v>
      </c>
      <c r="C17" s="77">
        <v>0</v>
      </c>
      <c r="D17" s="78">
        <v>0</v>
      </c>
      <c r="E17" s="78">
        <v>0</v>
      </c>
      <c r="F17" s="79">
        <v>0</v>
      </c>
      <c r="G17" s="78">
        <v>0</v>
      </c>
      <c r="H17" s="77">
        <v>20</v>
      </c>
      <c r="I17" s="77">
        <v>0</v>
      </c>
      <c r="J17" s="80" t="s">
        <v>1</v>
      </c>
      <c r="K17" s="80" t="s">
        <v>1</v>
      </c>
      <c r="L17" s="80" t="s">
        <v>1</v>
      </c>
      <c r="M17" s="81">
        <v>0</v>
      </c>
      <c r="N17" s="28">
        <f ca="1">(AE75+AI45+AK45+AH75+AL75+AM75+AV75-O17)</f>
        <v>78393.477324092411</v>
      </c>
      <c r="O17" s="28">
        <f ca="1">(AS17+AU17+AW17+AE3+AG3+AL45)</f>
        <v>5574</v>
      </c>
      <c r="P17" s="29">
        <f t="shared" ca="1" si="23"/>
        <v>83967.477324092411</v>
      </c>
      <c r="Q17" s="82"/>
      <c r="R17" s="8"/>
      <c r="S17" s="83"/>
      <c r="T17" s="17"/>
      <c r="U17" s="18"/>
      <c r="V17" s="19"/>
      <c r="W17" s="71"/>
      <c r="X17" s="40" t="s">
        <v>4</v>
      </c>
      <c r="Y17" s="41">
        <f t="shared" ca="1" si="17"/>
        <v>10502.582870164906</v>
      </c>
      <c r="Z17" s="43">
        <f ca="1">COUNTIF(Q1,"Ocak")*(AM73)*-1
+COUNTIF(Q1,"Şubat")*(AM74)*-1
+COUNTIF(Q1,"Mart")*(AM75)*-1
+COUNTIF(Q1,"Nisan")*(AM76)*-1
+COUNTIF(Q1,"Mayıs")*(AM77)*-1
+COUNTIF(Q1,"Haziran")*(AM78)*-1
+COUNTIF(Q1,"Temmuz")*(AM79)*-1
+COUNTIF(Q1,"Ağustos")*(AM80)*-1
+COUNTIF(Q1,"Eylül")*(AM81)*-1
+COUNTIF(Q1,"Ekim")*(AM82)*-1
+COUNTIF(Q1,"Kasım")*(AM83)*-1
+COUNTIF(Q1,"Aralık")*(AM84)*-1
+COUNTIF(Q1,"Yıllık Toplam")*(AM85)*-1
+COUNTIF(Q1,"Yıllık Ortalama")*(AM86)*-1</f>
        <v>10502.582870164906</v>
      </c>
      <c r="AA17" s="53">
        <f>(250)</f>
        <v>250</v>
      </c>
      <c r="AB17" s="42" t="s">
        <v>0</v>
      </c>
      <c r="AC17" s="43">
        <f>($AA$29*$AA$17*2)</f>
        <v>693.93550000000005</v>
      </c>
      <c r="AD17" s="43">
        <f>($AB$29*$AA$17*2)</f>
        <v>693.93550000000005</v>
      </c>
      <c r="AE17" s="50">
        <f t="shared" ref="AE17:AE26" si="27">(AF16+1)</f>
        <v>45717</v>
      </c>
      <c r="AF17" s="50">
        <f t="shared" si="22"/>
        <v>45747</v>
      </c>
      <c r="AG17" s="51">
        <f t="shared" si="24"/>
        <v>31</v>
      </c>
      <c r="AH17" s="51">
        <f t="shared" si="25"/>
        <v>26</v>
      </c>
      <c r="AI17" s="51">
        <f t="shared" si="26"/>
        <v>5</v>
      </c>
      <c r="AJ17" s="41">
        <f>COUNTIF($A$1,"Temizlik Sorumlusu")*($AB$39)
+COUNTIF($A$1,"Temizlik Görevlisi")*($AB$40)</f>
        <v>2115.17</v>
      </c>
      <c r="AK17" s="41">
        <f ca="1">(AJ17*AY75)</f>
        <v>1498.4077774135601</v>
      </c>
      <c r="AL17" s="41">
        <f>COUNTIF($A$1,"Temizlik Sorumlusu")*($AB$39)
+COUNTIF($A$1,"Temizlik Görevlisi")*($AB$40)</f>
        <v>2115.17</v>
      </c>
      <c r="AM17" s="43">
        <f ca="1">(AL17*AY75+AI60/30*-1+AZ60/30)</f>
        <v>1630.4288540802268</v>
      </c>
      <c r="AN17" s="52">
        <f>(AJ17*AG17)</f>
        <v>65570.27</v>
      </c>
      <c r="AO17" s="43">
        <f ca="1">(AN17*AY75)</f>
        <v>46450.641099820365</v>
      </c>
      <c r="AP17" s="43">
        <f>(20*C17)</f>
        <v>0</v>
      </c>
      <c r="AQ17" s="43">
        <f ca="1">(AP17*AY75)</f>
        <v>0</v>
      </c>
      <c r="AR17" s="43">
        <f>(AJ17/7.5*1.6*D17)</f>
        <v>0</v>
      </c>
      <c r="AS17" s="43">
        <f ca="1">(AR17*AY75)</f>
        <v>0</v>
      </c>
      <c r="AT17" s="43">
        <f>(AJ17/7.5*1.25*E17)</f>
        <v>0</v>
      </c>
      <c r="AU17" s="43">
        <f ca="1">(AT17*AY75)</f>
        <v>0</v>
      </c>
      <c r="AV17" s="43">
        <f>(AJ17*2*F17)</f>
        <v>0</v>
      </c>
      <c r="AW17" s="43">
        <f ca="1">(AV17*AY75)</f>
        <v>0</v>
      </c>
      <c r="AX17" s="43">
        <f>(AJ17/7.5*0.15*G17)</f>
        <v>0</v>
      </c>
      <c r="BD17" s="42">
        <v>15</v>
      </c>
      <c r="BE17" s="46">
        <v>7.5</v>
      </c>
      <c r="BF17" s="47">
        <v>0.17</v>
      </c>
      <c r="BG17" s="74"/>
    </row>
    <row r="18" spans="1:59" ht="39.950000000000003" customHeight="1" x14ac:dyDescent="0.25">
      <c r="A18" s="20">
        <f ca="1">(AT76)</f>
        <v>0.2</v>
      </c>
      <c r="B18" s="27" t="s">
        <v>11</v>
      </c>
      <c r="C18" s="77">
        <v>0</v>
      </c>
      <c r="D18" s="78">
        <v>0</v>
      </c>
      <c r="E18" s="78">
        <v>0</v>
      </c>
      <c r="F18" s="79">
        <v>0</v>
      </c>
      <c r="G18" s="78">
        <v>0</v>
      </c>
      <c r="H18" s="77">
        <v>20</v>
      </c>
      <c r="I18" s="77">
        <v>0</v>
      </c>
      <c r="J18" s="80" t="s">
        <v>1</v>
      </c>
      <c r="K18" s="80" t="s">
        <v>1</v>
      </c>
      <c r="L18" s="80" t="s">
        <v>1</v>
      </c>
      <c r="M18" s="81">
        <v>0</v>
      </c>
      <c r="N18" s="28">
        <f ca="1">(AE76+AI46+AK46+AH76+AL76+AM76+AV76-O18)</f>
        <v>52085.042362307344</v>
      </c>
      <c r="O18" s="28">
        <f ca="1">(AS18+AU18+AW18+AE4+AG4+AL46)</f>
        <v>5574</v>
      </c>
      <c r="P18" s="29">
        <f t="shared" ca="1" si="23"/>
        <v>57659.042362307344</v>
      </c>
      <c r="Q18" s="82"/>
      <c r="R18" s="8"/>
      <c r="S18" s="83"/>
      <c r="T18" s="17"/>
      <c r="U18" s="18"/>
      <c r="V18" s="19"/>
      <c r="W18" s="71"/>
      <c r="X18" s="40" t="s">
        <v>31</v>
      </c>
      <c r="Y18" s="41">
        <f t="shared" ca="1" si="17"/>
        <v>128881.65</v>
      </c>
      <c r="Z18" s="43">
        <f ca="1">COUNTIF(Q1,"Ocak")*(AV73)*-1
+COUNTIF(Q1,"Şubat")*(AV74)*-1
+COUNTIF(Q1,"Mart")*(AV75)*-1
+COUNTIF(Q1,"Nisan")*(AV76)*-1
+COUNTIF(Q1,"Mayıs")*(AV77)*-1
+COUNTIF(Q1,"Haziran")*(AV78)*-1
+COUNTIF(Q1,"Temmuz")*(AV79)*-1
+COUNTIF(Q1,"Ağustos")*(AV80)*-1
+COUNTIF(Q1,"Eylül")*(AV81)*-1
+COUNTIF(Q1,"Ekim")*(AV82)*-1
+COUNTIF(Q1,"Kasım")*(AV83)*-1
+COUNTIF(Q1,"Aralık")*(AV84)*-1
+COUNTIF(Q1,"Yıllık Toplam")*(AV85)*-1
+COUNTIF(Q1,"Yıllık Ortalama")*(AV86)*-1</f>
        <v>128881.65</v>
      </c>
      <c r="AA18" s="53">
        <f>(AA17)</f>
        <v>250</v>
      </c>
      <c r="AB18" s="42" t="s">
        <v>0</v>
      </c>
      <c r="AC18" s="43">
        <f>($AA$29*$AA$18)</f>
        <v>346.96775000000002</v>
      </c>
      <c r="AD18" s="43">
        <f>($AB$29*$AA$18)</f>
        <v>346.96775000000002</v>
      </c>
      <c r="AE18" s="50">
        <f t="shared" si="27"/>
        <v>45748</v>
      </c>
      <c r="AF18" s="50">
        <f t="shared" si="22"/>
        <v>45777</v>
      </c>
      <c r="AG18" s="51">
        <f t="shared" si="24"/>
        <v>30</v>
      </c>
      <c r="AH18" s="51">
        <f t="shared" si="25"/>
        <v>26</v>
      </c>
      <c r="AI18" s="51">
        <f t="shared" si="26"/>
        <v>4</v>
      </c>
      <c r="AJ18" s="41">
        <f>COUNTIF($A$1,"Temizlik Sorumlusu")*($AB$39)
+COUNTIF($A$1,"Temizlik Görevlisi")*($AB$40)</f>
        <v>2115.17</v>
      </c>
      <c r="AK18" s="41">
        <f ca="1">(AJ18*AY76)</f>
        <v>1422.2614596999999</v>
      </c>
      <c r="AL18" s="41">
        <f>COUNTIF($A$1,"Temizlik Sorumlusu")*($AB$39)
+COUNTIF($A$1,"Temizlik Görevlisi")*($AB$40)</f>
        <v>2115.17</v>
      </c>
      <c r="AM18" s="43">
        <f ca="1">(AL18*AY76+AI61/30*-1+AZ61/30)</f>
        <v>1554.2825363666666</v>
      </c>
      <c r="AN18" s="52">
        <f>(AJ18*AG18)</f>
        <v>63455.100000000006</v>
      </c>
      <c r="AO18" s="43">
        <f ca="1">(AN18*AY76)</f>
        <v>42667.843790999999</v>
      </c>
      <c r="AP18" s="43">
        <f>(20*C18)</f>
        <v>0</v>
      </c>
      <c r="AQ18" s="43">
        <f ca="1">(AP18*AY76)</f>
        <v>0</v>
      </c>
      <c r="AR18" s="43">
        <f>(AJ18/7.5*1.6*D18)</f>
        <v>0</v>
      </c>
      <c r="AS18" s="43">
        <f ca="1">(AR18*AY76)</f>
        <v>0</v>
      </c>
      <c r="AT18" s="43">
        <f>(AJ18/7.5*1.25*E18)</f>
        <v>0</v>
      </c>
      <c r="AU18" s="43">
        <f ca="1">(AT18*AY76)</f>
        <v>0</v>
      </c>
      <c r="AV18" s="43">
        <f>(AJ18*2*F18)</f>
        <v>0</v>
      </c>
      <c r="AW18" s="43">
        <f ca="1">(AV18*AY76)</f>
        <v>0</v>
      </c>
      <c r="AX18" s="43">
        <f>(AJ18/7.5*0.15*G18)</f>
        <v>0</v>
      </c>
      <c r="BD18" s="42">
        <v>16</v>
      </c>
      <c r="BE18" s="46">
        <v>8</v>
      </c>
      <c r="BF18" s="47">
        <v>0.18</v>
      </c>
      <c r="BG18" s="74"/>
    </row>
    <row r="19" spans="1:59" ht="39.950000000000003" customHeight="1" x14ac:dyDescent="0.25">
      <c r="A19" s="20">
        <f ca="1">(AT77)</f>
        <v>0.2</v>
      </c>
      <c r="B19" s="27" t="s">
        <v>12</v>
      </c>
      <c r="C19" s="77">
        <v>0</v>
      </c>
      <c r="D19" s="78">
        <v>0</v>
      </c>
      <c r="E19" s="78">
        <v>0</v>
      </c>
      <c r="F19" s="79">
        <v>0</v>
      </c>
      <c r="G19" s="78">
        <v>0</v>
      </c>
      <c r="H19" s="77">
        <v>20</v>
      </c>
      <c r="I19" s="77">
        <v>0</v>
      </c>
      <c r="J19" s="80" t="s">
        <v>1</v>
      </c>
      <c r="K19" s="80" t="s">
        <v>1</v>
      </c>
      <c r="L19" s="80" t="s">
        <v>1</v>
      </c>
      <c r="M19" s="81">
        <v>0</v>
      </c>
      <c r="N19" s="28">
        <f ca="1">(AE77+AI47+AK47+AH77+AL77+AM77+AV77-O19)</f>
        <v>53507.302722007335</v>
      </c>
      <c r="O19" s="28">
        <f ca="1">(AS19+AU19+AW19+AE5+AG5+AL47)</f>
        <v>5574</v>
      </c>
      <c r="P19" s="29">
        <f t="shared" ca="1" si="23"/>
        <v>59081.302722007335</v>
      </c>
      <c r="Q19" s="82"/>
      <c r="R19" s="8"/>
      <c r="S19" s="83"/>
      <c r="T19" s="17"/>
      <c r="U19" s="18"/>
      <c r="V19" s="19"/>
      <c r="W19" s="71"/>
      <c r="X19" s="40" t="s">
        <v>61</v>
      </c>
      <c r="Y19" s="41">
        <f t="shared" ca="1" si="17"/>
        <v>1267727.7043742116</v>
      </c>
      <c r="Z19" s="43">
        <f ca="1">COUNTIF(Q1,"Ocak")*(AW29)
+COUNTIF(Q1,"Şubat")*(AW30)
+COUNTIF(Q1,"Mart")*(AW31)
+COUNTIF(Q1,"Nisan")*(AW32)
+COUNTIF(Q1,"Mayıs")*(AW33)
+COUNTIF(Q1,"Haziran")*(AW34)
+COUNTIF(Q1,"Temmuz")*(AW35)
+COUNTIF(Q1,"Ağustos")*(AW36)
+COUNTIF(Q1,"Eylül")*(AW37)
+COUNTIF(Q1,"Ekim")*(AW38)
+COUNTIF(Q1,"Kasım")*(AW39)
+COUNTIF(Q1,"Aralık")*(AW40)
+COUNTIF(Q1,"Yıllık Toplam")*(AW41)
+COUNTIF(Q1,"Yıllık Ortalama")*(AW42)</f>
        <v>1267727.7043742116</v>
      </c>
      <c r="AA19" s="54">
        <f>(1.5)</f>
        <v>1.5</v>
      </c>
      <c r="AB19" s="42" t="s">
        <v>0</v>
      </c>
      <c r="AC19" s="43">
        <f>($AC$17*$AA$19)</f>
        <v>1040.9032500000001</v>
      </c>
      <c r="AD19" s="43">
        <f>($AD$17*$AA$19)</f>
        <v>1040.9032500000001</v>
      </c>
      <c r="AE19" s="50">
        <f t="shared" si="27"/>
        <v>45778</v>
      </c>
      <c r="AF19" s="50">
        <f t="shared" si="22"/>
        <v>45808</v>
      </c>
      <c r="AG19" s="51">
        <f t="shared" si="24"/>
        <v>31</v>
      </c>
      <c r="AH19" s="51">
        <f t="shared" si="25"/>
        <v>27</v>
      </c>
      <c r="AI19" s="51">
        <f t="shared" si="26"/>
        <v>4</v>
      </c>
      <c r="AJ19" s="41">
        <f>COUNTIF($A$1,"Temizlik Sorumlusu")*($AB$39)
+COUNTIF($A$1,"Temizlik Görevlisi")*($AB$40)</f>
        <v>2115.17</v>
      </c>
      <c r="AK19" s="41">
        <f ca="1">(AJ19*AY77)</f>
        <v>1422.2614596999999</v>
      </c>
      <c r="AL19" s="41">
        <f>COUNTIF($A$1,"Temizlik Sorumlusu")*($AB$39)
+COUNTIF($A$1,"Temizlik Görevlisi")*($AB$40)</f>
        <v>2115.17</v>
      </c>
      <c r="AM19" s="43">
        <f ca="1">(AL19*AY77+AI62/30*-1+AZ62/30)</f>
        <v>1554.2825363666666</v>
      </c>
      <c r="AN19" s="52">
        <f>(AJ19*AG19)</f>
        <v>65570.27</v>
      </c>
      <c r="AO19" s="43">
        <f ca="1">(AN19*AY77)</f>
        <v>44090.105250699999</v>
      </c>
      <c r="AP19" s="43">
        <f>(20*C19)</f>
        <v>0</v>
      </c>
      <c r="AQ19" s="43">
        <f ca="1">(AP19*AY77)</f>
        <v>0</v>
      </c>
      <c r="AR19" s="43">
        <f>(AJ19/7.5*1.6*D19)</f>
        <v>0</v>
      </c>
      <c r="AS19" s="43">
        <f ca="1">(AR19*AY77)</f>
        <v>0</v>
      </c>
      <c r="AT19" s="43">
        <f>(AJ19/7.5*1.25*E19)</f>
        <v>0</v>
      </c>
      <c r="AU19" s="43">
        <f ca="1">(AT19*AY77)</f>
        <v>0</v>
      </c>
      <c r="AV19" s="43">
        <f>(AJ19*2*F19)</f>
        <v>0</v>
      </c>
      <c r="AW19" s="43">
        <f ca="1">(AV19*AY77)</f>
        <v>0</v>
      </c>
      <c r="AX19" s="43">
        <f>(AJ19/7.5*0.15*G19)</f>
        <v>0</v>
      </c>
      <c r="BD19" s="42">
        <v>17</v>
      </c>
      <c r="BE19" s="46">
        <v>8.5</v>
      </c>
      <c r="BF19" s="47">
        <v>0.19</v>
      </c>
      <c r="BG19" s="74"/>
    </row>
    <row r="20" spans="1:59" ht="39.950000000000003" customHeight="1" x14ac:dyDescent="0.25">
      <c r="A20" s="20">
        <f ca="1">(AT78)</f>
        <v>0.2081676294321789</v>
      </c>
      <c r="B20" s="27" t="s">
        <v>13</v>
      </c>
      <c r="C20" s="77">
        <v>0</v>
      </c>
      <c r="D20" s="78">
        <v>0</v>
      </c>
      <c r="E20" s="78">
        <v>0</v>
      </c>
      <c r="F20" s="79">
        <v>0</v>
      </c>
      <c r="G20" s="78">
        <v>0</v>
      </c>
      <c r="H20" s="77">
        <v>20</v>
      </c>
      <c r="I20" s="77">
        <v>0</v>
      </c>
      <c r="J20" s="80" t="s">
        <v>1</v>
      </c>
      <c r="K20" s="80" t="s">
        <v>1</v>
      </c>
      <c r="L20" s="80" t="s">
        <v>1</v>
      </c>
      <c r="M20" s="81">
        <v>0</v>
      </c>
      <c r="N20" s="28">
        <f ca="1">(AE78+AI48+AK48+AH78+AL78+AM78+AV78-O20)</f>
        <v>72748.60280177118</v>
      </c>
      <c r="O20" s="28">
        <f ca="1">(AS20+AU20+AW20+AE6+AG6+AL48)</f>
        <v>5574</v>
      </c>
      <c r="P20" s="29">
        <f t="shared" ca="1" si="23"/>
        <v>78322.60280177118</v>
      </c>
      <c r="Q20" s="82"/>
      <c r="R20" s="8"/>
      <c r="S20" s="83"/>
      <c r="T20" s="17"/>
      <c r="U20" s="18"/>
      <c r="V20" s="19"/>
      <c r="W20" s="71"/>
      <c r="X20" s="55" t="s">
        <v>38</v>
      </c>
      <c r="Y20" s="41">
        <f t="shared" ca="1" si="17"/>
        <v>771671.43316556187</v>
      </c>
      <c r="Z20" s="41">
        <f ca="1">COUNTIF(Q1,"Ocak")*P15
+COUNTIF(Q1,"Şubat")*P16
+COUNTIF(Q1,"Mart")*P17
+COUNTIF(Q1,"Nisan")*P18
+COUNTIF(Q1,"Mayıs")*P19
+COUNTIF(Q1,"Haziran")*P20
+COUNTIF(Q1,"Temmuz")*P21
+COUNTIF(Q1,"Ağustos")*P22
+COUNTIF(Q1,"Eylül")*P23
+COUNTIF(Q1,"Ekim")*P24
+COUNTIF(Q1,"Kasım")*P25
+COUNTIF(Q1,"Aralık")*P26
+COUNTIF(Q1,"Yıllık Toplam")*(P27)*-1
+COUNTIF(Q1,"Yıllık Ortalama")*(P28)*-1</f>
        <v>-771671.43316556187</v>
      </c>
      <c r="AA20" s="42" t="s">
        <v>0</v>
      </c>
      <c r="AB20" s="42" t="s">
        <v>0</v>
      </c>
      <c r="AC20" s="43">
        <f>($AC$19/2)</f>
        <v>520.45162500000004</v>
      </c>
      <c r="AD20" s="43">
        <f>($AD$19/2)</f>
        <v>520.45162500000004</v>
      </c>
      <c r="AE20" s="50">
        <f t="shared" si="27"/>
        <v>45809</v>
      </c>
      <c r="AF20" s="50">
        <f t="shared" si="22"/>
        <v>45838</v>
      </c>
      <c r="AG20" s="51">
        <f t="shared" si="24"/>
        <v>30</v>
      </c>
      <c r="AH20" s="51">
        <f t="shared" si="25"/>
        <v>25</v>
      </c>
      <c r="AI20" s="51">
        <f t="shared" si="26"/>
        <v>5</v>
      </c>
      <c r="AJ20" s="41">
        <f>COUNTIF($A$1,"Temizlik Sorumlusu")*($AB$39)
+COUNTIF($A$1,"Temizlik Görevlisi")*($AB$40)</f>
        <v>2115.17</v>
      </c>
      <c r="AK20" s="41">
        <f ca="1">(AJ20*AY78)</f>
        <v>1407.5769236658475</v>
      </c>
      <c r="AL20" s="41">
        <f>COUNTIF($A$1,"Temizlik Sorumlusu")*($AB$39)
+COUNTIF($A$1,"Temizlik Görevlisi")*($AB$40)</f>
        <v>2115.17</v>
      </c>
      <c r="AM20" s="43">
        <f ca="1">(AL20*AY78+AI63/30*-1+AZ63/30)</f>
        <v>1539.5980003325142</v>
      </c>
      <c r="AN20" s="52">
        <f>(AJ20*AG20)</f>
        <v>63455.100000000006</v>
      </c>
      <c r="AO20" s="43">
        <f ca="1">(AN20*AY78)</f>
        <v>42227.30770997543</v>
      </c>
      <c r="AP20" s="43">
        <f>(20*C20)</f>
        <v>0</v>
      </c>
      <c r="AQ20" s="43">
        <f ca="1">(AP20*AY78)</f>
        <v>0</v>
      </c>
      <c r="AR20" s="43">
        <f>(AJ20/7.5*1.6*D20)</f>
        <v>0</v>
      </c>
      <c r="AS20" s="43">
        <f ca="1">(AR20*AY78)</f>
        <v>0</v>
      </c>
      <c r="AT20" s="43">
        <f>(AJ20/7.5*1.25*E20)</f>
        <v>0</v>
      </c>
      <c r="AU20" s="43">
        <f ca="1">(AT20*AY78)</f>
        <v>0</v>
      </c>
      <c r="AV20" s="43">
        <f>(AJ20*2*F20)</f>
        <v>0</v>
      </c>
      <c r="AW20" s="43">
        <f ca="1">(AV20*AY78)</f>
        <v>0</v>
      </c>
      <c r="AX20" s="43">
        <f>(AJ20/7.5*0.15*G20)</f>
        <v>0</v>
      </c>
      <c r="BD20" s="42">
        <v>18</v>
      </c>
      <c r="BE20" s="46">
        <v>9</v>
      </c>
      <c r="BF20" s="47">
        <v>0.2</v>
      </c>
      <c r="BG20" s="74"/>
    </row>
    <row r="21" spans="1:59" ht="39.950000000000003" customHeight="1" x14ac:dyDescent="0.25">
      <c r="A21" s="20">
        <f ca="1">(AT79)</f>
        <v>0.27</v>
      </c>
      <c r="B21" s="27" t="s">
        <v>14</v>
      </c>
      <c r="C21" s="77">
        <v>0</v>
      </c>
      <c r="D21" s="78">
        <v>0</v>
      </c>
      <c r="E21" s="78">
        <v>0</v>
      </c>
      <c r="F21" s="79">
        <v>0</v>
      </c>
      <c r="G21" s="78">
        <v>0</v>
      </c>
      <c r="H21" s="77">
        <v>20</v>
      </c>
      <c r="I21" s="77">
        <v>0</v>
      </c>
      <c r="J21" s="80" t="s">
        <v>1</v>
      </c>
      <c r="K21" s="80" t="s">
        <v>1</v>
      </c>
      <c r="L21" s="80" t="s">
        <v>1</v>
      </c>
      <c r="M21" s="81">
        <v>0</v>
      </c>
      <c r="N21" s="28">
        <f ca="1">(AE79+AI49+AK49+AH79+AL79+AM79+AV79-O21)</f>
        <v>49760.849739205682</v>
      </c>
      <c r="O21" s="28">
        <f ca="1">(AS21+AU21+AW21+AE7+AG7+AL49)</f>
        <v>5574</v>
      </c>
      <c r="P21" s="29">
        <f t="shared" ca="1" si="23"/>
        <v>55334.849739205682</v>
      </c>
      <c r="Q21" s="82"/>
      <c r="R21" s="8"/>
      <c r="S21" s="83"/>
      <c r="T21" s="17"/>
      <c r="U21" s="18"/>
      <c r="V21" s="19"/>
      <c r="W21" s="71"/>
      <c r="X21" s="55" t="s">
        <v>39</v>
      </c>
      <c r="Y21" s="41">
        <f t="shared" ca="1" si="17"/>
        <v>316506.8538509286</v>
      </c>
      <c r="Z21" s="41">
        <f ca="1">COUNTIF(Q1,"Ocak")*(AE73-P15)
+COUNTIF(Q1,"Şubat")*(AE74-P16)
+COUNTIF(Q1,"Mart")*(AE75-P17)
+COUNTIF(Q1,"Nisan")*(AE76-P18)
+COUNTIF(Q1,"Mayıs")*(AE77-P19)
+COUNTIF(Q1,"Haziran")*(AE78-P20)
+COUNTIF(Q1,"Temmuz")*(AE79-P21)
+COUNTIF(Q1,"Ağustos")*(AE80-P22)
+COUNTIF(Q1,"Eylül")*(AE81-P23)
+COUNTIF(Q1,"Ekim")*(AE82-P24)
+COUNTIF(Q1,"Kasım")*(AE83-P25)
+COUNTIF(Q1,"Aralık")*(AE84-P26)
+COUNTIF(Q1,"Yıllık Toplam")*(AE85-P27)*-1
+COUNTIF(Q1,"Yıllık Ortalama")*(AE86-P28)*-1</f>
        <v>-316506.8538509286</v>
      </c>
      <c r="AE21" s="50">
        <f t="shared" si="27"/>
        <v>45839</v>
      </c>
      <c r="AF21" s="50">
        <f t="shared" si="22"/>
        <v>45869</v>
      </c>
      <c r="AG21" s="51">
        <f t="shared" si="24"/>
        <v>31</v>
      </c>
      <c r="AH21" s="51">
        <f t="shared" si="25"/>
        <v>27</v>
      </c>
      <c r="AI21" s="51">
        <f t="shared" si="26"/>
        <v>4</v>
      </c>
      <c r="AJ21" s="41">
        <f>COUNTIF($A$1,"Temizlik Sorumlusu")*($AC$39)
+COUNTIF($A$1,"Temizlik Görevlisi")*($AC$40)</f>
        <v>2115.17</v>
      </c>
      <c r="AK21" s="41">
        <f ca="1">(AJ21*AY79)</f>
        <v>1296.4088446999999</v>
      </c>
      <c r="AL21" s="41">
        <f>COUNTIF($A$1,"Temizlik Sorumlusu")*($AC$39)
+COUNTIF($A$1,"Temizlik Görevlisi")*($AC$40)</f>
        <v>2115.17</v>
      </c>
      <c r="AM21" s="43">
        <f ca="1">(AL21*AY79+AI64/30*-1+AZ64/30)</f>
        <v>1439.3105880333333</v>
      </c>
      <c r="AN21" s="52">
        <f>(AJ21*AG21)</f>
        <v>65570.27</v>
      </c>
      <c r="AO21" s="43">
        <f ca="1">(AN21*AY79)</f>
        <v>40188.674185700002</v>
      </c>
      <c r="AP21" s="43">
        <f>(20*C21)</f>
        <v>0</v>
      </c>
      <c r="AQ21" s="43">
        <f ca="1">(AP21*AY79)</f>
        <v>0</v>
      </c>
      <c r="AR21" s="43">
        <f>(AJ21/7.5*1.6*D21)</f>
        <v>0</v>
      </c>
      <c r="AS21" s="43">
        <f ca="1">(AR21*AY79)</f>
        <v>0</v>
      </c>
      <c r="AT21" s="43">
        <f>(AJ21/7.5*1.25*E21)</f>
        <v>0</v>
      </c>
      <c r="AU21" s="43">
        <f ca="1">(AT21*AY79)</f>
        <v>0</v>
      </c>
      <c r="AV21" s="43">
        <f>(AJ21*2*F21)</f>
        <v>0</v>
      </c>
      <c r="AW21" s="43">
        <f ca="1">(AV21*AY79)</f>
        <v>0</v>
      </c>
      <c r="AX21" s="43">
        <f>(AJ21/7.5*0.15*G21)</f>
        <v>0</v>
      </c>
      <c r="BD21" s="42">
        <v>19</v>
      </c>
      <c r="BE21" s="46">
        <v>9.5</v>
      </c>
      <c r="BF21" s="47">
        <v>0.21</v>
      </c>
      <c r="BG21" s="74"/>
    </row>
    <row r="22" spans="1:59" ht="39.950000000000003" customHeight="1" x14ac:dyDescent="0.25">
      <c r="A22" s="20">
        <f ca="1">(AT80)</f>
        <v>0.27</v>
      </c>
      <c r="B22" s="27" t="s">
        <v>15</v>
      </c>
      <c r="C22" s="77">
        <v>0</v>
      </c>
      <c r="D22" s="78">
        <v>0</v>
      </c>
      <c r="E22" s="78">
        <v>0</v>
      </c>
      <c r="F22" s="79">
        <v>0</v>
      </c>
      <c r="G22" s="78">
        <v>0</v>
      </c>
      <c r="H22" s="77">
        <v>20</v>
      </c>
      <c r="I22" s="77">
        <v>0</v>
      </c>
      <c r="J22" s="80" t="s">
        <v>1</v>
      </c>
      <c r="K22" s="80" t="s">
        <v>1</v>
      </c>
      <c r="L22" s="80" t="s">
        <v>1</v>
      </c>
      <c r="M22" s="81">
        <v>0</v>
      </c>
      <c r="N22" s="28">
        <f ca="1">(AE80+AI50+AK50+AH80+AL80+AM80+AV80-O22)</f>
        <v>50838.19973920568</v>
      </c>
      <c r="O22" s="28">
        <f ca="1">(AS22+AU22+AW22+AE8+AG8+AL50)</f>
        <v>5574</v>
      </c>
      <c r="P22" s="29">
        <f t="shared" ca="1" si="23"/>
        <v>56412.19973920568</v>
      </c>
      <c r="Q22" s="82"/>
      <c r="R22" s="8"/>
      <c r="S22" s="83"/>
      <c r="T22" s="17"/>
      <c r="U22" s="18"/>
      <c r="V22" s="19"/>
      <c r="W22" s="71"/>
      <c r="X22" s="56" t="s">
        <v>21</v>
      </c>
      <c r="Y22" s="56" t="s">
        <v>62</v>
      </c>
      <c r="AA22" s="42">
        <f>(1500)</f>
        <v>1500</v>
      </c>
      <c r="AB22" s="42" t="s">
        <v>0</v>
      </c>
      <c r="AC22" s="43">
        <f>($AA$29*$AA$22)</f>
        <v>2081.8065000000001</v>
      </c>
      <c r="AD22" s="43">
        <f>($AB$29*$AA$22)</f>
        <v>2081.8065000000001</v>
      </c>
      <c r="AE22" s="50">
        <f t="shared" si="27"/>
        <v>45870</v>
      </c>
      <c r="AF22" s="50">
        <f t="shared" si="22"/>
        <v>45900</v>
      </c>
      <c r="AG22" s="51">
        <f t="shared" si="24"/>
        <v>31</v>
      </c>
      <c r="AH22" s="51">
        <f t="shared" si="25"/>
        <v>26</v>
      </c>
      <c r="AI22" s="51">
        <f t="shared" si="26"/>
        <v>5</v>
      </c>
      <c r="AJ22" s="41">
        <f>COUNTIF($A$1,"Temizlik Sorumlusu")*($AC$39)
+COUNTIF($A$1,"Temizlik Görevlisi")*($AC$40)</f>
        <v>2115.17</v>
      </c>
      <c r="AK22" s="41">
        <f ca="1">(AJ22*AY80)</f>
        <v>1296.4088446999999</v>
      </c>
      <c r="AL22" s="41">
        <f>COUNTIF($A$1,"Temizlik Sorumlusu")*($AC$39)
+COUNTIF($A$1,"Temizlik Görevlisi")*($AC$40)</f>
        <v>2115.17</v>
      </c>
      <c r="AM22" s="43">
        <f ca="1">(AL22*AY80+AI65/30*-1+AZ65/30)</f>
        <v>1475.2222546999999</v>
      </c>
      <c r="AN22" s="52">
        <f>(AJ22*AG22)</f>
        <v>65570.27</v>
      </c>
      <c r="AO22" s="43">
        <f ca="1">(AN22*AY80)</f>
        <v>40188.674185700002</v>
      </c>
      <c r="AP22" s="43">
        <f>(20*C22)</f>
        <v>0</v>
      </c>
      <c r="AQ22" s="43">
        <f ca="1">(AP22*AY80)</f>
        <v>0</v>
      </c>
      <c r="AR22" s="43">
        <f>(AJ22/7.5*1.6*D22)</f>
        <v>0</v>
      </c>
      <c r="AS22" s="43">
        <f ca="1">(AR22*AY80)</f>
        <v>0</v>
      </c>
      <c r="AT22" s="43">
        <f>(AJ22/7.5*1.25*E22)</f>
        <v>0</v>
      </c>
      <c r="AU22" s="43">
        <f ca="1">(AT22*AY80)</f>
        <v>0</v>
      </c>
      <c r="AV22" s="43">
        <f>(AJ22*2*F22)</f>
        <v>0</v>
      </c>
      <c r="AW22" s="43">
        <f ca="1">(AV22*AY80)</f>
        <v>0</v>
      </c>
      <c r="AX22" s="43">
        <f>(AJ22/7.5*0.15*G22)</f>
        <v>0</v>
      </c>
      <c r="BD22" s="42">
        <v>20</v>
      </c>
      <c r="BE22" s="46">
        <v>10</v>
      </c>
      <c r="BF22" s="47">
        <v>0.22</v>
      </c>
      <c r="BG22" s="74"/>
    </row>
    <row r="23" spans="1:59" ht="39.950000000000003" customHeight="1" x14ac:dyDescent="0.25">
      <c r="A23" s="20">
        <f ca="1">(AT81)</f>
        <v>0.27</v>
      </c>
      <c r="B23" s="27" t="s">
        <v>16</v>
      </c>
      <c r="C23" s="77">
        <v>0</v>
      </c>
      <c r="D23" s="78">
        <v>0</v>
      </c>
      <c r="E23" s="78">
        <v>0</v>
      </c>
      <c r="F23" s="79">
        <v>0</v>
      </c>
      <c r="G23" s="78">
        <v>0</v>
      </c>
      <c r="H23" s="77">
        <v>20</v>
      </c>
      <c r="I23" s="77">
        <v>0</v>
      </c>
      <c r="J23" s="80" t="s">
        <v>1</v>
      </c>
      <c r="K23" s="80" t="s">
        <v>1</v>
      </c>
      <c r="L23" s="80" t="s">
        <v>1</v>
      </c>
      <c r="M23" s="81">
        <v>0</v>
      </c>
      <c r="N23" s="28">
        <f ca="1">(AE81+AI51+AK51+AH81+AL81+AM81+AV81-O23)</f>
        <v>68987.924775005667</v>
      </c>
      <c r="O23" s="28">
        <f ca="1">(AS23+AU23+AW23+AE9+AG9+AL51)</f>
        <v>5574</v>
      </c>
      <c r="P23" s="29">
        <f t="shared" ca="1" si="23"/>
        <v>74561.924775005667</v>
      </c>
      <c r="Q23" s="82"/>
      <c r="R23" s="8"/>
      <c r="S23" s="83"/>
      <c r="T23" s="17"/>
      <c r="U23" s="18"/>
      <c r="V23" s="19"/>
      <c r="W23" s="71"/>
      <c r="X23" s="57" t="s">
        <v>20</v>
      </c>
      <c r="Y23" s="58" t="s">
        <v>91</v>
      </c>
      <c r="AA23" s="42">
        <f>(8000)</f>
        <v>8000</v>
      </c>
      <c r="AB23" s="42" t="s">
        <v>0</v>
      </c>
      <c r="AC23" s="43">
        <f>($AA$29*$AA$23)</f>
        <v>11102.968000000001</v>
      </c>
      <c r="AD23" s="43">
        <f>($AB$29*$AA$23)</f>
        <v>11102.968000000001</v>
      </c>
      <c r="AE23" s="50">
        <f t="shared" si="27"/>
        <v>45901</v>
      </c>
      <c r="AF23" s="50">
        <f t="shared" si="22"/>
        <v>45930</v>
      </c>
      <c r="AG23" s="51">
        <f t="shared" si="24"/>
        <v>30</v>
      </c>
      <c r="AH23" s="51">
        <f t="shared" si="25"/>
        <v>26</v>
      </c>
      <c r="AI23" s="51">
        <f t="shared" si="26"/>
        <v>4</v>
      </c>
      <c r="AJ23" s="41">
        <f>COUNTIF($A$1,"Temizlik Sorumlusu")*($AC$39)
+COUNTIF($A$1,"Temizlik Görevlisi")*($AC$40)</f>
        <v>2115.17</v>
      </c>
      <c r="AK23" s="41">
        <f ca="1">(AJ23*AY81)</f>
        <v>1296.4088446999999</v>
      </c>
      <c r="AL23" s="41">
        <f>COUNTIF($A$1,"Temizlik Sorumlusu")*($AC$39)
+COUNTIF($A$1,"Temizlik Görevlisi")*($AC$40)</f>
        <v>2115.17</v>
      </c>
      <c r="AM23" s="43">
        <f ca="1">(AL23*AY81+AI66/30*-1+AZ66/30)</f>
        <v>1475.2222546999999</v>
      </c>
      <c r="AN23" s="52">
        <f>(AJ23*AG23)</f>
        <v>63455.100000000006</v>
      </c>
      <c r="AO23" s="43">
        <f ca="1">(AN23*AY81)</f>
        <v>38892.265340999998</v>
      </c>
      <c r="AP23" s="43">
        <f>(20*C23)</f>
        <v>0</v>
      </c>
      <c r="AQ23" s="43">
        <f ca="1">(AP23*AY81)</f>
        <v>0</v>
      </c>
      <c r="AR23" s="43">
        <f>(AJ23/7.5*1.6*D23)</f>
        <v>0</v>
      </c>
      <c r="AS23" s="43">
        <f ca="1">(AR23*AY81)</f>
        <v>0</v>
      </c>
      <c r="AT23" s="43">
        <f>(AJ23/7.5*1.25*E23)</f>
        <v>0</v>
      </c>
      <c r="AU23" s="43">
        <f ca="1">(AT23*AY81)</f>
        <v>0</v>
      </c>
      <c r="AV23" s="43">
        <f>(AJ23*2*F23)</f>
        <v>0</v>
      </c>
      <c r="AW23" s="43">
        <f ca="1">(AV23*AY81)</f>
        <v>0</v>
      </c>
      <c r="AX23" s="43">
        <f>(AJ23/7.5*0.15*G23)</f>
        <v>0</v>
      </c>
      <c r="BD23" s="42">
        <v>21</v>
      </c>
      <c r="BE23" s="46">
        <v>10.5</v>
      </c>
      <c r="BF23" s="47">
        <v>0.23</v>
      </c>
      <c r="BG23" s="74"/>
    </row>
    <row r="24" spans="1:59" ht="39.950000000000003" customHeight="1" x14ac:dyDescent="0.25">
      <c r="A24" s="20">
        <f ca="1">(AT82)</f>
        <v>0.27</v>
      </c>
      <c r="B24" s="27" t="s">
        <v>17</v>
      </c>
      <c r="C24" s="77">
        <v>0</v>
      </c>
      <c r="D24" s="78">
        <v>0</v>
      </c>
      <c r="E24" s="78">
        <v>0</v>
      </c>
      <c r="F24" s="79">
        <v>0</v>
      </c>
      <c r="G24" s="78">
        <v>0</v>
      </c>
      <c r="H24" s="77">
        <v>20</v>
      </c>
      <c r="I24" s="77">
        <v>0</v>
      </c>
      <c r="J24" s="80" t="s">
        <v>1</v>
      </c>
      <c r="K24" s="80" t="s">
        <v>1</v>
      </c>
      <c r="L24" s="80" t="s">
        <v>1</v>
      </c>
      <c r="M24" s="81">
        <v>0</v>
      </c>
      <c r="N24" s="28">
        <f ca="1">(AE82+AI52+AK52+AH82+AL82+AM82+AV82-O24)</f>
        <v>50838.19973920568</v>
      </c>
      <c r="O24" s="28">
        <f ca="1">(AS24+AU24+AW24+AE10+AG10+AL52)</f>
        <v>5574</v>
      </c>
      <c r="P24" s="29">
        <f t="shared" ca="1" si="23"/>
        <v>56412.19973920568</v>
      </c>
      <c r="Q24" s="82"/>
      <c r="R24" s="8"/>
      <c r="S24" s="83"/>
      <c r="T24" s="17"/>
      <c r="U24" s="18"/>
      <c r="V24" s="19"/>
      <c r="W24" s="71"/>
      <c r="X24" s="57" t="s">
        <v>22</v>
      </c>
      <c r="Y24" s="59" t="s">
        <v>44</v>
      </c>
      <c r="AA24" s="42">
        <f>(500)</f>
        <v>500</v>
      </c>
      <c r="AB24" s="42" t="s">
        <v>0</v>
      </c>
      <c r="AC24" s="43">
        <f>($AA$29*$AA$24)</f>
        <v>693.93550000000005</v>
      </c>
      <c r="AD24" s="43">
        <f>($AB$29*$AA$24)</f>
        <v>693.93550000000005</v>
      </c>
      <c r="AE24" s="50">
        <f t="shared" si="27"/>
        <v>45931</v>
      </c>
      <c r="AF24" s="50">
        <f t="shared" si="22"/>
        <v>45961</v>
      </c>
      <c r="AG24" s="51">
        <f t="shared" si="24"/>
        <v>31</v>
      </c>
      <c r="AH24" s="51">
        <f t="shared" si="25"/>
        <v>27</v>
      </c>
      <c r="AI24" s="51">
        <f t="shared" si="26"/>
        <v>4</v>
      </c>
      <c r="AJ24" s="41">
        <f>COUNTIF($A$1,"Temizlik Sorumlusu")*($AC$39)
+COUNTIF($A$1,"Temizlik Görevlisi")*($AC$40)</f>
        <v>2115.17</v>
      </c>
      <c r="AK24" s="41">
        <f ca="1">(AJ24*AY82)</f>
        <v>1296.4088446999999</v>
      </c>
      <c r="AL24" s="41">
        <f>COUNTIF($A$1,"Temizlik Sorumlusu")*($AC$39)
+COUNTIF($A$1,"Temizlik Görevlisi")*($AC$40)</f>
        <v>2115.17</v>
      </c>
      <c r="AM24" s="43">
        <f ca="1">(AL24*AY82+AI67/30*-1+AZ67/30)</f>
        <v>1475.2222546999999</v>
      </c>
      <c r="AN24" s="52">
        <f>(AJ24*AG24)</f>
        <v>65570.27</v>
      </c>
      <c r="AO24" s="43">
        <f ca="1">(AN24*AY82)</f>
        <v>40188.674185700002</v>
      </c>
      <c r="AP24" s="43">
        <f>(20*C24)</f>
        <v>0</v>
      </c>
      <c r="AQ24" s="43">
        <f ca="1">(AP24*AY82)</f>
        <v>0</v>
      </c>
      <c r="AR24" s="43">
        <f>(AJ24/7.5*1.6*D24)</f>
        <v>0</v>
      </c>
      <c r="AS24" s="43">
        <f ca="1">(AR24*AY82)</f>
        <v>0</v>
      </c>
      <c r="AT24" s="43">
        <f>(AJ24/7.5*1.25*E24)</f>
        <v>0</v>
      </c>
      <c r="AU24" s="43">
        <f ca="1">(AT24*AY82)</f>
        <v>0</v>
      </c>
      <c r="AV24" s="43">
        <f>(AJ24*2*F24)</f>
        <v>0</v>
      </c>
      <c r="AW24" s="43">
        <f ca="1">(AV24*AY82)</f>
        <v>0</v>
      </c>
      <c r="AX24" s="43">
        <f>(AJ24/7.5*0.15*G24)</f>
        <v>0</v>
      </c>
      <c r="BD24" s="42">
        <v>22</v>
      </c>
      <c r="BE24" s="46">
        <v>11</v>
      </c>
      <c r="BF24" s="47">
        <v>0.24</v>
      </c>
      <c r="BG24" s="74"/>
    </row>
    <row r="25" spans="1:59" ht="39.950000000000003" customHeight="1" x14ac:dyDescent="0.25">
      <c r="A25" s="20">
        <f ca="1">(AT83)</f>
        <v>0.27</v>
      </c>
      <c r="B25" s="27" t="s">
        <v>18</v>
      </c>
      <c r="C25" s="77">
        <v>0</v>
      </c>
      <c r="D25" s="78">
        <v>0</v>
      </c>
      <c r="E25" s="78">
        <v>0</v>
      </c>
      <c r="F25" s="79">
        <v>0</v>
      </c>
      <c r="G25" s="78">
        <v>0</v>
      </c>
      <c r="H25" s="77">
        <v>20</v>
      </c>
      <c r="I25" s="77">
        <v>0</v>
      </c>
      <c r="J25" s="80" t="s">
        <v>1</v>
      </c>
      <c r="K25" s="80" t="s">
        <v>1</v>
      </c>
      <c r="L25" s="80" t="s">
        <v>1</v>
      </c>
      <c r="M25" s="81">
        <v>0</v>
      </c>
      <c r="N25" s="28">
        <f ca="1">(AE83+AI53+AK53+AH83+AL83+AM83+AV83-O25)</f>
        <v>49631.379379505684</v>
      </c>
      <c r="O25" s="28">
        <f ca="1">(AS25+AU25+AW25+AE11+AG11+AL53)</f>
        <v>5574</v>
      </c>
      <c r="P25" s="29">
        <f t="shared" ca="1" si="23"/>
        <v>55205.379379505684</v>
      </c>
      <c r="Q25" s="82"/>
      <c r="R25" s="8"/>
      <c r="S25" s="83"/>
      <c r="T25" s="17"/>
      <c r="U25" s="18"/>
      <c r="V25" s="19"/>
      <c r="W25" s="71"/>
      <c r="X25" s="57" t="s">
        <v>40</v>
      </c>
      <c r="Y25" s="41" t="s">
        <v>72</v>
      </c>
      <c r="AA25" s="42">
        <f>(1000)</f>
        <v>1000</v>
      </c>
      <c r="AB25" s="42" t="s">
        <v>0</v>
      </c>
      <c r="AC25" s="43">
        <f>($AA$30*$AA$25)</f>
        <v>22722.792999999998</v>
      </c>
      <c r="AD25" s="43">
        <f>($AB$30*$AA$25)</f>
        <v>22722.792999999998</v>
      </c>
      <c r="AE25" s="50">
        <f t="shared" si="27"/>
        <v>45962</v>
      </c>
      <c r="AF25" s="50">
        <f t="shared" si="22"/>
        <v>45991</v>
      </c>
      <c r="AG25" s="51">
        <f t="shared" si="24"/>
        <v>30</v>
      </c>
      <c r="AH25" s="51">
        <f t="shared" si="25"/>
        <v>25</v>
      </c>
      <c r="AI25" s="51">
        <f t="shared" si="26"/>
        <v>5</v>
      </c>
      <c r="AJ25" s="41">
        <f>COUNTIF($A$1,"Temizlik Sorumlusu")*($AC$39)
+COUNTIF($A$1,"Temizlik Görevlisi")*($AC$40)</f>
        <v>2115.17</v>
      </c>
      <c r="AK25" s="41">
        <f ca="1">(AJ25*AY83)</f>
        <v>1296.4088446999999</v>
      </c>
      <c r="AL25" s="41">
        <f>COUNTIF($A$1,"Temizlik Sorumlusu")*($AC$39)
+COUNTIF($A$1,"Temizlik Görevlisi")*($AC$40)</f>
        <v>2115.17</v>
      </c>
      <c r="AM25" s="43">
        <f ca="1">(AL25*AY83+AI68/30*-1+AZ68/30)</f>
        <v>1475.2222546999999</v>
      </c>
      <c r="AN25" s="52">
        <f>(AJ25*AG25)</f>
        <v>63455.100000000006</v>
      </c>
      <c r="AO25" s="43">
        <f ca="1">(AN25*AY83)</f>
        <v>38892.265340999998</v>
      </c>
      <c r="AP25" s="43">
        <f>(20*C25)</f>
        <v>0</v>
      </c>
      <c r="AQ25" s="43">
        <f ca="1">(AP25*AY83)</f>
        <v>0</v>
      </c>
      <c r="AR25" s="43">
        <f>(AJ25/7.5*1.6*D25)</f>
        <v>0</v>
      </c>
      <c r="AS25" s="43">
        <f ca="1">(AR25*AY83)</f>
        <v>0</v>
      </c>
      <c r="AT25" s="43">
        <f>(AJ25/7.5*1.25*E25)</f>
        <v>0</v>
      </c>
      <c r="AU25" s="43">
        <f ca="1">(AT25*AY83)</f>
        <v>0</v>
      </c>
      <c r="AV25" s="43">
        <f>(AJ25*2*F25)</f>
        <v>0</v>
      </c>
      <c r="AW25" s="43">
        <f ca="1">(AV25*AY83)</f>
        <v>0</v>
      </c>
      <c r="AX25" s="43">
        <f>(AJ25/7.5*0.15*G25)</f>
        <v>0</v>
      </c>
      <c r="BD25" s="42">
        <v>23</v>
      </c>
      <c r="BE25" s="46">
        <v>11.5</v>
      </c>
      <c r="BF25" s="47">
        <v>0.25</v>
      </c>
      <c r="BG25" s="74"/>
    </row>
    <row r="26" spans="1:59" ht="39.950000000000003" customHeight="1" x14ac:dyDescent="0.25">
      <c r="A26" s="20">
        <f ca="1">(AT84)</f>
        <v>0.27</v>
      </c>
      <c r="B26" s="27" t="s">
        <v>19</v>
      </c>
      <c r="C26" s="77">
        <v>0</v>
      </c>
      <c r="D26" s="78">
        <v>0</v>
      </c>
      <c r="E26" s="78">
        <v>0</v>
      </c>
      <c r="F26" s="79">
        <v>0</v>
      </c>
      <c r="G26" s="78">
        <v>0</v>
      </c>
      <c r="H26" s="77">
        <v>20</v>
      </c>
      <c r="I26" s="77">
        <v>0</v>
      </c>
      <c r="J26" s="80" t="s">
        <v>1</v>
      </c>
      <c r="K26" s="80" t="s">
        <v>1</v>
      </c>
      <c r="L26" s="80" t="s">
        <v>1</v>
      </c>
      <c r="M26" s="81">
        <v>0</v>
      </c>
      <c r="N26" s="28">
        <f ca="1">(AE84+AI54+AK54+AH84+AL84+AM84+AV84-O26)</f>
        <v>70373.915134705676</v>
      </c>
      <c r="O26" s="28">
        <f ca="1">(AS26+AU26+AW26+AE12+AG12+AL54)</f>
        <v>5574</v>
      </c>
      <c r="P26" s="29">
        <f t="shared" ca="1" si="23"/>
        <v>75947.915134705676</v>
      </c>
      <c r="Q26" s="82"/>
      <c r="R26" s="8"/>
      <c r="S26" s="83"/>
      <c r="T26" s="17"/>
      <c r="U26" s="18"/>
      <c r="V26" s="19"/>
      <c r="W26" s="71"/>
      <c r="X26" s="57" t="s">
        <v>26</v>
      </c>
      <c r="Y26" s="59" t="s">
        <v>45</v>
      </c>
      <c r="AA26" s="42">
        <f>($AA$22+$AA$23)</f>
        <v>9500</v>
      </c>
      <c r="AB26" s="42">
        <f>(2.15)</f>
        <v>2.15</v>
      </c>
      <c r="AC26" s="43">
        <f>($AA$29*$AA$26*$AB$26)</f>
        <v>28347.265175</v>
      </c>
      <c r="AD26" s="43">
        <f>($AB$29*$AA$26*$AB$26)</f>
        <v>28347.265175</v>
      </c>
      <c r="AE26" s="50">
        <f t="shared" si="27"/>
        <v>45992</v>
      </c>
      <c r="AF26" s="50">
        <f t="shared" si="22"/>
        <v>46022</v>
      </c>
      <c r="AG26" s="51">
        <f t="shared" si="24"/>
        <v>31</v>
      </c>
      <c r="AH26" s="51">
        <f t="shared" si="25"/>
        <v>27</v>
      </c>
      <c r="AI26" s="51">
        <f t="shared" si="26"/>
        <v>4</v>
      </c>
      <c r="AJ26" s="41">
        <f>COUNTIF($A$1,"Temizlik Sorumlusu")*($AC$39)
+COUNTIF($A$1,"Temizlik Görevlisi")*($AC$40)</f>
        <v>2115.17</v>
      </c>
      <c r="AK26" s="41">
        <f ca="1">(AJ26*AY84)</f>
        <v>1296.4088446999999</v>
      </c>
      <c r="AL26" s="41">
        <f>COUNTIF($A$1,"Temizlik Sorumlusu")*($AC$39)
+COUNTIF($A$1,"Temizlik Görevlisi")*($AC$40)</f>
        <v>2115.17</v>
      </c>
      <c r="AM26" s="43">
        <f ca="1">(AL26*AY84+AI69/30*-1+AZ69/30)</f>
        <v>1475.2222546999999</v>
      </c>
      <c r="AN26" s="52">
        <f>(AJ26*AG26)</f>
        <v>65570.27</v>
      </c>
      <c r="AO26" s="43">
        <f ca="1">(AN26*AY84)</f>
        <v>40188.674185700002</v>
      </c>
      <c r="AP26" s="43">
        <f>(20*C26)</f>
        <v>0</v>
      </c>
      <c r="AQ26" s="43">
        <f ca="1">(AP26*AY84)</f>
        <v>0</v>
      </c>
      <c r="AR26" s="43">
        <f>(AJ26/7.5*1.6*D26)</f>
        <v>0</v>
      </c>
      <c r="AS26" s="43">
        <f ca="1">(AR26*AY84)</f>
        <v>0</v>
      </c>
      <c r="AT26" s="43">
        <f>(AJ26/7.5*1.25*E26)</f>
        <v>0</v>
      </c>
      <c r="AU26" s="43">
        <f ca="1">(AT26*AY84)</f>
        <v>0</v>
      </c>
      <c r="AV26" s="43">
        <f>(AJ26*2*F26)</f>
        <v>0</v>
      </c>
      <c r="AW26" s="43">
        <f ca="1">(AV26*AY84)</f>
        <v>0</v>
      </c>
      <c r="AX26" s="43">
        <f>(AJ26/7.5*0.15*G26)</f>
        <v>0</v>
      </c>
      <c r="BD26" s="42">
        <v>24</v>
      </c>
      <c r="BE26" s="46">
        <v>12</v>
      </c>
      <c r="BF26" s="47">
        <v>0.26</v>
      </c>
      <c r="BG26" s="74"/>
    </row>
    <row r="27" spans="1:59" ht="39.950000000000003" customHeight="1" x14ac:dyDescent="0.25">
      <c r="A27" s="30" t="s">
        <v>0</v>
      </c>
      <c r="B27" s="31" t="s">
        <v>80</v>
      </c>
      <c r="C27" s="22" t="s">
        <v>0</v>
      </c>
      <c r="D27" s="32">
        <f>(D15+D16+D17+D18+D19+D20+D21+D22+D23+D24+D25+D26)</f>
        <v>0</v>
      </c>
      <c r="E27" s="32">
        <f>(E15+E16+E17+E18+E19+E20+E21+E22+E23+E24+E25+E26)</f>
        <v>0</v>
      </c>
      <c r="F27" s="33">
        <f>(F15+F16+F17+F18+F19+F20+F21+F22+F23+F24+F25+F26)</f>
        <v>0</v>
      </c>
      <c r="G27" s="32">
        <f>(G15+G16+G17+G18+G19+G20+G21+G22+G23+G24+G25+G26)</f>
        <v>0</v>
      </c>
      <c r="H27" s="33">
        <f>(H15+H16+H17+H18+H19+H20+H21+H22+H23+H24+H25+H26)</f>
        <v>240</v>
      </c>
      <c r="I27" s="22" t="s">
        <v>0</v>
      </c>
      <c r="J27" s="22" t="s">
        <v>0</v>
      </c>
      <c r="K27" s="22" t="s">
        <v>0</v>
      </c>
      <c r="L27" s="22" t="s">
        <v>0</v>
      </c>
      <c r="M27" s="21" t="s">
        <v>0</v>
      </c>
      <c r="N27" s="34">
        <f t="shared" ref="N27" ca="1" si="28">(N15+N16+N17+N18+N19+N20+N21+N22+N23+N24+N25+N26)</f>
        <v>704783.43316556187</v>
      </c>
      <c r="O27" s="34">
        <f t="shared" ref="O27" ca="1" si="29">(O15+O16+O17+O18+O19+O20+O21+O22+O23+O24+O25+O26)</f>
        <v>66888</v>
      </c>
      <c r="P27" s="35">
        <f t="shared" ref="P27" ca="1" si="30">(P15+P16+P17+P18+P19+P20+P21+P22+P23+P24+P25+P26)</f>
        <v>771671.43316556187</v>
      </c>
      <c r="Q27" s="82"/>
      <c r="R27" s="8"/>
      <c r="S27" s="83"/>
      <c r="T27" s="17"/>
      <c r="U27" s="18"/>
      <c r="V27" s="19"/>
      <c r="W27" s="71"/>
      <c r="X27" s="57" t="s">
        <v>24</v>
      </c>
      <c r="Y27" s="58" t="s">
        <v>92</v>
      </c>
      <c r="AA27" s="42" t="s">
        <v>0</v>
      </c>
      <c r="AB27" s="42" t="s">
        <v>0</v>
      </c>
      <c r="AC27" s="43">
        <f>($AC$22+$AC$23+$AC$24+$AC$25+$AC$26)</f>
        <v>64948.768174999997</v>
      </c>
      <c r="AD27" s="43">
        <f>($AD$22+$AD$23+$AD$24+$AD$25+$AD$26)</f>
        <v>64948.768174999997</v>
      </c>
      <c r="AE27" s="48" t="s">
        <v>0</v>
      </c>
      <c r="AF27" s="48" t="s">
        <v>0</v>
      </c>
      <c r="AG27" s="44">
        <f>(AG15+AG16+AG17+AG18+AG19+AG20+AG21+AG22+AG23+AG24+AG25+AG26)</f>
        <v>365</v>
      </c>
      <c r="AH27" s="44">
        <f>(AH15+AH16+AH17+AH18+AH19+AH20+AH21+AH22+AH23+AH24+AH25+AH26)</f>
        <v>313</v>
      </c>
      <c r="AI27" s="44">
        <f>(AI15+AI16+AI17+AI18+AI19+AI20+AI21+AI22+AI23+AI24+AI25+AI26)</f>
        <v>52</v>
      </c>
      <c r="AJ27" s="43">
        <f>(AJ15+AJ16+AJ17+AJ18+AJ19+AJ20+AJ21+AJ22+AJ23+AJ24+AJ25+AJ26)</f>
        <v>25382.039999999994</v>
      </c>
      <c r="AK27" s="43">
        <f t="shared" ref="AK27:AM27" ca="1" si="31">(AK15+AK16+AK17+AK18+AK19+AK20+AK21+AK22+AK23+AK24+AK25+AK26)</f>
        <v>16553.273058079405</v>
      </c>
      <c r="AL27" s="43">
        <f t="shared" si="31"/>
        <v>25382.039999999994</v>
      </c>
      <c r="AM27" s="43">
        <f t="shared" ca="1" si="31"/>
        <v>18382.368311412742</v>
      </c>
      <c r="AN27" s="43">
        <f t="shared" ref="AN27:AO27" si="32">(AN15+AN16+AN17+AN18+AN19+AN20+AN21+AN22+AN23+AN24+AN25+AN26)</f>
        <v>772037.05</v>
      </c>
      <c r="AO27" s="43">
        <f t="shared" ca="1" si="32"/>
        <v>503192.34017359582</v>
      </c>
      <c r="AP27" s="43">
        <f t="shared" ref="AP27:AQ27" si="33">(AP15+AP16+AP17+AP18+AP19+AP20+AP21+AP22+AP23+AP24+AP25+AP26)</f>
        <v>0</v>
      </c>
      <c r="AQ27" s="43">
        <f t="shared" ca="1" si="33"/>
        <v>0</v>
      </c>
      <c r="AR27" s="43">
        <f t="shared" ref="AR27:AS27" si="34">(AR15+AR16+AR17+AR18+AR19+AR20+AR21+AR22+AR23+AR24+AR25+AR26)</f>
        <v>0</v>
      </c>
      <c r="AS27" s="43">
        <f t="shared" ca="1" si="34"/>
        <v>0</v>
      </c>
      <c r="AT27" s="43">
        <f t="shared" ref="AT27:AU27" si="35">(AT15+AT16+AT17+AT18+AT19+AT20+AT21+AT22+AT23+AT24+AT25+AT26)</f>
        <v>0</v>
      </c>
      <c r="AU27" s="43">
        <f t="shared" ca="1" si="35"/>
        <v>0</v>
      </c>
      <c r="AV27" s="43">
        <f t="shared" ref="AV27:AW27" si="36">(AV15+AV16+AV17+AV18+AV19+AV20+AV21+AV22+AV23+AV24+AV25+AV26)</f>
        <v>0</v>
      </c>
      <c r="AW27" s="43">
        <f t="shared" ca="1" si="36"/>
        <v>0</v>
      </c>
      <c r="AX27" s="43">
        <f t="shared" ref="AX27" si="37">(AX15+AX16+AX17+AX18+AX19+AX20+AX21+AX22+AX23+AX24+AX25+AX26)</f>
        <v>0</v>
      </c>
      <c r="BD27" s="42">
        <v>25</v>
      </c>
      <c r="BE27" s="46">
        <v>12.5</v>
      </c>
      <c r="BF27" s="47">
        <v>0.27</v>
      </c>
      <c r="BG27" s="74"/>
    </row>
    <row r="28" spans="1:59" ht="39.950000000000003" customHeight="1" x14ac:dyDescent="0.25">
      <c r="A28" s="20">
        <f ca="1">(AT86)</f>
        <v>0.22381788152385065</v>
      </c>
      <c r="B28" s="31" t="s">
        <v>81</v>
      </c>
      <c r="C28" s="22" t="s">
        <v>0</v>
      </c>
      <c r="D28" s="33" t="s">
        <v>0</v>
      </c>
      <c r="E28" s="33" t="s">
        <v>0</v>
      </c>
      <c r="F28" s="22" t="s">
        <v>0</v>
      </c>
      <c r="G28" s="22" t="s">
        <v>0</v>
      </c>
      <c r="H28" s="22" t="s">
        <v>0</v>
      </c>
      <c r="I28" s="22" t="s">
        <v>0</v>
      </c>
      <c r="J28" s="22" t="s">
        <v>0</v>
      </c>
      <c r="K28" s="22" t="s">
        <v>0</v>
      </c>
      <c r="L28" s="22" t="s">
        <v>0</v>
      </c>
      <c r="M28" s="22" t="s">
        <v>0</v>
      </c>
      <c r="N28" s="34">
        <f ca="1">(N27/12)</f>
        <v>58731.95276379682</v>
      </c>
      <c r="O28" s="34">
        <f ca="1">(O27/12)</f>
        <v>5574</v>
      </c>
      <c r="P28" s="35">
        <f ca="1">(P27/12)</f>
        <v>64305.95276379682</v>
      </c>
      <c r="Q28" s="82"/>
      <c r="R28" s="8"/>
      <c r="S28" s="83"/>
      <c r="T28" s="36"/>
      <c r="U28" s="37"/>
      <c r="V28" s="38"/>
      <c r="W28" s="72"/>
      <c r="X28" s="57" t="s">
        <v>25</v>
      </c>
      <c r="Y28" s="58" t="s">
        <v>93</v>
      </c>
      <c r="AE28" s="48" t="s">
        <v>0</v>
      </c>
      <c r="AF28" s="48" t="s">
        <v>0</v>
      </c>
      <c r="AG28" s="48" t="s">
        <v>0</v>
      </c>
      <c r="AH28" s="48" t="s">
        <v>0</v>
      </c>
      <c r="AI28" s="48" t="s">
        <v>0</v>
      </c>
      <c r="AJ28" s="43">
        <f>(AJ27/12)</f>
        <v>2115.1699999999996</v>
      </c>
      <c r="AK28" s="43">
        <f t="shared" ref="AK28:AM28" ca="1" si="38">(AK27/12)</f>
        <v>1379.439421506617</v>
      </c>
      <c r="AL28" s="43">
        <f t="shared" si="38"/>
        <v>2115.1699999999996</v>
      </c>
      <c r="AM28" s="43">
        <f t="shared" ca="1" si="38"/>
        <v>1531.8640259510619</v>
      </c>
      <c r="AN28" s="43">
        <f t="shared" ref="AN28:AO28" si="39">(AN27/12)</f>
        <v>64336.420833333337</v>
      </c>
      <c r="AO28" s="43">
        <f t="shared" ca="1" si="39"/>
        <v>41932.695014466321</v>
      </c>
      <c r="AP28" s="43">
        <f t="shared" ref="AP28:AQ28" si="40">(AP27/12)</f>
        <v>0</v>
      </c>
      <c r="AQ28" s="43">
        <f t="shared" ca="1" si="40"/>
        <v>0</v>
      </c>
      <c r="AR28" s="43">
        <f t="shared" ref="AR28:AS28" si="41">(AR27/12)</f>
        <v>0</v>
      </c>
      <c r="AS28" s="43">
        <f t="shared" ca="1" si="41"/>
        <v>0</v>
      </c>
      <c r="AT28" s="43">
        <f t="shared" ref="AT28:AU28" si="42">(AT27/12)</f>
        <v>0</v>
      </c>
      <c r="AU28" s="43">
        <f t="shared" ca="1" si="42"/>
        <v>0</v>
      </c>
      <c r="AV28" s="43">
        <f t="shared" ref="AV28:AW28" si="43">(AV27/12)</f>
        <v>0</v>
      </c>
      <c r="AW28" s="43">
        <f t="shared" ca="1" si="43"/>
        <v>0</v>
      </c>
      <c r="AX28" s="43">
        <f t="shared" ref="AX28" si="44">(AX27/12)</f>
        <v>0</v>
      </c>
      <c r="BD28" s="42">
        <v>26</v>
      </c>
      <c r="BE28" s="46">
        <v>13</v>
      </c>
      <c r="BF28" s="47">
        <v>0.28000000000000003</v>
      </c>
      <c r="BG28" s="75"/>
    </row>
    <row r="29" spans="1:59" ht="39.950000000000003" hidden="1" customHeight="1" x14ac:dyDescent="0.25">
      <c r="X29" s="57" t="s">
        <v>41</v>
      </c>
      <c r="Y29" s="59" t="s">
        <v>73</v>
      </c>
      <c r="AA29" s="60">
        <v>1.3878710000000001</v>
      </c>
      <c r="AB29" s="60">
        <v>1.3878710000000001</v>
      </c>
      <c r="AC29" s="40" t="s">
        <v>0</v>
      </c>
      <c r="AD29" s="55" t="s">
        <v>0</v>
      </c>
      <c r="AE29" s="43">
        <f>(AJ15*AX1)</f>
        <v>0</v>
      </c>
      <c r="AF29" s="43">
        <f ca="1">(AE29*AY73)</f>
        <v>0</v>
      </c>
      <c r="AG29" s="44">
        <v>30</v>
      </c>
      <c r="AH29" s="43">
        <f t="shared" ref="AH29:AH34" si="45">(4423.86/30*AG29)</f>
        <v>4423.8599999999997</v>
      </c>
      <c r="AI29" s="43">
        <f ca="1">(AH29*AY73)</f>
        <v>3162.6617526</v>
      </c>
      <c r="AJ29" s="44">
        <v>30</v>
      </c>
      <c r="AK29" s="43">
        <f t="shared" ref="AK29:AK34" si="46">(331.79/30*AJ29)</f>
        <v>331.79</v>
      </c>
      <c r="AL29" s="43">
        <f ca="1">AK29-(AK29*0.00759)-((AK29-AM29)*0.14)-((AK29-AM29)*0.01)-((AK29-(AK29-AM29)*0.14-(AK29-AM29)*0.01)-AN29)*AT73</f>
        <v>286.96848890000001</v>
      </c>
      <c r="AM29" s="43">
        <f>(0)</f>
        <v>0</v>
      </c>
      <c r="AN29" s="43">
        <f>IF(AK29&lt;=$AC$12,AK29,$AC$12)</f>
        <v>331.79</v>
      </c>
      <c r="AO29" s="43">
        <f>(276.5*I15)</f>
        <v>0</v>
      </c>
      <c r="AP29" s="43">
        <f ca="1">AO29-(AO29*0.00759)-((AO29-AQ29)*0.14)-((AO29-AQ29)*0.01)-((AO29-(AO29-AQ29)*0.14-(AO29-AQ29)*0.01)-AR29)*AT73</f>
        <v>0</v>
      </c>
      <c r="AQ29" s="43">
        <f>IF(AO29&lt;=$AD$4*2,AO29,$AD$4*2)</f>
        <v>0</v>
      </c>
      <c r="AR29" s="43">
        <f>IF(AO29&lt;=$AD$4*2,AO29,$AD$4*2)</f>
        <v>0</v>
      </c>
      <c r="AS29" s="43">
        <f ca="1">(AE73)</f>
        <v>80169.760483417485</v>
      </c>
      <c r="AT29" s="43">
        <f ca="1">(AS29*0.205)</f>
        <v>16434.800899100585</v>
      </c>
      <c r="AU29" s="43">
        <f ca="1">(AS29*0.01)</f>
        <v>801.69760483417485</v>
      </c>
      <c r="AV29" s="43">
        <f ca="1">(AS29*0.05*-1)</f>
        <v>-4008.4880241708743</v>
      </c>
      <c r="AW29" s="43">
        <f ca="1">(AS29+AT29+AU29+AV29)</f>
        <v>93397.770963181363</v>
      </c>
      <c r="BD29" s="42">
        <v>27</v>
      </c>
      <c r="BE29" s="46">
        <v>13.5</v>
      </c>
      <c r="BF29" s="47">
        <v>0.28999999999999998</v>
      </c>
    </row>
    <row r="30" spans="1:59" ht="39.950000000000003" hidden="1" customHeight="1" x14ac:dyDescent="0.25">
      <c r="X30" s="57" t="s">
        <v>36</v>
      </c>
      <c r="Y30" s="58" t="s">
        <v>94</v>
      </c>
      <c r="AA30" s="60">
        <v>22.722792999999999</v>
      </c>
      <c r="AB30" s="60">
        <v>22.722792999999999</v>
      </c>
      <c r="AC30" s="40" t="s">
        <v>0</v>
      </c>
      <c r="AD30" s="55" t="s">
        <v>0</v>
      </c>
      <c r="AE30" s="43">
        <f>(AJ16*AX2)</f>
        <v>0</v>
      </c>
      <c r="AF30" s="43">
        <f ca="1">(AE30*AY74)</f>
        <v>0</v>
      </c>
      <c r="AG30" s="44">
        <v>30</v>
      </c>
      <c r="AH30" s="43">
        <f t="shared" si="45"/>
        <v>4423.8599999999997</v>
      </c>
      <c r="AI30" s="43">
        <f ca="1">(AH30*AY74)</f>
        <v>3162.6617526</v>
      </c>
      <c r="AJ30" s="44">
        <v>30</v>
      </c>
      <c r="AK30" s="43">
        <f t="shared" si="46"/>
        <v>331.79</v>
      </c>
      <c r="AL30" s="43">
        <f ca="1">AK30-(AK30*0.00759)-((AK30-AM30)*0.14)-((AK30-AM30)*0.01)-((AK30-(AK30-AM30)*0.14-(AK30-AM30)*0.01)-AN30)*AT74</f>
        <v>286.96848890000001</v>
      </c>
      <c r="AM30" s="43">
        <f>(0)</f>
        <v>0</v>
      </c>
      <c r="AN30" s="43">
        <f>IF(AK30&lt;=$AC$12,AK30,$AC$12)</f>
        <v>331.79</v>
      </c>
      <c r="AO30" s="43">
        <f>(276.5*I16)</f>
        <v>0</v>
      </c>
      <c r="AP30" s="43">
        <f ca="1">AO30-(AO30*0.00759)-((AO30-AQ30)*0.14)-((AO30-AQ30)*0.01)-((AO30-(AO30-AQ30)*0.14-(AO30-AQ30)*0.01)-AR30)*AT74</f>
        <v>0</v>
      </c>
      <c r="AQ30" s="43">
        <f>IF(AO30&lt;=$AD$4*2,AO30,$AD$4*2)</f>
        <v>0</v>
      </c>
      <c r="AR30" s="43">
        <f>IF(AO30&lt;=$AD$4*2,AO30,$AD$4*2)</f>
        <v>0</v>
      </c>
      <c r="AS30" s="43">
        <f ca="1">(AE74)</f>
        <v>74593.578091088391</v>
      </c>
      <c r="AT30" s="43">
        <f t="shared" ref="AT30:AT40" ca="1" si="47">(AS30*0.205)</f>
        <v>15291.683508673119</v>
      </c>
      <c r="AU30" s="43">
        <f t="shared" ref="AU30:AU40" ca="1" si="48">(AS30*0.01)</f>
        <v>745.93578091088398</v>
      </c>
      <c r="AV30" s="43">
        <f t="shared" ref="AV30:AV40" ca="1" si="49">(AS30*0.05*-1)</f>
        <v>-3729.6789045544197</v>
      </c>
      <c r="AW30" s="43">
        <f t="shared" ref="AW30:AW40" ca="1" si="50">(AS30+AT30+AU30+AV30)</f>
        <v>86901.51847611797</v>
      </c>
      <c r="BD30" s="42">
        <v>28</v>
      </c>
      <c r="BE30" s="46">
        <v>14</v>
      </c>
      <c r="BF30" s="47">
        <v>0.3</v>
      </c>
    </row>
    <row r="31" spans="1:59" ht="39.950000000000003" hidden="1" customHeight="1" x14ac:dyDescent="0.25">
      <c r="X31" s="57" t="s">
        <v>42</v>
      </c>
      <c r="Y31" s="59" t="s">
        <v>74</v>
      </c>
      <c r="AA31" s="60">
        <v>0.44144099999999997</v>
      </c>
      <c r="AB31" s="60">
        <v>0.44144099999999997</v>
      </c>
      <c r="AC31" s="40" t="s">
        <v>0</v>
      </c>
      <c r="AD31" s="55" t="s">
        <v>0</v>
      </c>
      <c r="AE31" s="43">
        <f>(AJ17*AX3)</f>
        <v>31727.550000000003</v>
      </c>
      <c r="AF31" s="43">
        <f ca="1">(AE31*AY75)</f>
        <v>22476.116661203403</v>
      </c>
      <c r="AG31" s="44">
        <v>30</v>
      </c>
      <c r="AH31" s="43">
        <f t="shared" si="45"/>
        <v>4423.8599999999997</v>
      </c>
      <c r="AI31" s="43">
        <f ca="1">(AH31*AY75)</f>
        <v>3133.9070761162229</v>
      </c>
      <c r="AJ31" s="44">
        <v>30</v>
      </c>
      <c r="AK31" s="43">
        <f t="shared" si="46"/>
        <v>331.79</v>
      </c>
      <c r="AL31" s="43">
        <f ca="1">AK31-(AK31*0.00759)-((AK31-AM31)*0.14)-((AK31-AM31)*0.01)-((AK31-(AK31-AM31)*0.14-(AK31-AM31)*0.01)-AN31)*AT75</f>
        <v>287.34906607404173</v>
      </c>
      <c r="AM31" s="43">
        <f>(0)</f>
        <v>0</v>
      </c>
      <c r="AN31" s="43">
        <f>IF(AK31&lt;=$AC$12,AK31,$AC$12)</f>
        <v>331.79</v>
      </c>
      <c r="AO31" s="43">
        <f>(276.5*I17)</f>
        <v>0</v>
      </c>
      <c r="AP31" s="43">
        <f ca="1">AO31-(AO31*0.00759)-((AO31-AQ31)*0.14)-((AO31-AQ31)*0.01)-((AO31-(AO31-AQ31)*0.14-(AO31-AQ31)*0.01)-AR31)*AT75</f>
        <v>0</v>
      </c>
      <c r="AQ31" s="43">
        <f>IF(AO31&lt;=$AD$4*2,AO31,$AD$4*2)</f>
        <v>0</v>
      </c>
      <c r="AR31" s="43">
        <f>IF(AO31&lt;=$AD$4*2,AO31,$AD$4*2)</f>
        <v>0</v>
      </c>
      <c r="AS31" s="43">
        <f ca="1">(AE75)</f>
        <v>112708.96549672063</v>
      </c>
      <c r="AT31" s="43">
        <f t="shared" ca="1" si="47"/>
        <v>23105.337926827728</v>
      </c>
      <c r="AU31" s="43">
        <f t="shared" ca="1" si="48"/>
        <v>1127.0896549672063</v>
      </c>
      <c r="AV31" s="43">
        <f t="shared" ca="1" si="49"/>
        <v>-5635.4482748360315</v>
      </c>
      <c r="AW31" s="43">
        <f t="shared" ca="1" si="50"/>
        <v>131305.94480367954</v>
      </c>
      <c r="BD31" s="42">
        <v>29</v>
      </c>
      <c r="BE31" s="46">
        <v>14.5</v>
      </c>
      <c r="BF31" s="47">
        <v>0.31</v>
      </c>
    </row>
    <row r="32" spans="1:59" ht="39.950000000000003" hidden="1" customHeight="1" x14ac:dyDescent="0.25">
      <c r="X32" s="57" t="s">
        <v>23</v>
      </c>
      <c r="Y32" s="58" t="s">
        <v>95</v>
      </c>
      <c r="AE32" s="43">
        <f>(AJ18*AX4)</f>
        <v>0</v>
      </c>
      <c r="AF32" s="43">
        <f ca="1">(AE32*AY76)</f>
        <v>0</v>
      </c>
      <c r="AG32" s="44">
        <v>30</v>
      </c>
      <c r="AH32" s="43">
        <f t="shared" si="45"/>
        <v>4423.8599999999997</v>
      </c>
      <c r="AI32" s="43">
        <f ca="1">(AH32*AY76)</f>
        <v>2974.6477025999998</v>
      </c>
      <c r="AJ32" s="44">
        <v>30</v>
      </c>
      <c r="AK32" s="43">
        <f t="shared" si="46"/>
        <v>331.79</v>
      </c>
      <c r="AL32" s="43">
        <f ca="1">AK32-(AK32*0.00759)-((AK32-AM32)*0.14)-((AK32-AM32)*0.01)-((AK32-(AK32-AM32)*0.14-(AK32-AM32)*0.01)-AN32)*AT76</f>
        <v>289.45691390000002</v>
      </c>
      <c r="AM32" s="43">
        <f>(0)</f>
        <v>0</v>
      </c>
      <c r="AN32" s="43">
        <f>IF(AK32&lt;=$AC$12,AK32,$AC$12)</f>
        <v>331.79</v>
      </c>
      <c r="AO32" s="43">
        <f>(276.5*I18)</f>
        <v>0</v>
      </c>
      <c r="AP32" s="43">
        <f ca="1">AO32-(AO32*0.00759)-((AO32-AQ32)*0.14)-((AO32-AQ32)*0.01)-((AO32-(AO32-AQ32)*0.14-(AO32-AQ32)*0.01)-AR32)*AT76</f>
        <v>0</v>
      </c>
      <c r="AQ32" s="43">
        <f>IF(AO32&lt;=$AD$4*2,AO32,$AD$4*2)</f>
        <v>0</v>
      </c>
      <c r="AR32" s="43">
        <f>IF(AO32&lt;=$AD$4*2,AO32,$AD$4*2)</f>
        <v>0</v>
      </c>
      <c r="AS32" s="43">
        <f ca="1">(AE76)</f>
        <v>79115.495616513741</v>
      </c>
      <c r="AT32" s="43">
        <f t="shared" ca="1" si="47"/>
        <v>16218.676601385316</v>
      </c>
      <c r="AU32" s="43">
        <f t="shared" ca="1" si="48"/>
        <v>791.15495616513738</v>
      </c>
      <c r="AV32" s="43">
        <f t="shared" ca="1" si="49"/>
        <v>-3955.7747808256872</v>
      </c>
      <c r="AW32" s="43">
        <f t="shared" ca="1" si="50"/>
        <v>92169.552393238511</v>
      </c>
      <c r="BD32" s="42">
        <v>30</v>
      </c>
      <c r="BE32" s="46">
        <v>15</v>
      </c>
      <c r="BF32" s="47">
        <v>0.32</v>
      </c>
    </row>
    <row r="33" spans="24:58" ht="39.950000000000003" hidden="1" customHeight="1" x14ac:dyDescent="0.25">
      <c r="X33" s="57" t="s">
        <v>35</v>
      </c>
      <c r="Y33" s="58" t="s">
        <v>75</v>
      </c>
      <c r="AA33" s="61">
        <f>($AA$34*2)</f>
        <v>19000</v>
      </c>
      <c r="AB33" s="40" t="s">
        <v>0</v>
      </c>
      <c r="AC33" s="41">
        <f>($AA$29*$AA$33)</f>
        <v>26369.549000000003</v>
      </c>
      <c r="AD33" s="41">
        <f>($AB$29*$AA$33)</f>
        <v>26369.549000000003</v>
      </c>
      <c r="AE33" s="43">
        <f>(AJ19*AX5)</f>
        <v>0</v>
      </c>
      <c r="AF33" s="43">
        <f ca="1">(AE33*AY77)</f>
        <v>0</v>
      </c>
      <c r="AG33" s="44">
        <v>30</v>
      </c>
      <c r="AH33" s="43">
        <f t="shared" si="45"/>
        <v>4423.8599999999997</v>
      </c>
      <c r="AI33" s="43">
        <f ca="1">(AH33*AY77)</f>
        <v>2974.6477025999998</v>
      </c>
      <c r="AJ33" s="44">
        <v>30</v>
      </c>
      <c r="AK33" s="43">
        <f t="shared" si="46"/>
        <v>331.79</v>
      </c>
      <c r="AL33" s="43">
        <f ca="1">AK33-(AK33*0.00759)-((AK33-AM33)*0.14)-((AK33-AM33)*0.01)-((AK33-(AK33-AM33)*0.14-(AK33-AM33)*0.01)-AN33)*AT77</f>
        <v>289.45691390000002</v>
      </c>
      <c r="AM33" s="43">
        <f>(0)</f>
        <v>0</v>
      </c>
      <c r="AN33" s="43">
        <f>IF(AK33&lt;=$AC$12,AK33,$AC$12)</f>
        <v>331.79</v>
      </c>
      <c r="AO33" s="43">
        <f>(276.5*I19)</f>
        <v>0</v>
      </c>
      <c r="AP33" s="43">
        <f ca="1">AO33-(AO33*0.00759)-((AO33-AQ33)*0.14)-((AO33-AQ33)*0.01)-((AO33-(AO33-AQ33)*0.14-(AO33-AQ33)*0.01)-AR33)*AT77</f>
        <v>0</v>
      </c>
      <c r="AQ33" s="43">
        <f>IF(AO33&lt;=$AD$4*2,AO33,$AD$4*2)</f>
        <v>0</v>
      </c>
      <c r="AR33" s="43">
        <f>IF(AO33&lt;=$AD$4*2,AO33,$AD$4*2)</f>
        <v>0</v>
      </c>
      <c r="AS33" s="43">
        <f ca="1">(AE77)</f>
        <v>81230.665616513739</v>
      </c>
      <c r="AT33" s="43">
        <f t="shared" ca="1" si="47"/>
        <v>16652.286451385316</v>
      </c>
      <c r="AU33" s="43">
        <f t="shared" ca="1" si="48"/>
        <v>812.30665616513738</v>
      </c>
      <c r="AV33" s="43">
        <f t="shared" ca="1" si="49"/>
        <v>-4061.5332808256871</v>
      </c>
      <c r="AW33" s="43">
        <f t="shared" ca="1" si="50"/>
        <v>94633.725443238494</v>
      </c>
      <c r="BD33" s="42">
        <v>31</v>
      </c>
      <c r="BE33" s="46">
        <v>15.5</v>
      </c>
      <c r="BF33" s="47">
        <v>0.33</v>
      </c>
    </row>
    <row r="34" spans="24:58" ht="39.950000000000003" hidden="1" customHeight="1" x14ac:dyDescent="0.25">
      <c r="X34" s="62" t="s">
        <v>37</v>
      </c>
      <c r="Y34" s="59" t="s">
        <v>76</v>
      </c>
      <c r="AA34" s="61">
        <f>(9500)</f>
        <v>9500</v>
      </c>
      <c r="AB34" s="40" t="s">
        <v>0</v>
      </c>
      <c r="AC34" s="41">
        <f>($AA$29*$AA$34)</f>
        <v>13184.774500000001</v>
      </c>
      <c r="AD34" s="41">
        <f>($AB$29*$AA$34)</f>
        <v>13184.774500000001</v>
      </c>
      <c r="AE34" s="43">
        <f>(AJ20*AX6)</f>
        <v>31727.550000000003</v>
      </c>
      <c r="AF34" s="43">
        <f ca="1">(AE34*AY78)</f>
        <v>21113.653854987715</v>
      </c>
      <c r="AG34" s="44">
        <v>30</v>
      </c>
      <c r="AH34" s="43">
        <f t="shared" si="45"/>
        <v>4423.8599999999997</v>
      </c>
      <c r="AI34" s="43">
        <f ca="1">(AH34*AY78)</f>
        <v>2943.9351208311368</v>
      </c>
      <c r="AJ34" s="44">
        <v>30</v>
      </c>
      <c r="AK34" s="43">
        <f t="shared" si="46"/>
        <v>331.79</v>
      </c>
      <c r="AL34" s="43">
        <f ca="1">AK34-(AK34*0.00759)-((AK34-AM34)*0.14)-((AK34-AM34)*0.01)-((AK34-(AK34-AM34)*0.14-(AK34-AM34)*0.01)-AN34)*AT78</f>
        <v>289.8634045653954</v>
      </c>
      <c r="AM34" s="43">
        <f>(0)</f>
        <v>0</v>
      </c>
      <c r="AN34" s="43">
        <f>IF(AK34&lt;=$AC$12,AK34,$AC$12)</f>
        <v>331.79</v>
      </c>
      <c r="AO34" s="43">
        <f>(276.5*I20)</f>
        <v>0</v>
      </c>
      <c r="AP34" s="43">
        <f ca="1">AO34-(AO34*0.00759)-((AO34-AQ34)*0.14)-((AO34-AQ34)*0.01)-((AO34-(AO34-AQ34)*0.14-(AO34-AQ34)*0.01)-AR34)*AT78</f>
        <v>0</v>
      </c>
      <c r="AQ34" s="43">
        <f>IF(AO34&lt;=$AD$4*2,AO34,$AD$4*2)</f>
        <v>0</v>
      </c>
      <c r="AR34" s="43">
        <f>IF(AO34&lt;=$AD$4*2,AO34,$AD$4*2)</f>
        <v>0</v>
      </c>
      <c r="AS34" s="43">
        <f ca="1">(AE78)</f>
        <v>110894.21433953916</v>
      </c>
      <c r="AT34" s="43">
        <f t="shared" ca="1" si="47"/>
        <v>22733.313939605527</v>
      </c>
      <c r="AU34" s="43">
        <f t="shared" ca="1" si="48"/>
        <v>1108.9421433953917</v>
      </c>
      <c r="AV34" s="43">
        <f t="shared" ca="1" si="49"/>
        <v>-5544.7107169769588</v>
      </c>
      <c r="AW34" s="43">
        <f t="shared" ca="1" si="50"/>
        <v>129191.75970556313</v>
      </c>
      <c r="BD34" s="42">
        <v>32</v>
      </c>
      <c r="BE34" s="46">
        <v>16</v>
      </c>
      <c r="BF34" s="47">
        <v>0.34</v>
      </c>
    </row>
    <row r="35" spans="24:58" ht="39.950000000000003" hidden="1" customHeight="1" x14ac:dyDescent="0.25">
      <c r="X35" s="57" t="s">
        <v>43</v>
      </c>
      <c r="Y35" s="58" t="s">
        <v>46</v>
      </c>
      <c r="AE35" s="43">
        <f>(AJ21*AX7)</f>
        <v>0</v>
      </c>
      <c r="AF35" s="43">
        <f ca="1">(AE35*AY79)</f>
        <v>0</v>
      </c>
      <c r="AG35" s="44">
        <v>30</v>
      </c>
      <c r="AH35" s="43">
        <f>(4423.86/30*AG35)</f>
        <v>4423.8599999999997</v>
      </c>
      <c r="AI35" s="43">
        <f ca="1">(AH35*AY79)</f>
        <v>2711.4280325999998</v>
      </c>
      <c r="AJ35" s="44">
        <v>30</v>
      </c>
      <c r="AK35" s="43">
        <f>(331.79/30*AJ35)</f>
        <v>331.79</v>
      </c>
      <c r="AL35" s="43">
        <f ca="1">AK35-(AK35*0.00759)-((AK35-AM35)*0.14)-((AK35-AM35)*0.01)-((AK35-(AK35-AM35)*0.14-(AK35-AM35)*0.01)-AN35)*AT79</f>
        <v>203.3574089</v>
      </c>
      <c r="AM35" s="43">
        <f>(0)</f>
        <v>0</v>
      </c>
      <c r="AN35" s="43">
        <f>(0)</f>
        <v>0</v>
      </c>
      <c r="AO35" s="43">
        <f>(276.5*I21)</f>
        <v>0</v>
      </c>
      <c r="AP35" s="43">
        <f ca="1">AO35-(AO35*0.00759)-((AO35-AQ35)*0.14)-((AO35-AQ35)*0.01)-((AO35-(AO35-AQ35)*0.14-(AO35-AQ35)*0.01)-AR35)*AT79</f>
        <v>0</v>
      </c>
      <c r="AQ35" s="43">
        <f>IF(AO35&lt;=$AD$4*2,AO35,$AD$4*2)</f>
        <v>0</v>
      </c>
      <c r="AR35" s="43">
        <f>IF(AO35&lt;=$AD$4*2,AO35,$AD$4*2)</f>
        <v>0</v>
      </c>
      <c r="AS35" s="43">
        <f ca="1">(AE79)</f>
        <v>81706.807895449572</v>
      </c>
      <c r="AT35" s="43">
        <f t="shared" ca="1" si="47"/>
        <v>16749.89561856716</v>
      </c>
      <c r="AU35" s="43">
        <f t="shared" ca="1" si="48"/>
        <v>817.06807895449572</v>
      </c>
      <c r="AV35" s="43">
        <f t="shared" ca="1" si="49"/>
        <v>-4085.3403947724787</v>
      </c>
      <c r="AW35" s="43">
        <f t="shared" ca="1" si="50"/>
        <v>95188.431198198756</v>
      </c>
      <c r="BD35" s="42">
        <v>33</v>
      </c>
      <c r="BE35" s="46">
        <v>16.5</v>
      </c>
      <c r="BF35" s="47">
        <v>0.35</v>
      </c>
    </row>
    <row r="36" spans="24:58" ht="39.950000000000003" hidden="1" customHeight="1" x14ac:dyDescent="0.25">
      <c r="AA36" s="41">
        <v>12000</v>
      </c>
      <c r="AB36" s="40" t="s">
        <v>0</v>
      </c>
      <c r="AC36" s="40" t="s">
        <v>0</v>
      </c>
      <c r="AD36" s="40" t="s">
        <v>0</v>
      </c>
      <c r="AE36" s="43">
        <f>(AJ22*AX8)</f>
        <v>0</v>
      </c>
      <c r="AF36" s="43">
        <f ca="1">(AE36*AY80)</f>
        <v>0</v>
      </c>
      <c r="AG36" s="44">
        <v>30</v>
      </c>
      <c r="AH36" s="43">
        <f>(4423.86/30*AG36)</f>
        <v>4423.8599999999997</v>
      </c>
      <c r="AI36" s="43">
        <f ca="1">(AH36*AY80)</f>
        <v>2711.4280325999998</v>
      </c>
      <c r="AJ36" s="44">
        <v>30</v>
      </c>
      <c r="AK36" s="43">
        <f t="shared" ref="AK36:AK40" si="51">(331.79/30*AJ36)</f>
        <v>331.79</v>
      </c>
      <c r="AL36" s="43">
        <f ca="1">AK36-(AK36*0.00759)-((AK36-AM36)*0.14)-((AK36-AM36)*0.01)-((AK36-(AK36-AM36)*0.14-(AK36-AM36)*0.01)-AN36)*AT80</f>
        <v>203.3574089</v>
      </c>
      <c r="AM36" s="43">
        <f>(0)</f>
        <v>0</v>
      </c>
      <c r="AN36" s="43">
        <f>(0)</f>
        <v>0</v>
      </c>
      <c r="AO36" s="43">
        <f>(276.5*I22)</f>
        <v>0</v>
      </c>
      <c r="AP36" s="43">
        <f ca="1">AO36-(AO36*0.00759)-((AO36-AQ36)*0.14)-((AO36-AQ36)*0.01)-((AO36-(AO36-AQ36)*0.14-(AO36-AQ36)*0.01)-AR36)*AT80</f>
        <v>0</v>
      </c>
      <c r="AQ36" s="43">
        <f>IF(AO36&lt;=$AD$4*2,AO36,$AD$4*2)</f>
        <v>0</v>
      </c>
      <c r="AR36" s="43">
        <f>IF(AO36&lt;=$AD$4*2,AO36,$AD$4*2)</f>
        <v>0</v>
      </c>
      <c r="AS36" s="43">
        <f ca="1">(AE80)</f>
        <v>81706.807895449572</v>
      </c>
      <c r="AT36" s="43">
        <f t="shared" ca="1" si="47"/>
        <v>16749.89561856716</v>
      </c>
      <c r="AU36" s="43">
        <f t="shared" ca="1" si="48"/>
        <v>817.06807895449572</v>
      </c>
      <c r="AV36" s="43">
        <f t="shared" ca="1" si="49"/>
        <v>-4085.3403947724787</v>
      </c>
      <c r="AW36" s="43">
        <f t="shared" ca="1" si="50"/>
        <v>95188.431198198756</v>
      </c>
      <c r="BD36" s="42">
        <v>34</v>
      </c>
      <c r="BE36" s="46">
        <v>17</v>
      </c>
      <c r="BF36" s="47">
        <v>0.36</v>
      </c>
    </row>
    <row r="37" spans="24:58" ht="39.950000000000003" hidden="1" customHeight="1" x14ac:dyDescent="0.25">
      <c r="AA37" s="41">
        <v>7000</v>
      </c>
      <c r="AB37" s="40" t="s">
        <v>0</v>
      </c>
      <c r="AC37" s="40" t="s">
        <v>0</v>
      </c>
      <c r="AD37" s="40" t="s">
        <v>0</v>
      </c>
      <c r="AE37" s="43">
        <f>(AJ23*AX9)</f>
        <v>31727.550000000003</v>
      </c>
      <c r="AF37" s="43">
        <f ca="1">(AE37*AY81)</f>
        <v>19446.132670499999</v>
      </c>
      <c r="AG37" s="44">
        <v>30</v>
      </c>
      <c r="AH37" s="43">
        <f t="shared" ref="AH37:AH40" si="52">(4423.86/30*AG37)</f>
        <v>4423.8599999999997</v>
      </c>
      <c r="AI37" s="43">
        <f ca="1">(AH37*AY81)</f>
        <v>2711.4280325999998</v>
      </c>
      <c r="AJ37" s="44">
        <v>30</v>
      </c>
      <c r="AK37" s="43">
        <f t="shared" si="51"/>
        <v>331.79</v>
      </c>
      <c r="AL37" s="43">
        <f ca="1">AK37-(AK37*0.00759)-((AK37-AM37)*0.14)-((AK37-AM37)*0.01)-((AK37-(AK37-AM37)*0.14-(AK37-AM37)*0.01)-AN37)*AT81</f>
        <v>203.3574089</v>
      </c>
      <c r="AM37" s="43">
        <f>(0)</f>
        <v>0</v>
      </c>
      <c r="AN37" s="43">
        <f>(0)</f>
        <v>0</v>
      </c>
      <c r="AO37" s="43">
        <f>(276.5*I23)</f>
        <v>0</v>
      </c>
      <c r="AP37" s="43">
        <f ca="1">AO37-(AO37*0.00759)-((AO37-AQ37)*0.14)-((AO37-AQ37)*0.01)-((AO37-(AO37-AQ37)*0.14-(AO37-AQ37)*0.01)-AR37)*AT81</f>
        <v>0</v>
      </c>
      <c r="AQ37" s="43">
        <f>IF(AO37&lt;=$AD$4*2,AO37,$AD$4*2)</f>
        <v>0</v>
      </c>
      <c r="AR37" s="43">
        <f>IF(AO37&lt;=$AD$4*2,AO37,$AD$4*2)</f>
        <v>0</v>
      </c>
      <c r="AS37" s="43">
        <f ca="1">(AE81)</f>
        <v>111319.18789544958</v>
      </c>
      <c r="AT37" s="43">
        <f t="shared" ca="1" si="47"/>
        <v>22820.433518567163</v>
      </c>
      <c r="AU37" s="43">
        <f t="shared" ca="1" si="48"/>
        <v>1113.1918789544959</v>
      </c>
      <c r="AV37" s="43">
        <f t="shared" ca="1" si="49"/>
        <v>-5565.9593947724788</v>
      </c>
      <c r="AW37" s="43">
        <f t="shared" ca="1" si="50"/>
        <v>129686.85389819875</v>
      </c>
      <c r="BD37" s="42">
        <v>35</v>
      </c>
      <c r="BE37" s="46">
        <v>17.5</v>
      </c>
      <c r="BF37" s="47">
        <v>0.37</v>
      </c>
    </row>
    <row r="38" spans="24:58" ht="39.950000000000003" hidden="1" customHeight="1" x14ac:dyDescent="0.25">
      <c r="AA38" s="41">
        <v>3000</v>
      </c>
      <c r="AB38" s="40" t="s">
        <v>0</v>
      </c>
      <c r="AC38" s="40" t="s">
        <v>0</v>
      </c>
      <c r="AD38" s="40" t="s">
        <v>0</v>
      </c>
      <c r="AE38" s="43">
        <f>(AJ24*AX10)</f>
        <v>0</v>
      </c>
      <c r="AF38" s="43">
        <f ca="1">(AE38*AY82)</f>
        <v>0</v>
      </c>
      <c r="AG38" s="44">
        <v>30</v>
      </c>
      <c r="AH38" s="43">
        <f t="shared" si="52"/>
        <v>4423.8599999999997</v>
      </c>
      <c r="AI38" s="43">
        <f ca="1">(AH38*AY82)</f>
        <v>2711.4280325999998</v>
      </c>
      <c r="AJ38" s="44">
        <v>30</v>
      </c>
      <c r="AK38" s="43">
        <f t="shared" si="51"/>
        <v>331.79</v>
      </c>
      <c r="AL38" s="43">
        <f ca="1">AK38-(AK38*0.00759)-((AK38-AM38)*0.14)-((AK38-AM38)*0.01)-((AK38-(AK38-AM38)*0.14-(AK38-AM38)*0.01)-AN38)*AT82</f>
        <v>203.3574089</v>
      </c>
      <c r="AM38" s="43">
        <f>(0)</f>
        <v>0</v>
      </c>
      <c r="AN38" s="43">
        <f>(0)</f>
        <v>0</v>
      </c>
      <c r="AO38" s="43">
        <f>(276.5*I24)</f>
        <v>0</v>
      </c>
      <c r="AP38" s="43">
        <f ca="1">AO38-(AO38*0.00759)-((AO38-AQ38)*0.14)-((AO38-AQ38)*0.01)-((AO38-(AO38-AQ38)*0.14-(AO38-AQ38)*0.01)-AR38)*AT82</f>
        <v>0</v>
      </c>
      <c r="AQ38" s="43">
        <f>IF(AO38&lt;=$AD$4*2,AO38,$AD$4*2)</f>
        <v>0</v>
      </c>
      <c r="AR38" s="43">
        <f>IF(AO38&lt;=$AD$4*2,AO38,$AD$4*2)</f>
        <v>0</v>
      </c>
      <c r="AS38" s="43">
        <f ca="1">(AE82)</f>
        <v>81706.807895449572</v>
      </c>
      <c r="AT38" s="43">
        <f t="shared" ca="1" si="47"/>
        <v>16749.89561856716</v>
      </c>
      <c r="AU38" s="43">
        <f t="shared" ca="1" si="48"/>
        <v>817.06807895449572</v>
      </c>
      <c r="AV38" s="43">
        <f t="shared" ca="1" si="49"/>
        <v>-4085.3403947724787</v>
      </c>
      <c r="AW38" s="43">
        <f t="shared" ca="1" si="50"/>
        <v>95188.431198198756</v>
      </c>
      <c r="BD38" s="42">
        <v>36</v>
      </c>
      <c r="BE38" s="46">
        <v>18</v>
      </c>
      <c r="BF38" s="47">
        <v>0.38</v>
      </c>
    </row>
    <row r="39" spans="24:58" ht="39.950000000000003" hidden="1" customHeight="1" x14ac:dyDescent="0.25">
      <c r="AA39" s="63" t="s">
        <v>70</v>
      </c>
      <c r="AB39" s="41">
        <v>2284.39</v>
      </c>
      <c r="AC39" s="41">
        <v>2284.39</v>
      </c>
      <c r="AE39" s="43">
        <f>(AJ25*AX11)</f>
        <v>0</v>
      </c>
      <c r="AF39" s="43">
        <f ca="1">(AE39*AY83)</f>
        <v>0</v>
      </c>
      <c r="AG39" s="44">
        <v>30</v>
      </c>
      <c r="AH39" s="43">
        <f t="shared" si="52"/>
        <v>4423.8599999999997</v>
      </c>
      <c r="AI39" s="43">
        <f ca="1">(AH39*AY83)</f>
        <v>2711.4280325999998</v>
      </c>
      <c r="AJ39" s="44">
        <v>30</v>
      </c>
      <c r="AK39" s="43">
        <f t="shared" si="51"/>
        <v>331.79</v>
      </c>
      <c r="AL39" s="43">
        <f ca="1">AK39-(AK39*0.00759)-((AK39-AM39)*0.14)-((AK39-AM39)*0.01)-((AK39-(AK39-AM39)*0.14-(AK39-AM39)*0.01)-AN39)*AT83</f>
        <v>292.9407089</v>
      </c>
      <c r="AM39" s="43">
        <f>(0)</f>
        <v>0</v>
      </c>
      <c r="AN39" s="43">
        <f>IF(AK39&lt;=$AD$12,AK39,$AD$12)</f>
        <v>331.79</v>
      </c>
      <c r="AO39" s="43">
        <f>(276.5*I25)</f>
        <v>0</v>
      </c>
      <c r="AP39" s="43">
        <f ca="1">AO39-(AO39*0.00759)-((AO39-AQ39)*0.14)-((AO39-AQ39)*0.01)-((AO39-(AO39-AQ39)*0.14-(AO39-AQ39)*0.01)-AR39)*AT83</f>
        <v>0</v>
      </c>
      <c r="AQ39" s="43">
        <f>IF(AO39&lt;=$AD$4*2,AO39,$AD$4*2)</f>
        <v>0</v>
      </c>
      <c r="AR39" s="43">
        <f>IF(AO39&lt;=$AD$4*2,AO39,$AD$4*2)</f>
        <v>0</v>
      </c>
      <c r="AS39" s="43">
        <f ca="1">(AE83)</f>
        <v>79591.637895449574</v>
      </c>
      <c r="AT39" s="43">
        <f t="shared" ca="1" si="47"/>
        <v>16316.285768567162</v>
      </c>
      <c r="AU39" s="43">
        <f t="shared" ca="1" si="48"/>
        <v>795.91637895449571</v>
      </c>
      <c r="AV39" s="43">
        <f t="shared" ca="1" si="49"/>
        <v>-3979.5818947724788</v>
      </c>
      <c r="AW39" s="43">
        <f t="shared" ca="1" si="50"/>
        <v>92724.258148198758</v>
      </c>
      <c r="BD39" s="42">
        <v>37</v>
      </c>
      <c r="BE39" s="46">
        <v>18.5</v>
      </c>
      <c r="BF39" s="47">
        <v>0.39</v>
      </c>
    </row>
    <row r="40" spans="24:58" ht="39.950000000000003" hidden="1" customHeight="1" x14ac:dyDescent="0.25">
      <c r="AA40" s="63" t="s">
        <v>71</v>
      </c>
      <c r="AB40" s="41">
        <v>2115.17</v>
      </c>
      <c r="AC40" s="41">
        <v>2115.17</v>
      </c>
      <c r="AE40" s="43">
        <f>(AJ26*AX12)</f>
        <v>31727.550000000003</v>
      </c>
      <c r="AF40" s="43">
        <f ca="1">(AE40*AY84)</f>
        <v>19446.132670499999</v>
      </c>
      <c r="AG40" s="44">
        <v>30</v>
      </c>
      <c r="AH40" s="43">
        <f t="shared" si="52"/>
        <v>4423.8599999999997</v>
      </c>
      <c r="AI40" s="43">
        <f ca="1">(AH40*AY84)</f>
        <v>2711.4280325999998</v>
      </c>
      <c r="AJ40" s="44">
        <v>30</v>
      </c>
      <c r="AK40" s="43">
        <f t="shared" si="51"/>
        <v>331.79</v>
      </c>
      <c r="AL40" s="43">
        <f ca="1">AK40-(AK40*0.00759)-((AK40-AM40)*0.14)-((AK40-AM40)*0.01)-((AK40-(AK40-AM40)*0.14-(AK40-AM40)*0.01)-AN40)*AT84</f>
        <v>292.9407089</v>
      </c>
      <c r="AM40" s="43">
        <f>(0)</f>
        <v>0</v>
      </c>
      <c r="AN40" s="43">
        <f>IF(AK40&lt;=$AD$12,AK40,$AD$12)</f>
        <v>331.79</v>
      </c>
      <c r="AO40" s="43">
        <f>(276.5*I26)</f>
        <v>0</v>
      </c>
      <c r="AP40" s="43">
        <f ca="1">AO40-(AO40*0.00759)-((AO40-AQ40)*0.14)-((AO40-AQ40)*0.01)-((AO40-(AO40-AQ40)*0.14-(AO40-AQ40)*0.01)-AR40)*AT84</f>
        <v>0</v>
      </c>
      <c r="AQ40" s="43">
        <f>IF(AO40&lt;=$AD$4*2,AO40,$AD$4*2)</f>
        <v>0</v>
      </c>
      <c r="AR40" s="43">
        <f>IF(AO40&lt;=$AD$4*2,AO40,$AD$4*2)</f>
        <v>0</v>
      </c>
      <c r="AS40" s="43">
        <f ca="1">(AE84)</f>
        <v>113434.35789544958</v>
      </c>
      <c r="AT40" s="43">
        <f t="shared" ca="1" si="47"/>
        <v>23254.043368567163</v>
      </c>
      <c r="AU40" s="43">
        <f t="shared" ca="1" si="48"/>
        <v>1134.3435789544958</v>
      </c>
      <c r="AV40" s="43">
        <f t="shared" ca="1" si="49"/>
        <v>-5671.7178947724788</v>
      </c>
      <c r="AW40" s="43">
        <f t="shared" ca="1" si="50"/>
        <v>132151.02694819876</v>
      </c>
      <c r="BD40" s="42">
        <v>38</v>
      </c>
      <c r="BE40" s="46">
        <v>19</v>
      </c>
      <c r="BF40" s="47">
        <v>0.4</v>
      </c>
    </row>
    <row r="41" spans="24:58" ht="39.950000000000003" hidden="1" customHeight="1" x14ac:dyDescent="0.25">
      <c r="AA41" s="40" t="s">
        <v>1</v>
      </c>
      <c r="AB41" s="40" t="s">
        <v>63</v>
      </c>
      <c r="AC41" s="40" t="s">
        <v>63</v>
      </c>
      <c r="AE41" s="43">
        <f t="shared" ref="AE41:AF41" si="53">(AE29+AE30+AE31+AE32+AE33+AE34+AE35+AE36+AE37+AE38+AE39+AE40)</f>
        <v>126910.20000000001</v>
      </c>
      <c r="AF41" s="43">
        <f t="shared" ca="1" si="53"/>
        <v>82482.035857191106</v>
      </c>
      <c r="AG41" s="44">
        <f>(AG29+AG30+AG31+AG32+AG33+AG34+AG35+AG36+AG37+AG38+AG39+AG40)</f>
        <v>360</v>
      </c>
      <c r="AH41" s="43">
        <f t="shared" ref="AH41:AI41" si="54">(AH29+AH30+AH31+AH32+AH33+AH34+AH35+AH36+AH37+AH38+AH39+AH40)</f>
        <v>53086.32</v>
      </c>
      <c r="AI41" s="43">
        <f t="shared" ca="1" si="54"/>
        <v>34621.029302947361</v>
      </c>
      <c r="AJ41" s="44">
        <f>(AJ29+AJ30+AJ31+AJ32+AJ33+AJ34+AJ35+AJ36+AJ37+AJ38+AJ39+AJ40)</f>
        <v>360</v>
      </c>
      <c r="AK41" s="43">
        <f t="shared" ref="AK41:AN41" si="55">(AK29+AK30+AK31+AK32+AK33+AK34+AK35+AK36+AK37+AK38+AK39+AK40)</f>
        <v>3981.48</v>
      </c>
      <c r="AL41" s="43">
        <f t="shared" ca="1" si="55"/>
        <v>3129.3743296394368</v>
      </c>
      <c r="AM41" s="43">
        <f t="shared" si="55"/>
        <v>0</v>
      </c>
      <c r="AN41" s="43">
        <f t="shared" si="55"/>
        <v>2654.32</v>
      </c>
      <c r="AO41" s="43">
        <f t="shared" ref="AO41:AP41" si="56">(AO29+AO30+AO31+AO32+AO33+AO34+AO35+AO36+AO37+AO38+AO39+AO40)</f>
        <v>0</v>
      </c>
      <c r="AP41" s="43">
        <f t="shared" ca="1" si="56"/>
        <v>0</v>
      </c>
      <c r="AQ41" s="43">
        <f t="shared" ref="AQ41:AR41" si="57">(AQ29+AQ30+AQ31+AQ32+AQ33+AQ34+AQ35+AQ36+AQ37+AQ38+AQ39+AQ40)</f>
        <v>0</v>
      </c>
      <c r="AR41" s="43">
        <f t="shared" si="57"/>
        <v>0</v>
      </c>
      <c r="AS41" s="43">
        <f t="shared" ref="AS41" ca="1" si="58">(AS29+AS30+AS31+AS32+AS33+AS34+AS35+AS36+AS37+AS38+AS39+AS40)</f>
        <v>1088178.2870164905</v>
      </c>
      <c r="AT41" s="43">
        <f t="shared" ref="AT41" ca="1" si="59">(AT29+AT30+AT31+AT32+AT33+AT34+AT35+AT36+AT37+AT38+AT39+AT40)</f>
        <v>223076.54883838052</v>
      </c>
      <c r="AU41" s="43">
        <f t="shared" ref="AU41" ca="1" si="60">(AU29+AU30+AU31+AU32+AU33+AU34+AU35+AU36+AU37+AU38+AU39+AU40)</f>
        <v>10881.782870164907</v>
      </c>
      <c r="AV41" s="43">
        <f t="shared" ref="AV41" ca="1" si="61">(AV29+AV30+AV31+AV32+AV33+AV34+AV35+AV36+AV37+AV38+AV39+AV40)</f>
        <v>-54408.914350824532</v>
      </c>
      <c r="AW41" s="43">
        <f t="shared" ref="AW41" ca="1" si="62">(AW29+AW30+AW31+AW32+AW33+AW34+AW35+AW36+AW37+AW38+AW39+AW40)</f>
        <v>1267727.7043742116</v>
      </c>
      <c r="BD41" s="42">
        <v>39</v>
      </c>
      <c r="BE41" s="46">
        <v>19.5</v>
      </c>
      <c r="BF41" s="47">
        <v>0.41</v>
      </c>
    </row>
    <row r="42" spans="24:58" ht="39.950000000000003" hidden="1" customHeight="1" x14ac:dyDescent="0.25">
      <c r="AA42" s="55" t="s">
        <v>65</v>
      </c>
      <c r="AB42" s="64">
        <v>1714.25</v>
      </c>
      <c r="AC42" s="64">
        <v>1714.25</v>
      </c>
      <c r="AE42" s="43">
        <f t="shared" ref="AE42:AF42" si="63">(AE41/12)</f>
        <v>10575.85</v>
      </c>
      <c r="AF42" s="43">
        <f t="shared" ca="1" si="63"/>
        <v>6873.5029880992588</v>
      </c>
      <c r="AG42" s="48" t="s">
        <v>0</v>
      </c>
      <c r="AH42" s="43">
        <f t="shared" ref="AH42:AI42" si="64">(AH41/12)</f>
        <v>4423.8599999999997</v>
      </c>
      <c r="AI42" s="43">
        <f t="shared" ca="1" si="64"/>
        <v>2885.0857752456136</v>
      </c>
      <c r="AJ42" s="48" t="s">
        <v>0</v>
      </c>
      <c r="AK42" s="43">
        <f t="shared" ref="AK42:AN42" si="65">(AK41/12)</f>
        <v>331.79</v>
      </c>
      <c r="AL42" s="43">
        <f t="shared" ca="1" si="65"/>
        <v>260.78119413661972</v>
      </c>
      <c r="AM42" s="43">
        <f t="shared" si="65"/>
        <v>0</v>
      </c>
      <c r="AN42" s="43">
        <f t="shared" si="65"/>
        <v>221.19333333333336</v>
      </c>
      <c r="AO42" s="43">
        <f t="shared" ref="AO42:AP42" si="66">(AO41/12)</f>
        <v>0</v>
      </c>
      <c r="AP42" s="43">
        <f t="shared" ca="1" si="66"/>
        <v>0</v>
      </c>
      <c r="AQ42" s="43">
        <f t="shared" ref="AQ42:AR42" si="67">(AQ41/12)</f>
        <v>0</v>
      </c>
      <c r="AR42" s="43">
        <f t="shared" si="67"/>
        <v>0</v>
      </c>
      <c r="AS42" s="43">
        <f t="shared" ref="AS42" ca="1" si="68">(AS41/12)</f>
        <v>90681.523918040868</v>
      </c>
      <c r="AT42" s="43">
        <f t="shared" ref="AT42" ca="1" si="69">(AT41/12)</f>
        <v>18589.712403198377</v>
      </c>
      <c r="AU42" s="43">
        <f t="shared" ref="AU42" ca="1" si="70">(AU41/12)</f>
        <v>906.81523918040887</v>
      </c>
      <c r="AV42" s="43">
        <f t="shared" ref="AV42" ca="1" si="71">(AV41/12)</f>
        <v>-4534.0761959020447</v>
      </c>
      <c r="AW42" s="43">
        <f t="shared" ref="AW42" ca="1" si="72">(AW41/12)</f>
        <v>105643.97536451764</v>
      </c>
      <c r="BD42" s="42">
        <v>40</v>
      </c>
      <c r="BE42" s="46">
        <v>20</v>
      </c>
      <c r="BF42" s="47">
        <v>0.42</v>
      </c>
    </row>
    <row r="43" spans="24:58" ht="39.950000000000003" hidden="1" customHeight="1" x14ac:dyDescent="0.25">
      <c r="AA43" s="55" t="s">
        <v>66</v>
      </c>
      <c r="AB43" s="64">
        <v>1352.69</v>
      </c>
      <c r="AC43" s="64">
        <v>1352.69</v>
      </c>
      <c r="AE43" s="64">
        <f>COUNTIF(J15,"Yok")*(0)
+COUNTIF(J15,"Bayram Yardımı (Kurban)")*($AC$42)
+COUNTIF(J15,"Bayram Yardımı (Ramazan)")*($AC$43)
+COUNTIF(J15,"Cenaze Yardımı (Anne-Baba)")*($AC$44)
+COUNTIF(J15,"Cenaze Yardımı (Eş-Çocuk)")*($AC$45)
+COUNTIF(J15,"Cenaze Yardımı (İşçi-İş Kazası Sonucu)")*($AC$46)
+COUNTIF(J15,"Cenaze Yardımı (İşçi-Tabii Sebepler Sonucu)")*($AC$47)
+COUNTIF(J15,"Doğal Afet Yardımı")*($AC$48)
+COUNTIF(J15,"Eğitim Yardımı (Çocuk-İlköğretim)")*($AC$49)
+COUNTIF(J15,"Eğitim Yardımı (Çocuk-Ortaöğretim)")*($AC$50)
+COUNTIF(J15,"Eğitim Yardımı (Çocuk-Lise)")*($AC$51)
+COUNTIF(J15,"Eğitim Yardımı (Çocuk-Yükseköğretim)")*($AC$52)
+COUNTIF(J15,"Eğitim Yardımı (İşçi-Lise)")*($AC$53)
+COUNTIF(J15,"Eğitim Yardımı (İşçi-Yükseköğretim)")*($AC$54)
+COUNTIF(J15,"Evlilik Yardımı")*($AC$55)
+COUNTIF(K15,"Yok")*(0)
+COUNTIF(K15,"Bayram Yardımı (Kurban)")*($AC$42)
+COUNTIF(K15,"Bayram Yardımı (Ramazan)")*($AC$43)
+COUNTIF(K15,"Cenaze Yardımı (Anne-Baba)")*($AC$44)
+COUNTIF(K15,"Cenaze Yardımı (Eş-Çocuk)")*($AC$45)
+COUNTIF(K15,"Cenaze Yardımı (İşçi-İş Kazası Sonucu)")*($AC$46)
+COUNTIF(K15,"Cenaze Yardımı (İşçi-Tabii Sebepler Sonucu)")*($AC$47)
+COUNTIF(K15,"Doğal Afet Yardımı")*($AC$48)
+COUNTIF(K15,"Eğitim Yardımı (Çocuk-İlköğretim)")*($AC$49)
+COUNTIF(K15,"Eğitim Yardımı (Çocuk-Ortaöğretim)")*($AC$50)
+COUNTIF(K15,"Eğitim Yardımı (Çocuk-Lise)")*($AC$51)
+COUNTIF(K15,"Eğitim Yardımı (Çocuk-Yükseköğretim)")*($AC$52)
+COUNTIF(K15,"Eğitim Yardımı (İşçi-Lise)")*($AC$53)
+COUNTIF(K15,"Eğitim Yardımı (İşçi-Yükseköğretim)")*($AC$54)
+COUNTIF(K15,"Evlilik Yardımı")*($AC$55)
+COUNTIF(L15,"Yok")*(0)
+COUNTIF(L15,"Bayram Yardımı (Kurban)")*($AC$42)
+COUNTIF(L15,"Bayram Yardımı (Ramazan)")*($AC$43)
+COUNTIF(L15,"Cenaze Yardımı (Anne-Baba)")*($AC$44)
+COUNTIF(L15,"Cenaze Yardımı (Eş-Çocuk)")*($AC$45)
+COUNTIF(L15,"Cenaze Yardımı (İşçi-İş Kazası Sonucu)")*($AC$46)
+COUNTIF(L15,"Cenaze Yardımı (İşçi-Tabii Sebepler Sonucu)")*($AC$47)
+COUNTIF(L15,"Doğal Afet Yardımı")*($AC$48)
+COUNTIF(L15,"Eğitim Yardımı (Çocuk-İlköğretim)")*($AC$49)
+COUNTIF(L15,"Eğitim Yardımı (Çocuk-Ortaöğretim)")*($AC$50)
+COUNTIF(L15,"Eğitim Yardımı (Çocuk-Lise)")*($AC$51)
+COUNTIF(L15,"Eğitim Yardımı (Çocuk-Yükseköğretim)")*($AC$52)
+COUNTIF(L15,"Eğitim Yardımı (İşçi-Lise)")*($AC$53)
+COUNTIF(L15,"Eğitim Yardımı (İşçi-Yükseköğretim)")*($AC$54)
+COUNTIF(L15,"Evlilik Yardımı")*($AC$55)</f>
        <v>0</v>
      </c>
      <c r="AF43" s="64">
        <f>COUNTIF(J15,"Yok")*(0)
+COUNTIF(J15,"Bayram Yardımı (Kurban)")*(0)
+COUNTIF(J15,"Bayram Yardımı (Ramazan)")*(0)
+COUNTIF(J15,"Cenaze Yardımı (Anne-Baba)")*($AC$44)
+COUNTIF(J15,"Cenaze Yardımı (Eş-Çocuk)")*($AC$45)
+COUNTIF(J15,"Cenaze Yardımı (İşçi-İş Kazası Sonucu)")*($AC$46)
+COUNTIF(J15,"Cenaze Yardımı (İşçi-Tabii Sebepler Sonucu)")*($AC$47)
+COUNTIF(J15,"Doğal Afet Yardımı")*($AC$48)
+COUNTIF(J15,"Eğitim Yardımı (Çocuk-İlköğretim)")*(0)
+COUNTIF(J15,"Eğitim Yardımı (Çocuk-Ortaöğretim)")*(0)
+COUNTIF(J15,"Eğitim Yardımı (Çocuk-Lise)")*(0)
+COUNTIF(J15,"Eğitim Yardımı (Çocuk-Yükseköğretim)")*(0)
+COUNTIF(J15,"Eğitim Yardımı (İşçi-Lise)")*(0)
+COUNTIF(J15,"Eğitim Yardımı (İşçi-Yükseköğretim)")*(0)
+COUNTIF(J15,"Evlilik Yardımı")*($AC$55)
+COUNTIF(K15,"Yok")*(0)
+COUNTIF(K15,"Bayram Yardımı (Kurban)")*(0)
+COUNTIF(K15,"Bayram Yardımı (Ramazan)")*(0)
+COUNTIF(K15,"Cenaze Yardımı (Anne-Baba)")*($AC$44)
+COUNTIF(K15,"Cenaze Yardımı (Eş-Çocuk)")*($AC$45)
+COUNTIF(K15,"Cenaze Yardımı (İşçi-İş Kazası Sonucu)")*($AC$46)
+COUNTIF(K15,"Cenaze Yardımı (İşçi-Tabii Sebepler Sonucu)")*($AC$47)
+COUNTIF(K15,"Doğal Afet Yardımı")*($AC$48)
+COUNTIF(K15,"Eğitim Yardımı (Çocuk-İlköğretim)")*(0)
+COUNTIF(K15,"Eğitim Yardımı (Çocuk-Ortaöğretim)")*(0)
+COUNTIF(K15,"Eğitim Yardımı (Çocuk-Lise)")*(0)
+COUNTIF(K15,"Eğitim Yardımı (Çocuk-Yükseköğretim)")*(0)
+COUNTIF(K15,"Eğitim Yardımı (İşçi-Lise)")*(0)
+COUNTIF(K15,"Eğitim Yardımı (İşçi-Yükseköğretim)")*(0)
+COUNTIF(K15,"Evlilik Yardımı")*($AC$55)
+COUNTIF(L15,"Yok")*(0)
+COUNTIF(L15,"Bayram Yardımı (Kurban)")*(0)
+COUNTIF(L15,"Bayram Yardımı (Ramazan)")*(0)
+COUNTIF(L15,"Cenaze Yardımı (Anne-Baba)")*($AC$44)
+COUNTIF(L15,"Cenaze Yardımı (Eş-Çocuk)")*($AC$45)
+COUNTIF(L15,"Cenaze Yardımı (İşçi-İş Kazası Sonucu)")*($AC$46)
+COUNTIF(L15,"Cenaze Yardımı (İşçi-Tabii Sebepler Sonucu)")*($AC$47)
+COUNTIF(L15,"Doğal Afet Yardımı")*($AC$48)
+COUNTIF(L15,"Eğitim Yardımı (Çocuk-İlköğretim)")*(0)
+COUNTIF(L15,"Eğitim Yardımı (Çocuk-Ortaöğretim)")*(0)
+COUNTIF(L15,"Eğitim Yardımı (Çocuk-Lise)")*(0)
+COUNTIF(L15,"Eğitim Yardımı (Çocuk-Yükseköğretim)")*(0)
+COUNTIF(L15,"Eğitim Yardımı (İşçi-Lise)")*(0)
+COUNTIF(L15,"Eğitim Yardımı (İşçi-Yükseköğretim)")*(0)
+COUNTIF(L15,"Evlilik Yardımı")*($AC$55)</f>
        <v>0</v>
      </c>
      <c r="AG43" s="64">
        <f ca="1">COUNTIF(J15,"Yok")*(0)
+COUNTIF(J15,"Bayram Yardımı (Kurban)")*($AC$42*AY73)
+COUNTIF(J15,"Bayram Yardımı (Ramazan)")*($AC$43*AY73)
+COUNTIF(J15,"Cenaze Yardımı (Anne-Baba)")*($AC$44-$AC$44*0.00759)
+COUNTIF(J15,"Cenaze Yardımı (Eş-Çocuk)")*($AC$45-$AC$45*0.00759)
+COUNTIF(J15,"Cenaze Yardımı (İşçi-İş Kazası Sonucu)")*($AC$46-$AC$46*0.00759)
+COUNTIF(J15,"Cenaze Yardımı (İşçi-Tabii Sebepler Sonucu)")*($AC$47-$AC$47*0.00759)
+COUNTIF(J15,"Doğal Afet Yardımı")*($AC$48-$AC$48*0.00759)
+COUNTIF(J15,"Eğitim Yardımı (Çocuk-İlköğretim)")*($AC$49*AY73)
+COUNTIF(J15,"Eğitim Yardımı (Çocuk-Ortaöğretim)")*($AC$50*AY73)
+COUNTIF(J15,"Eğitim Yardımı (Çocuk-Lise)")*($AC$51*AY73)
+COUNTIF(J15,"Eğitim Yardımı (Çocuk-Yükseköğretim)")*($AC$52*AY73)
+COUNTIF(J15,"Eğitim Yardımı (İşçi-Lise)")*($AC$53*AY73)
+COUNTIF(J15,"Eğitim Yardımı (İşçi-Yükseköğretim)")*($AC$54*AY73)
+COUNTIF(J15,"Evlilik Yardımı")*($AC$55-$AC$55*0.00759)
+COUNTIF(K15,"Yok")*(0)
+COUNTIF(K15,"Bayram Yardımı (Kurban)")*($AC$42*AY73)
+COUNTIF(K15,"Bayram Yardımı (Ramazan)")*($AC$43*AY73)
+COUNTIF(K15,"Cenaze Yardımı (Anne-Baba)")*($AC$44-$AC$44*0.00759)
+COUNTIF(K15,"Cenaze Yardımı (Eş-Çocuk)")*($AC$45-$AC$45*0.00759)
+COUNTIF(K15,"Cenaze Yardımı (İşçi-İş Kazası Sonucu)")*($AC$46-$AC$46*0.00759)
+COUNTIF(K15,"Cenaze Yardımı (İşçi-Tabii Sebepler Sonucu)")*($AC$47-$AC$47*0.00759)
+COUNTIF(K15,"Doğal Afet Yardımı")*($AC$48-$AC$48*0.00759)
+COUNTIF(K15,"Eğitim Yardımı (Çocuk-İlköğretim)")*($AC$49*AY73)
+COUNTIF(K15,"Eğitim Yardımı (Çocuk-Ortaöğretim)")*($AC$50*AY73)
+COUNTIF(K15,"Eğitim Yardımı (Çocuk-Lise)")*($AC$51*AY73)
+COUNTIF(K15,"Eğitim Yardımı (Çocuk-Yükseköğretim)")*($AC$52*AY73)
+COUNTIF(K15,"Eğitim Yardımı (İşçi-Lise)")*($AC$53*AY73)
+COUNTIF(K15,"Eğitim Yardımı (İşçi-Yükseköğretim)")*($AC$54*AY73)
+COUNTIF(K15,"Evlilik Yardımı")*($AC$55-$AC$55*0.00759)
+COUNTIF(L15,"Yok")*(0)
+COUNTIF(L15,"Bayram Yardımı (Kurban)")*($AC$42*AY73)
+COUNTIF(L15,"Bayram Yardımı (Ramazan)")*($AC$43*AY73)
+COUNTIF(L15,"Cenaze Yardımı (Anne-Baba)")*($AC$44-$AC$44*0.00759)
+COUNTIF(L15,"Cenaze Yardımı (Eş-Çocuk)")*($AC$45-$AC$45*0.00759)
+COUNTIF(L15,"Cenaze Yardımı (İşçi-İş Kazası Sonucu)")*($AC$46-$AC$46*0.00759)
+COUNTIF(L15,"Cenaze Yardımı (İşçi-Tabii Sebepler Sonucu)")*($AC$47-$AC$47*0.00759)
+COUNTIF(L15,"Doğal Afet Yardımı")*($AC$48-$AC$48*0.00759)
+COUNTIF(L15,"Eğitim Yardımı (Çocuk-İlköğretim)")*($AC$49*AY73)
+COUNTIF(L15,"Eğitim Yardımı (Çocuk-Ortaöğretim)")*($AC$50*AY73)
+COUNTIF(L15,"Eğitim Yardımı (Çocuk-Lise)")*($AC$51*AY73)
+COUNTIF(L15,"Eğitim Yardımı (Çocuk-Yükseköğretim)")*($AC$52*AY73)
+COUNTIF(L15,"Eğitim Yardımı (İşçi-Lise)")*($AC$53*AY73)
+COUNTIF(L15,"Eğitim Yardımı (İşçi-Yükseköğretim)")*($AC$54*AY73)
+COUNTIF(L15,"Evlilik Yardımı")*($AC$55-$AC$55*0.00759)</f>
        <v>0</v>
      </c>
      <c r="AH43" s="54" t="s">
        <v>7</v>
      </c>
      <c r="AI43" s="43">
        <f>COUNTIF(AH43,"Var")*(AJ15*-1)</f>
        <v>-2115.17</v>
      </c>
      <c r="AJ43" s="43">
        <f>(AI43*-1)</f>
        <v>2115.17</v>
      </c>
      <c r="AK43" s="64">
        <f ca="1">(AK73*M15+AL43)*-1</f>
        <v>0</v>
      </c>
      <c r="AL43" s="64">
        <f>(AR15+AT15+AV15+AX15+AF1-AM1)*(M15*-1)</f>
        <v>0</v>
      </c>
      <c r="AM43" s="64">
        <f ca="1">(AK43+AL43)</f>
        <v>0</v>
      </c>
      <c r="BD43" s="42">
        <v>41</v>
      </c>
      <c r="BE43" s="46">
        <v>20.5</v>
      </c>
      <c r="BF43" s="47">
        <v>0.43</v>
      </c>
    </row>
    <row r="44" spans="24:58" ht="39.950000000000003" hidden="1" customHeight="1" x14ac:dyDescent="0.25">
      <c r="AA44" s="55" t="s">
        <v>50</v>
      </c>
      <c r="AB44" s="64">
        <v>2764.93</v>
      </c>
      <c r="AC44" s="64">
        <v>2764.93</v>
      </c>
      <c r="AE44" s="64">
        <f>COUNTIF(J16,"Yok")*(0)
+COUNTIF(J16,"Bayram Yardımı (Kurban)")*($AC$42)
+COUNTIF(J16,"Bayram Yardımı (Ramazan)")*($AC$43)
+COUNTIF(J16,"Cenaze Yardımı (Anne-Baba)")*($AC$44)
+COUNTIF(J16,"Cenaze Yardımı (Eş-Çocuk)")*($AC$45)
+COUNTIF(J16,"Cenaze Yardımı (İşçi-İş Kazası Sonucu)")*($AC$46)
+COUNTIF(J16,"Cenaze Yardımı (İşçi-Tabii Sebepler Sonucu)")*($AC$47)
+COUNTIF(J16,"Doğal Afet Yardımı")*($AC$48)
+COUNTIF(J16,"Eğitim Yardımı (Çocuk-İlköğretim)")*($AC$49)
+COUNTIF(J16,"Eğitim Yardımı (Çocuk-Ortaöğretim)")*($AC$50)
+COUNTIF(J16,"Eğitim Yardımı (Çocuk-Lise)")*($AC$51)
+COUNTIF(J16,"Eğitim Yardımı (Çocuk-Yükseköğretim)")*($AC$52)
+COUNTIF(J16,"Eğitim Yardımı (İşçi-Lise)")*($AC$53)
+COUNTIF(J16,"Eğitim Yardımı (İşçi-Yükseköğretim)")*($AC$54)
+COUNTIF(J16,"Evlilik Yardımı")*($AC$55)
+COUNTIF(K16,"Yok")*(0)
+COUNTIF(K16,"Bayram Yardımı (Kurban)")*($AC$42)
+COUNTIF(K16,"Bayram Yardımı (Ramazan)")*($AC$43)
+COUNTIF(K16,"Cenaze Yardımı (Anne-Baba)")*($AC$44)
+COUNTIF(K16,"Cenaze Yardımı (Eş-Çocuk)")*($AC$45)
+COUNTIF(K16,"Cenaze Yardımı (İşçi-İş Kazası Sonucu)")*($AC$46)
+COUNTIF(K16,"Cenaze Yardımı (İşçi-Tabii Sebepler Sonucu)")*($AC$47)
+COUNTIF(K16,"Doğal Afet Yardımı")*($AC$48)
+COUNTIF(K16,"Eğitim Yardımı (Çocuk-İlköğretim)")*($AC$49)
+COUNTIF(K16,"Eğitim Yardımı (Çocuk-Ortaöğretim)")*($AC$50)
+COUNTIF(K16,"Eğitim Yardımı (Çocuk-Lise)")*($AC$51)
+COUNTIF(K16,"Eğitim Yardımı (Çocuk-Yükseköğretim)")*($AC$52)
+COUNTIF(K16,"Eğitim Yardımı (İşçi-Lise)")*($AC$53)
+COUNTIF(K16,"Eğitim Yardımı (İşçi-Yükseköğretim)")*($AC$54)
+COUNTIF(K16,"Evlilik Yardımı")*($AC$55)
+COUNTIF(L16,"Yok")*(0)
+COUNTIF(L16,"Bayram Yardımı (Kurban)")*($AC$42)
+COUNTIF(L16,"Bayram Yardımı (Ramazan)")*($AC$43)
+COUNTIF(L16,"Cenaze Yardımı (Anne-Baba)")*($AC$44)
+COUNTIF(L16,"Cenaze Yardımı (Eş-Çocuk)")*($AC$45)
+COUNTIF(L16,"Cenaze Yardımı (İşçi-İş Kazası Sonucu)")*($AC$46)
+COUNTIF(L16,"Cenaze Yardımı (İşçi-Tabii Sebepler Sonucu)")*($AC$47)
+COUNTIF(L16,"Doğal Afet Yardımı")*($AC$48)
+COUNTIF(L16,"Eğitim Yardımı (Çocuk-İlköğretim)")*($AC$49)
+COUNTIF(L16,"Eğitim Yardımı (Çocuk-Ortaöğretim)")*($AC$50)
+COUNTIF(L16,"Eğitim Yardımı (Çocuk-Lise)")*($AC$51)
+COUNTIF(L16,"Eğitim Yardımı (Çocuk-Yükseköğretim)")*($AC$52)
+COUNTIF(L16,"Eğitim Yardımı (İşçi-Lise)")*($AC$53)
+COUNTIF(L16,"Eğitim Yardımı (İşçi-Yükseköğretim)")*($AC$54)
+COUNTIF(L16,"Evlilik Yardımı")*($AC$55)</f>
        <v>0</v>
      </c>
      <c r="AF44" s="64">
        <f>COUNTIF(J16,"Yok")*(0)
+COUNTIF(J16,"Bayram Yardımı (Kurban)")*(0)
+COUNTIF(J16,"Bayram Yardımı (Ramazan)")*(0)
+COUNTIF(J16,"Cenaze Yardımı (Anne-Baba)")*($AC$44)
+COUNTIF(J16,"Cenaze Yardımı (Eş-Çocuk)")*($AC$45)
+COUNTIF(J16,"Cenaze Yardımı (İşçi-İş Kazası Sonucu)")*($AC$46)
+COUNTIF(J16,"Cenaze Yardımı (İşçi-Tabii Sebepler Sonucu)")*($AC$47)
+COUNTIF(J16,"Doğal Afet Yardımı")*($AC$48)
+COUNTIF(J16,"Eğitim Yardımı (Çocuk-İlköğretim)")*(0)
+COUNTIF(J16,"Eğitim Yardımı (Çocuk-Ortaöğretim)")*(0)
+COUNTIF(J16,"Eğitim Yardımı (Çocuk-Lise)")*(0)
+COUNTIF(J16,"Eğitim Yardımı (Çocuk-Yükseköğretim)")*(0)
+COUNTIF(J16,"Eğitim Yardımı (İşçi-Lise)")*(0)
+COUNTIF(J16,"Eğitim Yardımı (İşçi-Yükseköğretim)")*(0)
+COUNTIF(J16,"Evlilik Yardımı")*($AC$55)
+COUNTIF(K16,"Yok")*(0)
+COUNTIF(K16,"Bayram Yardımı (Kurban)")*(0)
+COUNTIF(K16,"Bayram Yardımı (Ramazan)")*(0)
+COUNTIF(K16,"Cenaze Yardımı (Anne-Baba)")*($AC$44)
+COUNTIF(K16,"Cenaze Yardımı (Eş-Çocuk)")*($AC$45)
+COUNTIF(K16,"Cenaze Yardımı (İşçi-İş Kazası Sonucu)")*($AC$46)
+COUNTIF(K16,"Cenaze Yardımı (İşçi-Tabii Sebepler Sonucu)")*($AC$47)
+COUNTIF(K16,"Doğal Afet Yardımı")*($AC$48)
+COUNTIF(K16,"Eğitim Yardımı (Çocuk-İlköğretim)")*(0)
+COUNTIF(K16,"Eğitim Yardımı (Çocuk-Ortaöğretim)")*(0)
+COUNTIF(K16,"Eğitim Yardımı (Çocuk-Lise)")*(0)
+COUNTIF(K16,"Eğitim Yardımı (Çocuk-Yükseköğretim)")*(0)
+COUNTIF(K16,"Eğitim Yardımı (İşçi-Lise)")*(0)
+COUNTIF(K16,"Eğitim Yardımı (İşçi-Yükseköğretim)")*(0)
+COUNTIF(K16,"Evlilik Yardımı")*($AC$55)
+COUNTIF(L16,"Yok")*(0)
+COUNTIF(L16,"Bayram Yardımı (Kurban)")*(0)
+COUNTIF(L16,"Bayram Yardımı (Ramazan)")*(0)
+COUNTIF(L16,"Cenaze Yardımı (Anne-Baba)")*($AC$44)
+COUNTIF(L16,"Cenaze Yardımı (Eş-Çocuk)")*($AC$45)
+COUNTIF(L16,"Cenaze Yardımı (İşçi-İş Kazası Sonucu)")*($AC$46)
+COUNTIF(L16,"Cenaze Yardımı (İşçi-Tabii Sebepler Sonucu)")*($AC$47)
+COUNTIF(L16,"Doğal Afet Yardımı")*($AC$48)
+COUNTIF(L16,"Eğitim Yardımı (Çocuk-İlköğretim)")*(0)
+COUNTIF(L16,"Eğitim Yardımı (Çocuk-Ortaöğretim)")*(0)
+COUNTIF(L16,"Eğitim Yardımı (Çocuk-Lise)")*(0)
+COUNTIF(L16,"Eğitim Yardımı (Çocuk-Yükseköğretim)")*(0)
+COUNTIF(L16,"Eğitim Yardımı (İşçi-Lise)")*(0)
+COUNTIF(L16,"Eğitim Yardımı (İşçi-Yükseköğretim)")*(0)
+COUNTIF(L16,"Evlilik Yardımı")*($AC$55)</f>
        <v>0</v>
      </c>
      <c r="AG44" s="64">
        <f ca="1">COUNTIF(J16,"Yok")*(0)
+COUNTIF(J16,"Bayram Yardımı (Kurban)")*($AC$42*AY74)
+COUNTIF(J16,"Bayram Yardımı (Ramazan)")*($AC$43*AY74)
+COUNTIF(J16,"Cenaze Yardımı (Anne-Baba)")*($AC$44-$AC$44*0.00759)
+COUNTIF(J16,"Cenaze Yardımı (Eş-Çocuk)")*($AC$45-$AC$45*0.00759)
+COUNTIF(J16,"Cenaze Yardımı (İşçi-İş Kazası Sonucu)")*($AC$46-$AC$46*0.00759)
+COUNTIF(J16,"Cenaze Yardımı (İşçi-Tabii Sebepler Sonucu)")*($AC$47-$AC$47*0.00759)
+COUNTIF(J16,"Doğal Afet Yardımı")*($AC$48-$AC$48*0.00759)
+COUNTIF(J16,"Eğitim Yardımı (Çocuk-İlköğretim)")*($AC$49*AY74)
+COUNTIF(J16,"Eğitim Yardımı (Çocuk-Ortaöğretim)")*($AC$50*AY74)
+COUNTIF(J16,"Eğitim Yardımı (Çocuk-Lise)")*($AC$51*AY74)
+COUNTIF(J16,"Eğitim Yardımı (Çocuk-Yükseköğretim)")*($AC$52*AY74)
+COUNTIF(J16,"Eğitim Yardımı (İşçi-Lise)")*($AC$53*AY74)
+COUNTIF(J16,"Eğitim Yardımı (İşçi-Yükseköğretim)")*($AC$54*AY74)
+COUNTIF(J16,"Evlilik Yardımı")*($AC$55-$AC$55*0.00759)
+COUNTIF(K16,"Yok")*(0)
+COUNTIF(K16,"Bayram Yardımı (Kurban)")*($AC$42*AY74)
+COUNTIF(K16,"Bayram Yardımı (Ramazan)")*($AC$43*AY74)
+COUNTIF(K16,"Cenaze Yardımı (Anne-Baba)")*($AC$44-$AC$44*0.00759)
+COUNTIF(K16,"Cenaze Yardımı (Eş-Çocuk)")*($AC$45-$AC$45*0.00759)
+COUNTIF(K16,"Cenaze Yardımı (İşçi-İş Kazası Sonucu)")*($AC$46-$AC$46*0.00759)
+COUNTIF(K16,"Cenaze Yardımı (İşçi-Tabii Sebepler Sonucu)")*($AC$47-$AC$47*0.00759)
+COUNTIF(K16,"Doğal Afet Yardımı")*($AC$48-$AC$48*0.00759)
+COUNTIF(K16,"Eğitim Yardımı (Çocuk-İlköğretim)")*($AC$49*AY74)
+COUNTIF(K16,"Eğitim Yardımı (Çocuk-Ortaöğretim)")*($AC$50*AY74)
+COUNTIF(K16,"Eğitim Yardımı (Çocuk-Lise)")*($AC$51*AY74)
+COUNTIF(K16,"Eğitim Yardımı (Çocuk-Yükseköğretim)")*($AC$52*AY74)
+COUNTIF(K16,"Eğitim Yardımı (İşçi-Lise)")*($AC$53*AY74)
+COUNTIF(K16,"Eğitim Yardımı (İşçi-Yükseköğretim)")*($AC$54*AY74)
+COUNTIF(K16,"Evlilik Yardımı")*($AC$55-$AC$55*0.00759)
+COUNTIF(L16,"Yok")*(0)
+COUNTIF(L16,"Bayram Yardımı (Kurban)")*($AC$42*AY74)
+COUNTIF(L16,"Bayram Yardımı (Ramazan)")*($AC$43*AY74)
+COUNTIF(L16,"Cenaze Yardımı (Anne-Baba)")*($AC$44-$AC$44*0.00759)
+COUNTIF(L16,"Cenaze Yardımı (Eş-Çocuk)")*($AC$45-$AC$45*0.00759)
+COUNTIF(L16,"Cenaze Yardımı (İşçi-İş Kazası Sonucu)")*($AC$46-$AC$46*0.00759)
+COUNTIF(L16,"Cenaze Yardımı (İşçi-Tabii Sebepler Sonucu)")*($AC$47-$AC$47*0.00759)
+COUNTIF(L16,"Doğal Afet Yardımı")*($AC$48-$AC$48*0.00759)
+COUNTIF(L16,"Eğitim Yardımı (Çocuk-İlköğretim)")*($AC$49*AY74)
+COUNTIF(L16,"Eğitim Yardımı (Çocuk-Ortaöğretim)")*($AC$50*AY74)
+COUNTIF(L16,"Eğitim Yardımı (Çocuk-Lise)")*($AC$51*AY74)
+COUNTIF(L16,"Eğitim Yardımı (Çocuk-Yükseköğretim)")*($AC$52*AY74)
+COUNTIF(L16,"Eğitim Yardımı (İşçi-Lise)")*($AC$53*AY74)
+COUNTIF(L16,"Eğitim Yardımı (İşçi-Yükseköğretim)")*($AC$54*AY74)
+COUNTIF(L16,"Evlilik Yardımı")*($AC$55-$AC$55*0.00759)</f>
        <v>0</v>
      </c>
      <c r="AH44" s="54" t="s">
        <v>7</v>
      </c>
      <c r="AI44" s="43">
        <f>COUNTIF(AH44,"Var")*(AJ16*-1)</f>
        <v>-2115.17</v>
      </c>
      <c r="AJ44" s="43">
        <f t="shared" ref="AJ44:AJ54" si="73">(AI44*-1)</f>
        <v>2115.17</v>
      </c>
      <c r="AK44" s="64">
        <f ca="1">(AK74*M16+AL44)*-1</f>
        <v>0</v>
      </c>
      <c r="AL44" s="64">
        <f>(AR16+AT16+AV16+AX16+AF2-AM2)*(M16*-1)</f>
        <v>0</v>
      </c>
      <c r="AM44" s="64">
        <f t="shared" ref="AM44:AM54" ca="1" si="74">(AK44+AL44)</f>
        <v>0</v>
      </c>
      <c r="BD44" s="42">
        <v>42</v>
      </c>
      <c r="BE44" s="46">
        <v>21</v>
      </c>
      <c r="BF44" s="47">
        <v>0.44</v>
      </c>
    </row>
    <row r="45" spans="24:58" ht="39.950000000000003" hidden="1" customHeight="1" x14ac:dyDescent="0.25">
      <c r="AA45" s="55" t="s">
        <v>51</v>
      </c>
      <c r="AB45" s="64">
        <v>2764.93</v>
      </c>
      <c r="AC45" s="64">
        <v>2764.93</v>
      </c>
      <c r="AE45" s="64">
        <f>COUNTIF(J17,"Yok")*(0)
+COUNTIF(J17,"Bayram Yardımı (Kurban)")*($AC$42)
+COUNTIF(J17,"Bayram Yardımı (Ramazan)")*($AC$43)
+COUNTIF(J17,"Cenaze Yardımı (Anne-Baba)")*($AC$44)
+COUNTIF(J17,"Cenaze Yardımı (Eş-Çocuk)")*($AC$45)
+COUNTIF(J17,"Cenaze Yardımı (İşçi-İş Kazası Sonucu)")*($AC$46)
+COUNTIF(J17,"Cenaze Yardımı (İşçi-Tabii Sebepler Sonucu)")*($AC$47)
+COUNTIF(J17,"Doğal Afet Yardımı")*($AC$48)
+COUNTIF(J17,"Eğitim Yardımı (Çocuk-İlköğretim)")*($AC$49)
+COUNTIF(J17,"Eğitim Yardımı (Çocuk-Ortaöğretim)")*($AC$50)
+COUNTIF(J17,"Eğitim Yardımı (Çocuk-Lise)")*($AC$51)
+COUNTIF(J17,"Eğitim Yardımı (Çocuk-Yükseköğretim)")*($AC$52)
+COUNTIF(J17,"Eğitim Yardımı (İşçi-Lise)")*($AC$53)
+COUNTIF(J17,"Eğitim Yardımı (İşçi-Yükseköğretim)")*($AC$54)
+COUNTIF(J17,"Evlilik Yardımı")*($AC$55)
+COUNTIF(K17,"Yok")*(0)
+COUNTIF(K17,"Bayram Yardımı (Kurban)")*($AC$42)
+COUNTIF(K17,"Bayram Yardımı (Ramazan)")*($AC$43)
+COUNTIF(K17,"Cenaze Yardımı (Anne-Baba)")*($AC$44)
+COUNTIF(K17,"Cenaze Yardımı (Eş-Çocuk)")*($AC$45)
+COUNTIF(K17,"Cenaze Yardımı (İşçi-İş Kazası Sonucu)")*($AC$46)
+COUNTIF(K17,"Cenaze Yardımı (İşçi-Tabii Sebepler Sonucu)")*($AC$47)
+COUNTIF(K17,"Doğal Afet Yardımı")*($AC$48)
+COUNTIF(K17,"Eğitim Yardımı (Çocuk-İlköğretim)")*($AC$49)
+COUNTIF(K17,"Eğitim Yardımı (Çocuk-Ortaöğretim)")*($AC$50)
+COUNTIF(K17,"Eğitim Yardımı (Çocuk-Lise)")*($AC$51)
+COUNTIF(K17,"Eğitim Yardımı (Çocuk-Yükseköğretim)")*($AC$52)
+COUNTIF(K17,"Eğitim Yardımı (İşçi-Lise)")*($AC$53)
+COUNTIF(K17,"Eğitim Yardımı (İşçi-Yükseköğretim)")*($AC$54)
+COUNTIF(K17,"Evlilik Yardımı")*($AC$55)
+COUNTIF(L17,"Yok")*(0)
+COUNTIF(L17,"Bayram Yardımı (Kurban)")*($AC$42)
+COUNTIF(L17,"Bayram Yardımı (Ramazan)")*($AC$43)
+COUNTIF(L17,"Cenaze Yardımı (Anne-Baba)")*($AC$44)
+COUNTIF(L17,"Cenaze Yardımı (Eş-Çocuk)")*($AC$45)
+COUNTIF(L17,"Cenaze Yardımı (İşçi-İş Kazası Sonucu)")*($AC$46)
+COUNTIF(L17,"Cenaze Yardımı (İşçi-Tabii Sebepler Sonucu)")*($AC$47)
+COUNTIF(L17,"Doğal Afet Yardımı")*($AC$48)
+COUNTIF(L17,"Eğitim Yardımı (Çocuk-İlköğretim)")*($AC$49)
+COUNTIF(L17,"Eğitim Yardımı (Çocuk-Ortaöğretim)")*($AC$50)
+COUNTIF(L17,"Eğitim Yardımı (Çocuk-Lise)")*($AC$51)
+COUNTIF(L17,"Eğitim Yardımı (Çocuk-Yükseköğretim)")*($AC$52)
+COUNTIF(L17,"Eğitim Yardımı (İşçi-Lise)")*($AC$53)
+COUNTIF(L17,"Eğitim Yardımı (İşçi-Yükseköğretim)")*($AC$54)
+COUNTIF(L17,"Evlilik Yardımı")*($AC$55)</f>
        <v>0</v>
      </c>
      <c r="AF45" s="64">
        <f>COUNTIF(J17,"Yok")*(0)
+COUNTIF(J17,"Bayram Yardımı (Kurban)")*(0)
+COUNTIF(J17,"Bayram Yardımı (Ramazan)")*(0)
+COUNTIF(J17,"Cenaze Yardımı (Anne-Baba)")*($AC$44)
+COUNTIF(J17,"Cenaze Yardımı (Eş-Çocuk)")*($AC$45)
+COUNTIF(J17,"Cenaze Yardımı (İşçi-İş Kazası Sonucu)")*($AC$46)
+COUNTIF(J17,"Cenaze Yardımı (İşçi-Tabii Sebepler Sonucu)")*($AC$47)
+COUNTIF(J17,"Doğal Afet Yardımı")*($AC$48)
+COUNTIF(J17,"Eğitim Yardımı (Çocuk-İlköğretim)")*(0)
+COUNTIF(J17,"Eğitim Yardımı (Çocuk-Ortaöğretim)")*(0)
+COUNTIF(J17,"Eğitim Yardımı (Çocuk-Lise)")*(0)
+COUNTIF(J17,"Eğitim Yardımı (Çocuk-Yükseköğretim)")*(0)
+COUNTIF(J17,"Eğitim Yardımı (İşçi-Lise)")*(0)
+COUNTIF(J17,"Eğitim Yardımı (İşçi-Yükseköğretim)")*(0)
+COUNTIF(J17,"Evlilik Yardımı")*($AC$55)
+COUNTIF(K17,"Yok")*(0)
+COUNTIF(K17,"Bayram Yardımı (Kurban)")*(0)
+COUNTIF(K17,"Bayram Yardımı (Ramazan)")*(0)
+COUNTIF(K17,"Cenaze Yardımı (Anne-Baba)")*($AC$44)
+COUNTIF(K17,"Cenaze Yardımı (Eş-Çocuk)")*($AC$45)
+COUNTIF(K17,"Cenaze Yardımı (İşçi-İş Kazası Sonucu)")*($AC$46)
+COUNTIF(K17,"Cenaze Yardımı (İşçi-Tabii Sebepler Sonucu)")*($AC$47)
+COUNTIF(K17,"Doğal Afet Yardımı")*($AC$48)
+COUNTIF(K17,"Eğitim Yardımı (Çocuk-İlköğretim)")*(0)
+COUNTIF(K17,"Eğitim Yardımı (Çocuk-Ortaöğretim)")*(0)
+COUNTIF(K17,"Eğitim Yardımı (Çocuk-Lise)")*(0)
+COUNTIF(K17,"Eğitim Yardımı (Çocuk-Yükseköğretim)")*(0)
+COUNTIF(K17,"Eğitim Yardımı (İşçi-Lise)")*(0)
+COUNTIF(K17,"Eğitim Yardımı (İşçi-Yükseköğretim)")*(0)
+COUNTIF(K17,"Evlilik Yardımı")*($AC$55)
+COUNTIF(L17,"Yok")*(0)
+COUNTIF(L17,"Bayram Yardımı (Kurban)")*(0)
+COUNTIF(L17,"Bayram Yardımı (Ramazan)")*(0)
+COUNTIF(L17,"Cenaze Yardımı (Anne-Baba)")*($AC$44)
+COUNTIF(L17,"Cenaze Yardımı (Eş-Çocuk)")*($AC$45)
+COUNTIF(L17,"Cenaze Yardımı (İşçi-İş Kazası Sonucu)")*($AC$46)
+COUNTIF(L17,"Cenaze Yardımı (İşçi-Tabii Sebepler Sonucu)")*($AC$47)
+COUNTIF(L17,"Doğal Afet Yardımı")*($AC$48)
+COUNTIF(L17,"Eğitim Yardımı (Çocuk-İlköğretim)")*(0)
+COUNTIF(L17,"Eğitim Yardımı (Çocuk-Ortaöğretim)")*(0)
+COUNTIF(L17,"Eğitim Yardımı (Çocuk-Lise)")*(0)
+COUNTIF(L17,"Eğitim Yardımı (Çocuk-Yükseköğretim)")*(0)
+COUNTIF(L17,"Eğitim Yardımı (İşçi-Lise)")*(0)
+COUNTIF(L17,"Eğitim Yardımı (İşçi-Yükseköğretim)")*(0)
+COUNTIF(L17,"Evlilik Yardımı")*($AC$55)</f>
        <v>0</v>
      </c>
      <c r="AG45" s="64">
        <f ca="1">COUNTIF(J17,"Yok")*(0)
+COUNTIF(J17,"Bayram Yardımı (Kurban)")*($AC$42*AY75)
+COUNTIF(J17,"Bayram Yardımı (Ramazan)")*($AC$43*AY75)
+COUNTIF(J17,"Cenaze Yardımı (Anne-Baba)")*($AC$44-$AC$44*0.00759)
+COUNTIF(J17,"Cenaze Yardımı (Eş-Çocuk)")*($AC$45-$AC$45*0.00759)
+COUNTIF(J17,"Cenaze Yardımı (İşçi-İş Kazası Sonucu)")*($AC$46-$AC$46*0.00759)
+COUNTIF(J17,"Cenaze Yardımı (İşçi-Tabii Sebepler Sonucu)")*($AC$47-$AC$47*0.00759)
+COUNTIF(J17,"Doğal Afet Yardımı")*($AC$48-$AC$48*0.00759)
+COUNTIF(J17,"Eğitim Yardımı (Çocuk-İlköğretim)")*($AC$49*AY75)
+COUNTIF(J17,"Eğitim Yardımı (Çocuk-Ortaöğretim)")*($AC$50*AY75)
+COUNTIF(J17,"Eğitim Yardımı (Çocuk-Lise)")*($AC$51*AY75)
+COUNTIF(J17,"Eğitim Yardımı (Çocuk-Yükseköğretim)")*($AC$52*AY75)
+COUNTIF(J17,"Eğitim Yardımı (İşçi-Lise)")*($AC$53*AY75)
+COUNTIF(J17,"Eğitim Yardımı (İşçi-Yükseköğretim)")*($AC$54*AY75)
+COUNTIF(J17,"Evlilik Yardımı")*($AC$55-$AC$55*0.00759)
+COUNTIF(K17,"Yok")*(0)
+COUNTIF(K17,"Bayram Yardımı (Kurban)")*($AC$42*AY75)
+COUNTIF(K17,"Bayram Yardımı (Ramazan)")*($AC$43*AY75)
+COUNTIF(K17,"Cenaze Yardımı (Anne-Baba)")*($AC$44-$AC$44*0.00759)
+COUNTIF(K17,"Cenaze Yardımı (Eş-Çocuk)")*($AC$45-$AC$45*0.00759)
+COUNTIF(K17,"Cenaze Yardımı (İşçi-İş Kazası Sonucu)")*($AC$46-$AC$46*0.00759)
+COUNTIF(K17,"Cenaze Yardımı (İşçi-Tabii Sebepler Sonucu)")*($AC$47-$AC$47*0.00759)
+COUNTIF(K17,"Doğal Afet Yardımı")*($AC$48-$AC$48*0.00759)
+COUNTIF(K17,"Eğitim Yardımı (Çocuk-İlköğretim)")*($AC$49*AY75)
+COUNTIF(K17,"Eğitim Yardımı (Çocuk-Ortaöğretim)")*($AC$50*AY75)
+COUNTIF(K17,"Eğitim Yardımı (Çocuk-Lise)")*($AC$51*AY75)
+COUNTIF(K17,"Eğitim Yardımı (Çocuk-Yükseköğretim)")*($AC$52*AY75)
+COUNTIF(K17,"Eğitim Yardımı (İşçi-Lise)")*($AC$53*AY75)
+COUNTIF(K17,"Eğitim Yardımı (İşçi-Yükseköğretim)")*($AC$54*AY75)
+COUNTIF(K17,"Evlilik Yardımı")*($AC$55-$AC$55*0.00759)
+COUNTIF(L17,"Yok")*(0)
+COUNTIF(L17,"Bayram Yardımı (Kurban)")*($AC$42*AY75)
+COUNTIF(L17,"Bayram Yardımı (Ramazan)")*($AC$43*AY75)
+COUNTIF(L17,"Cenaze Yardımı (Anne-Baba)")*($AC$44-$AC$44*0.00759)
+COUNTIF(L17,"Cenaze Yardımı (Eş-Çocuk)")*($AC$45-$AC$45*0.00759)
+COUNTIF(L17,"Cenaze Yardımı (İşçi-İş Kazası Sonucu)")*($AC$46-$AC$46*0.00759)
+COUNTIF(L17,"Cenaze Yardımı (İşçi-Tabii Sebepler Sonucu)")*($AC$47-$AC$47*0.00759)
+COUNTIF(L17,"Doğal Afet Yardımı")*($AC$48-$AC$48*0.00759)
+COUNTIF(L17,"Eğitim Yardımı (Çocuk-İlköğretim)")*($AC$49*AY75)
+COUNTIF(L17,"Eğitim Yardımı (Çocuk-Ortaöğretim)")*($AC$50*AY75)
+COUNTIF(L17,"Eğitim Yardımı (Çocuk-Lise)")*($AC$51*AY75)
+COUNTIF(L17,"Eğitim Yardımı (Çocuk-Yükseköğretim)")*($AC$52*AY75)
+COUNTIF(L17,"Eğitim Yardımı (İşçi-Lise)")*($AC$53*AY75)
+COUNTIF(L17,"Eğitim Yardımı (İşçi-Yükseköğretim)")*($AC$54*AY75)
+COUNTIF(L17,"Evlilik Yardımı")*($AC$55-$AC$55*0.00759)</f>
        <v>0</v>
      </c>
      <c r="AH45" s="54" t="s">
        <v>7</v>
      </c>
      <c r="AI45" s="43">
        <f>COUNTIF(AH45,"Var")*(AJ17*-1)</f>
        <v>-2115.17</v>
      </c>
      <c r="AJ45" s="43">
        <f t="shared" si="73"/>
        <v>2115.17</v>
      </c>
      <c r="AK45" s="64">
        <f ca="1">(AK75*M17+AL45)*-1</f>
        <v>0</v>
      </c>
      <c r="AL45" s="64">
        <f>(AR17+AT17+AV17+AX17+AF3-AM3)*(M17*-1)</f>
        <v>0</v>
      </c>
      <c r="AM45" s="64">
        <f t="shared" ca="1" si="74"/>
        <v>0</v>
      </c>
      <c r="BD45" s="42">
        <v>43</v>
      </c>
      <c r="BE45" s="46">
        <v>21.5</v>
      </c>
      <c r="BF45" s="47">
        <v>0.45</v>
      </c>
    </row>
    <row r="46" spans="24:58" ht="39.950000000000003" hidden="1" customHeight="1" x14ac:dyDescent="0.25">
      <c r="AA46" s="55" t="s">
        <v>52</v>
      </c>
      <c r="AB46" s="64">
        <v>10949.09</v>
      </c>
      <c r="AC46" s="64">
        <v>10949.09</v>
      </c>
      <c r="AE46" s="64">
        <f>COUNTIF(J18,"Yok")*(0)
+COUNTIF(J18,"Bayram Yardımı (Kurban)")*($AC$42)
+COUNTIF(J18,"Bayram Yardımı (Ramazan)")*($AC$43)
+COUNTIF(J18,"Cenaze Yardımı (Anne-Baba)")*($AC$44)
+COUNTIF(J18,"Cenaze Yardımı (Eş-Çocuk)")*($AC$45)
+COUNTIF(J18,"Cenaze Yardımı (İşçi-İş Kazası Sonucu)")*($AC$46)
+COUNTIF(J18,"Cenaze Yardımı (İşçi-Tabii Sebepler Sonucu)")*($AC$47)
+COUNTIF(J18,"Doğal Afet Yardımı")*($AC$48)
+COUNTIF(J18,"Eğitim Yardımı (Çocuk-İlköğretim)")*($AC$49)
+COUNTIF(J18,"Eğitim Yardımı (Çocuk-Ortaöğretim)")*($AC$50)
+COUNTIF(J18,"Eğitim Yardımı (Çocuk-Lise)")*($AC$51)
+COUNTIF(J18,"Eğitim Yardımı (Çocuk-Yükseköğretim)")*($AC$52)
+COUNTIF(J18,"Eğitim Yardımı (İşçi-Lise)")*($AC$53)
+COUNTIF(J18,"Eğitim Yardımı (İşçi-Yükseköğretim)")*($AC$54)
+COUNTIF(J18,"Evlilik Yardımı")*($AC$55)
+COUNTIF(K18,"Yok")*(0)
+COUNTIF(K18,"Bayram Yardımı (Kurban)")*($AC$42)
+COUNTIF(K18,"Bayram Yardımı (Ramazan)")*($AC$43)
+COUNTIF(K18,"Cenaze Yardımı (Anne-Baba)")*($AC$44)
+COUNTIF(K18,"Cenaze Yardımı (Eş-Çocuk)")*($AC$45)
+COUNTIF(K18,"Cenaze Yardımı (İşçi-İş Kazası Sonucu)")*($AC$46)
+COUNTIF(K18,"Cenaze Yardımı (İşçi-Tabii Sebepler Sonucu)")*($AC$47)
+COUNTIF(K18,"Doğal Afet Yardımı")*($AC$48)
+COUNTIF(K18,"Eğitim Yardımı (Çocuk-İlköğretim)")*($AC$49)
+COUNTIF(K18,"Eğitim Yardımı (Çocuk-Ortaöğretim)")*($AC$50)
+COUNTIF(K18,"Eğitim Yardımı (Çocuk-Lise)")*($AC$51)
+COUNTIF(K18,"Eğitim Yardımı (Çocuk-Yükseköğretim)")*($AC$52)
+COUNTIF(K18,"Eğitim Yardımı (İşçi-Lise)")*($AC$53)
+COUNTIF(K18,"Eğitim Yardımı (İşçi-Yükseköğretim)")*($AC$54)
+COUNTIF(K18,"Evlilik Yardımı")*($AC$55)
+COUNTIF(L18,"Yok")*(0)
+COUNTIF(L18,"Bayram Yardımı (Kurban)")*($AC$42)
+COUNTIF(L18,"Bayram Yardımı (Ramazan)")*($AC$43)
+COUNTIF(L18,"Cenaze Yardımı (Anne-Baba)")*($AC$44)
+COUNTIF(L18,"Cenaze Yardımı (Eş-Çocuk)")*($AC$45)
+COUNTIF(L18,"Cenaze Yardımı (İşçi-İş Kazası Sonucu)")*($AC$46)
+COUNTIF(L18,"Cenaze Yardımı (İşçi-Tabii Sebepler Sonucu)")*($AC$47)
+COUNTIF(L18,"Doğal Afet Yardımı")*($AC$48)
+COUNTIF(L18,"Eğitim Yardımı (Çocuk-İlköğretim)")*($AC$49)
+COUNTIF(L18,"Eğitim Yardımı (Çocuk-Ortaöğretim)")*($AC$50)
+COUNTIF(L18,"Eğitim Yardımı (Çocuk-Lise)")*($AC$51)
+COUNTIF(L18,"Eğitim Yardımı (Çocuk-Yükseköğretim)")*($AC$52)
+COUNTIF(L18,"Eğitim Yardımı (İşçi-Lise)")*($AC$53)
+COUNTIF(L18,"Eğitim Yardımı (İşçi-Yükseköğretim)")*($AC$54)
+COUNTIF(L18,"Evlilik Yardımı")*($AC$55)</f>
        <v>0</v>
      </c>
      <c r="AF46" s="64">
        <f>COUNTIF(J18,"Yok")*(0)
+COUNTIF(J18,"Bayram Yardımı (Kurban)")*(0)
+COUNTIF(J18,"Bayram Yardımı (Ramazan)")*(0)
+COUNTIF(J18,"Cenaze Yardımı (Anne-Baba)")*($AC$44)
+COUNTIF(J18,"Cenaze Yardımı (Eş-Çocuk)")*($AC$45)
+COUNTIF(J18,"Cenaze Yardımı (İşçi-İş Kazası Sonucu)")*($AC$46)
+COUNTIF(J18,"Cenaze Yardımı (İşçi-Tabii Sebepler Sonucu)")*($AC$47)
+COUNTIF(J18,"Doğal Afet Yardımı")*($AC$48)
+COUNTIF(J18,"Eğitim Yardımı (Çocuk-İlköğretim)")*(0)
+COUNTIF(J18,"Eğitim Yardımı (Çocuk-Ortaöğretim)")*(0)
+COUNTIF(J18,"Eğitim Yardımı (Çocuk-Lise)")*(0)
+COUNTIF(J18,"Eğitim Yardımı (Çocuk-Yükseköğretim)")*(0)
+COUNTIF(J18,"Eğitim Yardımı (İşçi-Lise)")*(0)
+COUNTIF(J18,"Eğitim Yardımı (İşçi-Yükseköğretim)")*(0)
+COUNTIF(J18,"Evlilik Yardımı")*($AC$55)
+COUNTIF(K18,"Yok")*(0)
+COUNTIF(K18,"Bayram Yardımı (Kurban)")*(0)
+COUNTIF(K18,"Bayram Yardımı (Ramazan)")*(0)
+COUNTIF(K18,"Cenaze Yardımı (Anne-Baba)")*($AC$44)
+COUNTIF(K18,"Cenaze Yardımı (Eş-Çocuk)")*($AC$45)
+COUNTIF(K18,"Cenaze Yardımı (İşçi-İş Kazası Sonucu)")*($AC$46)
+COUNTIF(K18,"Cenaze Yardımı (İşçi-Tabii Sebepler Sonucu)")*($AC$47)
+COUNTIF(K18,"Doğal Afet Yardımı")*($AC$48)
+COUNTIF(K18,"Eğitim Yardımı (Çocuk-İlköğretim)")*(0)
+COUNTIF(K18,"Eğitim Yardımı (Çocuk-Ortaöğretim)")*(0)
+COUNTIF(K18,"Eğitim Yardımı (Çocuk-Lise)")*(0)
+COUNTIF(K18,"Eğitim Yardımı (Çocuk-Yükseköğretim)")*(0)
+COUNTIF(K18,"Eğitim Yardımı (İşçi-Lise)")*(0)
+COUNTIF(K18,"Eğitim Yardımı (İşçi-Yükseköğretim)")*(0)
+COUNTIF(K18,"Evlilik Yardımı")*($AC$55)
+COUNTIF(L18,"Yok")*(0)
+COUNTIF(L18,"Bayram Yardımı (Kurban)")*(0)
+COUNTIF(L18,"Bayram Yardımı (Ramazan)")*(0)
+COUNTIF(L18,"Cenaze Yardımı (Anne-Baba)")*($AC$44)
+COUNTIF(L18,"Cenaze Yardımı (Eş-Çocuk)")*($AC$45)
+COUNTIF(L18,"Cenaze Yardımı (İşçi-İş Kazası Sonucu)")*($AC$46)
+COUNTIF(L18,"Cenaze Yardımı (İşçi-Tabii Sebepler Sonucu)")*($AC$47)
+COUNTIF(L18,"Doğal Afet Yardımı")*($AC$48)
+COUNTIF(L18,"Eğitim Yardımı (Çocuk-İlköğretim)")*(0)
+COUNTIF(L18,"Eğitim Yardımı (Çocuk-Ortaöğretim)")*(0)
+COUNTIF(L18,"Eğitim Yardımı (Çocuk-Lise)")*(0)
+COUNTIF(L18,"Eğitim Yardımı (Çocuk-Yükseköğretim)")*(0)
+COUNTIF(L18,"Eğitim Yardımı (İşçi-Lise)")*(0)
+COUNTIF(L18,"Eğitim Yardımı (İşçi-Yükseköğretim)")*(0)
+COUNTIF(L18,"Evlilik Yardımı")*($AC$55)</f>
        <v>0</v>
      </c>
      <c r="AG46" s="64">
        <f ca="1">COUNTIF(J18,"Yok")*(0)
+COUNTIF(J18,"Bayram Yardımı (Kurban)")*($AC$42*AY76)
+COUNTIF(J18,"Bayram Yardımı (Ramazan)")*($AC$43*AY76)
+COUNTIF(J18,"Cenaze Yardımı (Anne-Baba)")*($AC$44-$AC$44*0.00759)
+COUNTIF(J18,"Cenaze Yardımı (Eş-Çocuk)")*($AC$45-$AC$45*0.00759)
+COUNTIF(J18,"Cenaze Yardımı (İşçi-İş Kazası Sonucu)")*($AC$46-$AC$46*0.00759)
+COUNTIF(J18,"Cenaze Yardımı (İşçi-Tabii Sebepler Sonucu)")*($AC$47-$AC$47*0.00759)
+COUNTIF(J18,"Doğal Afet Yardımı")*($AC$48-$AC$48*0.00759)
+COUNTIF(J18,"Eğitim Yardımı (Çocuk-İlköğretim)")*($AC$49*AY76)
+COUNTIF(J18,"Eğitim Yardımı (Çocuk-Ortaöğretim)")*($AC$50*AY76)
+COUNTIF(J18,"Eğitim Yardımı (Çocuk-Lise)")*($AC$51*AY76)
+COUNTIF(J18,"Eğitim Yardımı (Çocuk-Yükseköğretim)")*($AC$52*AY76)
+COUNTIF(J18,"Eğitim Yardımı (İşçi-Lise)")*($AC$53*AY76)
+COUNTIF(J18,"Eğitim Yardımı (İşçi-Yükseköğretim)")*($AC$54*AY76)
+COUNTIF(J18,"Evlilik Yardımı")*($AC$55-$AC$55*0.00759)
+COUNTIF(K18,"Yok")*(0)
+COUNTIF(K18,"Bayram Yardımı (Kurban)")*($AC$42*AY76)
+COUNTIF(K18,"Bayram Yardımı (Ramazan)")*($AC$43*AY76)
+COUNTIF(K18,"Cenaze Yardımı (Anne-Baba)")*($AC$44-$AC$44*0.00759)
+COUNTIF(K18,"Cenaze Yardımı (Eş-Çocuk)")*($AC$45-$AC$45*0.00759)
+COUNTIF(K18,"Cenaze Yardımı (İşçi-İş Kazası Sonucu)")*($AC$46-$AC$46*0.00759)
+COUNTIF(K18,"Cenaze Yardımı (İşçi-Tabii Sebepler Sonucu)")*($AC$47-$AC$47*0.00759)
+COUNTIF(K18,"Doğal Afet Yardımı")*($AC$48-$AC$48*0.00759)
+COUNTIF(K18,"Eğitim Yardımı (Çocuk-İlköğretim)")*($AC$49*AY76)
+COUNTIF(K18,"Eğitim Yardımı (Çocuk-Ortaöğretim)")*($AC$50*AY76)
+COUNTIF(K18,"Eğitim Yardımı (Çocuk-Lise)")*($AC$51*AY76)
+COUNTIF(K18,"Eğitim Yardımı (Çocuk-Yükseköğretim)")*($AC$52*AY76)
+COUNTIF(K18,"Eğitim Yardımı (İşçi-Lise)")*($AC$53*AY76)
+COUNTIF(K18,"Eğitim Yardımı (İşçi-Yükseköğretim)")*($AC$54*AY76)
+COUNTIF(K18,"Evlilik Yardımı")*($AC$55-$AC$55*0.00759)
+COUNTIF(L18,"Yok")*(0)
+COUNTIF(L18,"Bayram Yardımı (Kurban)")*($AC$42*AY76)
+COUNTIF(L18,"Bayram Yardımı (Ramazan)")*($AC$43*AY76)
+COUNTIF(L18,"Cenaze Yardımı (Anne-Baba)")*($AC$44-$AC$44*0.00759)
+COUNTIF(L18,"Cenaze Yardımı (Eş-Çocuk)")*($AC$45-$AC$45*0.00759)
+COUNTIF(L18,"Cenaze Yardımı (İşçi-İş Kazası Sonucu)")*($AC$46-$AC$46*0.00759)
+COUNTIF(L18,"Cenaze Yardımı (İşçi-Tabii Sebepler Sonucu)")*($AC$47-$AC$47*0.00759)
+COUNTIF(L18,"Doğal Afet Yardımı")*($AC$48-$AC$48*0.00759)
+COUNTIF(L18,"Eğitim Yardımı (Çocuk-İlköğretim)")*($AC$49*AY76)
+COUNTIF(L18,"Eğitim Yardımı (Çocuk-Ortaöğretim)")*($AC$50*AY76)
+COUNTIF(L18,"Eğitim Yardımı (Çocuk-Lise)")*($AC$51*AY76)
+COUNTIF(L18,"Eğitim Yardımı (Çocuk-Yükseköğretim)")*($AC$52*AY76)
+COUNTIF(L18,"Eğitim Yardımı (İşçi-Lise)")*($AC$53*AY76)
+COUNTIF(L18,"Eğitim Yardımı (İşçi-Yükseköğretim)")*($AC$54*AY76)
+COUNTIF(L18,"Evlilik Yardımı")*($AC$55-$AC$55*0.00759)</f>
        <v>0</v>
      </c>
      <c r="AH46" s="54" t="s">
        <v>7</v>
      </c>
      <c r="AI46" s="43">
        <f>COUNTIF(AH46,"Var")*(AJ18*-1)</f>
        <v>-2115.17</v>
      </c>
      <c r="AJ46" s="43">
        <f t="shared" si="73"/>
        <v>2115.17</v>
      </c>
      <c r="AK46" s="64">
        <f ca="1">(AK76*M18+AL46)*-1</f>
        <v>0</v>
      </c>
      <c r="AL46" s="64">
        <f>(AR18+AT18+AV18+AX18+AF4-AM4)*(M18*-1)</f>
        <v>0</v>
      </c>
      <c r="AM46" s="64">
        <f t="shared" ca="1" si="74"/>
        <v>0</v>
      </c>
      <c r="BD46" s="42">
        <v>44</v>
      </c>
      <c r="BE46" s="46">
        <v>22</v>
      </c>
      <c r="BF46" s="47">
        <v>0.46</v>
      </c>
    </row>
    <row r="47" spans="24:58" ht="39.950000000000003" hidden="1" customHeight="1" x14ac:dyDescent="0.25">
      <c r="AA47" s="55" t="s">
        <v>53</v>
      </c>
      <c r="AB47" s="64">
        <v>7327.05</v>
      </c>
      <c r="AC47" s="64">
        <v>7327.05</v>
      </c>
      <c r="AE47" s="64">
        <f>COUNTIF(J19,"Yok")*(0)
+COUNTIF(J19,"Bayram Yardımı (Kurban)")*($AC$42)
+COUNTIF(J19,"Bayram Yardımı (Ramazan)")*($AC$43)
+COUNTIF(J19,"Cenaze Yardımı (Anne-Baba)")*($AC$44)
+COUNTIF(J19,"Cenaze Yardımı (Eş-Çocuk)")*($AC$45)
+COUNTIF(J19,"Cenaze Yardımı (İşçi-İş Kazası Sonucu)")*($AC$46)
+COUNTIF(J19,"Cenaze Yardımı (İşçi-Tabii Sebepler Sonucu)")*($AC$47)
+COUNTIF(J19,"Doğal Afet Yardımı")*($AC$48)
+COUNTIF(J19,"Eğitim Yardımı (Çocuk-İlköğretim)")*($AC$49)
+COUNTIF(J19,"Eğitim Yardımı (Çocuk-Ortaöğretim)")*($AC$50)
+COUNTIF(J19,"Eğitim Yardımı (Çocuk-Lise)")*($AC$51)
+COUNTIF(J19,"Eğitim Yardımı (Çocuk-Yükseköğretim)")*($AC$52)
+COUNTIF(J19,"Eğitim Yardımı (İşçi-Lise)")*($AC$53)
+COUNTIF(J19,"Eğitim Yardımı (İşçi-Yükseköğretim)")*($AC$54)
+COUNTIF(J19,"Evlilik Yardımı")*($AC$55)
+COUNTIF(K19,"Yok")*(0)
+COUNTIF(K19,"Bayram Yardımı (Kurban)")*($AC$42)
+COUNTIF(K19,"Bayram Yardımı (Ramazan)")*($AC$43)
+COUNTIF(K19,"Cenaze Yardımı (Anne-Baba)")*($AC$44)
+COUNTIF(K19,"Cenaze Yardımı (Eş-Çocuk)")*($AC$45)
+COUNTIF(K19,"Cenaze Yardımı (İşçi-İş Kazası Sonucu)")*($AC$46)
+COUNTIF(K19,"Cenaze Yardımı (İşçi-Tabii Sebepler Sonucu)")*($AC$47)
+COUNTIF(K19,"Doğal Afet Yardımı")*($AC$48)
+COUNTIF(K19,"Eğitim Yardımı (Çocuk-İlköğretim)")*($AC$49)
+COUNTIF(K19,"Eğitim Yardımı (Çocuk-Ortaöğretim)")*($AC$50)
+COUNTIF(K19,"Eğitim Yardımı (Çocuk-Lise)")*($AC$51)
+COUNTIF(K19,"Eğitim Yardımı (Çocuk-Yükseköğretim)")*($AC$52)
+COUNTIF(K19,"Eğitim Yardımı (İşçi-Lise)")*($AC$53)
+COUNTIF(K19,"Eğitim Yardımı (İşçi-Yükseköğretim)")*($AC$54)
+COUNTIF(K19,"Evlilik Yardımı")*($AC$55)
+COUNTIF(L19,"Yok")*(0)
+COUNTIF(L19,"Bayram Yardımı (Kurban)")*($AC$42)
+COUNTIF(L19,"Bayram Yardımı (Ramazan)")*($AC$43)
+COUNTIF(L19,"Cenaze Yardımı (Anne-Baba)")*($AC$44)
+COUNTIF(L19,"Cenaze Yardımı (Eş-Çocuk)")*($AC$45)
+COUNTIF(L19,"Cenaze Yardımı (İşçi-İş Kazası Sonucu)")*($AC$46)
+COUNTIF(L19,"Cenaze Yardımı (İşçi-Tabii Sebepler Sonucu)")*($AC$47)
+COUNTIF(L19,"Doğal Afet Yardımı")*($AC$48)
+COUNTIF(L19,"Eğitim Yardımı (Çocuk-İlköğretim)")*($AC$49)
+COUNTIF(L19,"Eğitim Yardımı (Çocuk-Ortaöğretim)")*($AC$50)
+COUNTIF(L19,"Eğitim Yardımı (Çocuk-Lise)")*($AC$51)
+COUNTIF(L19,"Eğitim Yardımı (Çocuk-Yükseköğretim)")*($AC$52)
+COUNTIF(L19,"Eğitim Yardımı (İşçi-Lise)")*($AC$53)
+COUNTIF(L19,"Eğitim Yardımı (İşçi-Yükseköğretim)")*($AC$54)
+COUNTIF(L19,"Evlilik Yardımı")*($AC$55)</f>
        <v>0</v>
      </c>
      <c r="AF47" s="64">
        <f>COUNTIF(J19,"Yok")*(0)
+COUNTIF(J19,"Bayram Yardımı (Kurban)")*(0)
+COUNTIF(J19,"Bayram Yardımı (Ramazan)")*(0)
+COUNTIF(J19,"Cenaze Yardımı (Anne-Baba)")*($AC$44)
+COUNTIF(J19,"Cenaze Yardımı (Eş-Çocuk)")*($AC$45)
+COUNTIF(J19,"Cenaze Yardımı (İşçi-İş Kazası Sonucu)")*($AC$46)
+COUNTIF(J19,"Cenaze Yardımı (İşçi-Tabii Sebepler Sonucu)")*($AC$47)
+COUNTIF(J19,"Doğal Afet Yardımı")*($AC$48)
+COUNTIF(J19,"Eğitim Yardımı (Çocuk-İlköğretim)")*(0)
+COUNTIF(J19,"Eğitim Yardımı (Çocuk-Ortaöğretim)")*(0)
+COUNTIF(J19,"Eğitim Yardımı (Çocuk-Lise)")*(0)
+COUNTIF(J19,"Eğitim Yardımı (Çocuk-Yükseköğretim)")*(0)
+COUNTIF(J19,"Eğitim Yardımı (İşçi-Lise)")*(0)
+COUNTIF(J19,"Eğitim Yardımı (İşçi-Yükseköğretim)")*(0)
+COUNTIF(J19,"Evlilik Yardımı")*($AC$55)
+COUNTIF(K19,"Yok")*(0)
+COUNTIF(K19,"Bayram Yardımı (Kurban)")*(0)
+COUNTIF(K19,"Bayram Yardımı (Ramazan)")*(0)
+COUNTIF(K19,"Cenaze Yardımı (Anne-Baba)")*($AC$44)
+COUNTIF(K19,"Cenaze Yardımı (Eş-Çocuk)")*($AC$45)
+COUNTIF(K19,"Cenaze Yardımı (İşçi-İş Kazası Sonucu)")*($AC$46)
+COUNTIF(K19,"Cenaze Yardımı (İşçi-Tabii Sebepler Sonucu)")*($AC$47)
+COUNTIF(K19,"Doğal Afet Yardımı")*($AC$48)
+COUNTIF(K19,"Eğitim Yardımı (Çocuk-İlköğretim)")*(0)
+COUNTIF(K19,"Eğitim Yardımı (Çocuk-Ortaöğretim)")*(0)
+COUNTIF(K19,"Eğitim Yardımı (Çocuk-Lise)")*(0)
+COUNTIF(K19,"Eğitim Yardımı (Çocuk-Yükseköğretim)")*(0)
+COUNTIF(K19,"Eğitim Yardımı (İşçi-Lise)")*(0)
+COUNTIF(K19,"Eğitim Yardımı (İşçi-Yükseköğretim)")*(0)
+COUNTIF(K19,"Evlilik Yardımı")*($AC$55)
+COUNTIF(L19,"Yok")*(0)
+COUNTIF(L19,"Bayram Yardımı (Kurban)")*(0)
+COUNTIF(L19,"Bayram Yardımı (Ramazan)")*(0)
+COUNTIF(L19,"Cenaze Yardımı (Anne-Baba)")*($AC$44)
+COUNTIF(L19,"Cenaze Yardımı (Eş-Çocuk)")*($AC$45)
+COUNTIF(L19,"Cenaze Yardımı (İşçi-İş Kazası Sonucu)")*($AC$46)
+COUNTIF(L19,"Cenaze Yardımı (İşçi-Tabii Sebepler Sonucu)")*($AC$47)
+COUNTIF(L19,"Doğal Afet Yardımı")*($AC$48)
+COUNTIF(L19,"Eğitim Yardımı (Çocuk-İlköğretim)")*(0)
+COUNTIF(L19,"Eğitim Yardımı (Çocuk-Ortaöğretim)")*(0)
+COUNTIF(L19,"Eğitim Yardımı (Çocuk-Lise)")*(0)
+COUNTIF(L19,"Eğitim Yardımı (Çocuk-Yükseköğretim)")*(0)
+COUNTIF(L19,"Eğitim Yardımı (İşçi-Lise)")*(0)
+COUNTIF(L19,"Eğitim Yardımı (İşçi-Yükseköğretim)")*(0)
+COUNTIF(L19,"Evlilik Yardımı")*($AC$55)</f>
        <v>0</v>
      </c>
      <c r="AG47" s="64">
        <f ca="1">COUNTIF(J19,"Yok")*(0)
+COUNTIF(J19,"Bayram Yardımı (Kurban)")*($AC$42*AY77)
+COUNTIF(J19,"Bayram Yardımı (Ramazan)")*($AC$43*AY77)
+COUNTIF(J19,"Cenaze Yardımı (Anne-Baba)")*($AC$44-$AC$44*0.00759)
+COUNTIF(J19,"Cenaze Yardımı (Eş-Çocuk)")*($AC$45-$AC$45*0.00759)
+COUNTIF(J19,"Cenaze Yardımı (İşçi-İş Kazası Sonucu)")*($AC$46-$AC$46*0.00759)
+COUNTIF(J19,"Cenaze Yardımı (İşçi-Tabii Sebepler Sonucu)")*($AC$47-$AC$47*0.00759)
+COUNTIF(J19,"Doğal Afet Yardımı")*($AC$48-$AC$48*0.00759)
+COUNTIF(J19,"Eğitim Yardımı (Çocuk-İlköğretim)")*($AC$49*AY77)
+COUNTIF(J19,"Eğitim Yardımı (Çocuk-Ortaöğretim)")*($AC$50*AY77)
+COUNTIF(J19,"Eğitim Yardımı (Çocuk-Lise)")*($AC$51*AY77)
+COUNTIF(J19,"Eğitim Yardımı (Çocuk-Yükseköğretim)")*($AC$52*AY77)
+COUNTIF(J19,"Eğitim Yardımı (İşçi-Lise)")*($AC$53*AY77)
+COUNTIF(J19,"Eğitim Yardımı (İşçi-Yükseköğretim)")*($AC$54*AY77)
+COUNTIF(J19,"Evlilik Yardımı")*($AC$55-$AC$55*0.00759)
+COUNTIF(K19,"Yok")*(0)
+COUNTIF(K19,"Bayram Yardımı (Kurban)")*($AC$42*AY77)
+COUNTIF(K19,"Bayram Yardımı (Ramazan)")*($AC$43*AY77)
+COUNTIF(K19,"Cenaze Yardımı (Anne-Baba)")*($AC$44-$AC$44*0.00759)
+COUNTIF(K19,"Cenaze Yardımı (Eş-Çocuk)")*($AC$45-$AC$45*0.00759)
+COUNTIF(K19,"Cenaze Yardımı (İşçi-İş Kazası Sonucu)")*($AC$46-$AC$46*0.00759)
+COUNTIF(K19,"Cenaze Yardımı (İşçi-Tabii Sebepler Sonucu)")*($AC$47-$AC$47*0.00759)
+COUNTIF(K19,"Doğal Afet Yardımı")*($AC$48-$AC$48*0.00759)
+COUNTIF(K19,"Eğitim Yardımı (Çocuk-İlköğretim)")*($AC$49*AY77)
+COUNTIF(K19,"Eğitim Yardımı (Çocuk-Ortaöğretim)")*($AC$50*AY77)
+COUNTIF(K19,"Eğitim Yardımı (Çocuk-Lise)")*($AC$51*AY77)
+COUNTIF(K19,"Eğitim Yardımı (Çocuk-Yükseköğretim)")*($AC$52*AY77)
+COUNTIF(K19,"Eğitim Yardımı (İşçi-Lise)")*($AC$53*AY77)
+COUNTIF(K19,"Eğitim Yardımı (İşçi-Yükseköğretim)")*($AC$54*AY77)
+COUNTIF(K19,"Evlilik Yardımı")*($AC$55-$AC$55*0.00759)
+COUNTIF(L19,"Yok")*(0)
+COUNTIF(L19,"Bayram Yardımı (Kurban)")*($AC$42*AY77)
+COUNTIF(L19,"Bayram Yardımı (Ramazan)")*($AC$43*AY77)
+COUNTIF(L19,"Cenaze Yardımı (Anne-Baba)")*($AC$44-$AC$44*0.00759)
+COUNTIF(L19,"Cenaze Yardımı (Eş-Çocuk)")*($AC$45-$AC$45*0.00759)
+COUNTIF(L19,"Cenaze Yardımı (İşçi-İş Kazası Sonucu)")*($AC$46-$AC$46*0.00759)
+COUNTIF(L19,"Cenaze Yardımı (İşçi-Tabii Sebepler Sonucu)")*($AC$47-$AC$47*0.00759)
+COUNTIF(L19,"Doğal Afet Yardımı")*($AC$48-$AC$48*0.00759)
+COUNTIF(L19,"Eğitim Yardımı (Çocuk-İlköğretim)")*($AC$49*AY77)
+COUNTIF(L19,"Eğitim Yardımı (Çocuk-Ortaöğretim)")*($AC$50*AY77)
+COUNTIF(L19,"Eğitim Yardımı (Çocuk-Lise)")*($AC$51*AY77)
+COUNTIF(L19,"Eğitim Yardımı (Çocuk-Yükseköğretim)")*($AC$52*AY77)
+COUNTIF(L19,"Eğitim Yardımı (İşçi-Lise)")*($AC$53*AY77)
+COUNTIF(L19,"Eğitim Yardımı (İşçi-Yükseköğretim)")*($AC$54*AY77)
+COUNTIF(L19,"Evlilik Yardımı")*($AC$55-$AC$55*0.00759)</f>
        <v>0</v>
      </c>
      <c r="AH47" s="54" t="s">
        <v>7</v>
      </c>
      <c r="AI47" s="43">
        <f>COUNTIF(AH47,"Var")*(AJ19*-1)</f>
        <v>-2115.17</v>
      </c>
      <c r="AJ47" s="43">
        <f t="shared" si="73"/>
        <v>2115.17</v>
      </c>
      <c r="AK47" s="64">
        <f ca="1">(AK77*M19+AL47)*-1</f>
        <v>0</v>
      </c>
      <c r="AL47" s="64">
        <f>(AR19+AT19+AV19+AX19+AF5-AM5)*(M19*-1)</f>
        <v>0</v>
      </c>
      <c r="AM47" s="64">
        <f t="shared" ca="1" si="74"/>
        <v>0</v>
      </c>
      <c r="BD47" s="42">
        <v>45</v>
      </c>
      <c r="BE47" s="46">
        <v>22.5</v>
      </c>
      <c r="BF47" s="47">
        <v>0.47</v>
      </c>
    </row>
    <row r="48" spans="24:58" ht="39.950000000000003" hidden="1" customHeight="1" x14ac:dyDescent="0.25">
      <c r="AA48" s="55" t="s">
        <v>2</v>
      </c>
      <c r="AB48" s="64">
        <v>9124.25</v>
      </c>
      <c r="AC48" s="64">
        <v>9124.25</v>
      </c>
      <c r="AE48" s="64">
        <f>COUNTIF(J20,"Yok")*(0)
+COUNTIF(J20,"Bayram Yardımı (Kurban)")*($AC$42)
+COUNTIF(J20,"Bayram Yardımı (Ramazan)")*($AC$43)
+COUNTIF(J20,"Cenaze Yardımı (Anne-Baba)")*($AC$44)
+COUNTIF(J20,"Cenaze Yardımı (Eş-Çocuk)")*($AC$45)
+COUNTIF(J20,"Cenaze Yardımı (İşçi-İş Kazası Sonucu)")*($AC$46)
+COUNTIF(J20,"Cenaze Yardımı (İşçi-Tabii Sebepler Sonucu)")*($AC$47)
+COUNTIF(J20,"Doğal Afet Yardımı")*($AC$48)
+COUNTIF(J20,"Eğitim Yardımı (Çocuk-İlköğretim)")*($AC$49)
+COUNTIF(J20,"Eğitim Yardımı (Çocuk-Ortaöğretim)")*($AC$50)
+COUNTIF(J20,"Eğitim Yardımı (Çocuk-Lise)")*($AC$51)
+COUNTIF(J20,"Eğitim Yardımı (Çocuk-Yükseköğretim)")*($AC$52)
+COUNTIF(J20,"Eğitim Yardımı (İşçi-Lise)")*($AC$53)
+COUNTIF(J20,"Eğitim Yardımı (İşçi-Yükseköğretim)")*($AC$54)
+COUNTIF(J20,"Evlilik Yardımı")*($AC$55)
+COUNTIF(K20,"Yok")*(0)
+COUNTIF(K20,"Bayram Yardımı (Kurban)")*($AC$42)
+COUNTIF(K20,"Bayram Yardımı (Ramazan)")*($AC$43)
+COUNTIF(K20,"Cenaze Yardımı (Anne-Baba)")*($AC$44)
+COUNTIF(K20,"Cenaze Yardımı (Eş-Çocuk)")*($AC$45)
+COUNTIF(K20,"Cenaze Yardımı (İşçi-İş Kazası Sonucu)")*($AC$46)
+COUNTIF(K20,"Cenaze Yardımı (İşçi-Tabii Sebepler Sonucu)")*($AC$47)
+COUNTIF(K20,"Doğal Afet Yardımı")*($AC$48)
+COUNTIF(K20,"Eğitim Yardımı (Çocuk-İlköğretim)")*($AC$49)
+COUNTIF(K20,"Eğitim Yardımı (Çocuk-Ortaöğretim)")*($AC$50)
+COUNTIF(K20,"Eğitim Yardımı (Çocuk-Lise)")*($AC$51)
+COUNTIF(K20,"Eğitim Yardımı (Çocuk-Yükseköğretim)")*($AC$52)
+COUNTIF(K20,"Eğitim Yardımı (İşçi-Lise)")*($AC$53)
+COUNTIF(K20,"Eğitim Yardımı (İşçi-Yükseköğretim)")*($AC$54)
+COUNTIF(K20,"Evlilik Yardımı")*($AC$55)
+COUNTIF(L20,"Yok")*(0)
+COUNTIF(L20,"Bayram Yardımı (Kurban)")*($AC$42)
+COUNTIF(L20,"Bayram Yardımı (Ramazan)")*($AC$43)
+COUNTIF(L20,"Cenaze Yardımı (Anne-Baba)")*($AC$44)
+COUNTIF(L20,"Cenaze Yardımı (Eş-Çocuk)")*($AC$45)
+COUNTIF(L20,"Cenaze Yardımı (İşçi-İş Kazası Sonucu)")*($AC$46)
+COUNTIF(L20,"Cenaze Yardımı (İşçi-Tabii Sebepler Sonucu)")*($AC$47)
+COUNTIF(L20,"Doğal Afet Yardımı")*($AC$48)
+COUNTIF(L20,"Eğitim Yardımı (Çocuk-İlköğretim)")*($AC$49)
+COUNTIF(L20,"Eğitim Yardımı (Çocuk-Ortaöğretim)")*($AC$50)
+COUNTIF(L20,"Eğitim Yardımı (Çocuk-Lise)")*($AC$51)
+COUNTIF(L20,"Eğitim Yardımı (Çocuk-Yükseköğretim)")*($AC$52)
+COUNTIF(L20,"Eğitim Yardımı (İşçi-Lise)")*($AC$53)
+COUNTIF(L20,"Eğitim Yardımı (İşçi-Yükseköğretim)")*($AC$54)
+COUNTIF(L20,"Evlilik Yardımı")*($AC$55)</f>
        <v>0</v>
      </c>
      <c r="AF48" s="64">
        <f>COUNTIF(J20,"Yok")*(0)
+COUNTIF(J20,"Bayram Yardımı (Kurban)")*(0)
+COUNTIF(J20,"Bayram Yardımı (Ramazan)")*(0)
+COUNTIF(J20,"Cenaze Yardımı (Anne-Baba)")*($AC$44)
+COUNTIF(J20,"Cenaze Yardımı (Eş-Çocuk)")*($AC$45)
+COUNTIF(J20,"Cenaze Yardımı (İşçi-İş Kazası Sonucu)")*($AC$46)
+COUNTIF(J20,"Cenaze Yardımı (İşçi-Tabii Sebepler Sonucu)")*($AC$47)
+COUNTIF(J20,"Doğal Afet Yardımı")*($AC$48)
+COUNTIF(J20,"Eğitim Yardımı (Çocuk-İlköğretim)")*(0)
+COUNTIF(J20,"Eğitim Yardımı (Çocuk-Ortaöğretim)")*(0)
+COUNTIF(J20,"Eğitim Yardımı (Çocuk-Lise)")*(0)
+COUNTIF(J20,"Eğitim Yardımı (Çocuk-Yükseköğretim)")*(0)
+COUNTIF(J20,"Eğitim Yardımı (İşçi-Lise)")*(0)
+COUNTIF(J20,"Eğitim Yardımı (İşçi-Yükseköğretim)")*(0)
+COUNTIF(J20,"Evlilik Yardımı")*($AC$55)
+COUNTIF(K20,"Yok")*(0)
+COUNTIF(K20,"Bayram Yardımı (Kurban)")*(0)
+COUNTIF(K20,"Bayram Yardımı (Ramazan)")*(0)
+COUNTIF(K20,"Cenaze Yardımı (Anne-Baba)")*($AC$44)
+COUNTIF(K20,"Cenaze Yardımı (Eş-Çocuk)")*($AC$45)
+COUNTIF(K20,"Cenaze Yardımı (İşçi-İş Kazası Sonucu)")*($AC$46)
+COUNTIF(K20,"Cenaze Yardımı (İşçi-Tabii Sebepler Sonucu)")*($AC$47)
+COUNTIF(K20,"Doğal Afet Yardımı")*($AC$48)
+COUNTIF(K20,"Eğitim Yardımı (Çocuk-İlköğretim)")*(0)
+COUNTIF(K20,"Eğitim Yardımı (Çocuk-Ortaöğretim)")*(0)
+COUNTIF(K20,"Eğitim Yardımı (Çocuk-Lise)")*(0)
+COUNTIF(K20,"Eğitim Yardımı (Çocuk-Yükseköğretim)")*(0)
+COUNTIF(K20,"Eğitim Yardımı (İşçi-Lise)")*(0)
+COUNTIF(K20,"Eğitim Yardımı (İşçi-Yükseköğretim)")*(0)
+COUNTIF(K20,"Evlilik Yardımı")*($AC$55)
+COUNTIF(L20,"Yok")*(0)
+COUNTIF(L20,"Bayram Yardımı (Kurban)")*(0)
+COUNTIF(L20,"Bayram Yardımı (Ramazan)")*(0)
+COUNTIF(L20,"Cenaze Yardımı (Anne-Baba)")*($AC$44)
+COUNTIF(L20,"Cenaze Yardımı (Eş-Çocuk)")*($AC$45)
+COUNTIF(L20,"Cenaze Yardımı (İşçi-İş Kazası Sonucu)")*($AC$46)
+COUNTIF(L20,"Cenaze Yardımı (İşçi-Tabii Sebepler Sonucu)")*($AC$47)
+COUNTIF(L20,"Doğal Afet Yardımı")*($AC$48)
+COUNTIF(L20,"Eğitim Yardımı (Çocuk-İlköğretim)")*(0)
+COUNTIF(L20,"Eğitim Yardımı (Çocuk-Ortaöğretim)")*(0)
+COUNTIF(L20,"Eğitim Yardımı (Çocuk-Lise)")*(0)
+COUNTIF(L20,"Eğitim Yardımı (Çocuk-Yükseköğretim)")*(0)
+COUNTIF(L20,"Eğitim Yardımı (İşçi-Lise)")*(0)
+COUNTIF(L20,"Eğitim Yardımı (İşçi-Yükseköğretim)")*(0)
+COUNTIF(L20,"Evlilik Yardımı")*($AC$55)</f>
        <v>0</v>
      </c>
      <c r="AG48" s="64">
        <f ca="1">COUNTIF(J20,"Yok")*(0)
+COUNTIF(J20,"Bayram Yardımı (Kurban)")*($AC$42*AY78)
+COUNTIF(J20,"Bayram Yardımı (Ramazan)")*($AC$43*AY78)
+COUNTIF(J20,"Cenaze Yardımı (Anne-Baba)")*($AC$44-$AC$44*0.00759)
+COUNTIF(J20,"Cenaze Yardımı (Eş-Çocuk)")*($AC$45-$AC$45*0.00759)
+COUNTIF(J20,"Cenaze Yardımı (İşçi-İş Kazası Sonucu)")*($AC$46-$AC$46*0.00759)
+COUNTIF(J20,"Cenaze Yardımı (İşçi-Tabii Sebepler Sonucu)")*($AC$47-$AC$47*0.00759)
+COUNTIF(J20,"Doğal Afet Yardımı")*($AC$48-$AC$48*0.00759)
+COUNTIF(J20,"Eğitim Yardımı (Çocuk-İlköğretim)")*($AC$49*AY78)
+COUNTIF(J20,"Eğitim Yardımı (Çocuk-Ortaöğretim)")*($AC$50*AY78)
+COUNTIF(J20,"Eğitim Yardımı (Çocuk-Lise)")*($AC$51*AY78)
+COUNTIF(J20,"Eğitim Yardımı (Çocuk-Yükseköğretim)")*($AC$52*AY78)
+COUNTIF(J20,"Eğitim Yardımı (İşçi-Lise)")*($AC$53*AY78)
+COUNTIF(J20,"Eğitim Yardımı (İşçi-Yükseköğretim)")*($AC$54*AY78)
+COUNTIF(J20,"Evlilik Yardımı")*($AC$55-$AC$55*0.00759)
+COUNTIF(K20,"Yok")*(0)
+COUNTIF(K20,"Bayram Yardımı (Kurban)")*($AC$42*AY78)
+COUNTIF(K20,"Bayram Yardımı (Ramazan)")*($AC$43*AY78)
+COUNTIF(K20,"Cenaze Yardımı (Anne-Baba)")*($AC$44-$AC$44*0.00759)
+COUNTIF(K20,"Cenaze Yardımı (Eş-Çocuk)")*($AC$45-$AC$45*0.00759)
+COUNTIF(K20,"Cenaze Yardımı (İşçi-İş Kazası Sonucu)")*($AC$46-$AC$46*0.00759)
+COUNTIF(K20,"Cenaze Yardımı (İşçi-Tabii Sebepler Sonucu)")*($AC$47-$AC$47*0.00759)
+COUNTIF(K20,"Doğal Afet Yardımı")*($AC$48-$AC$48*0.00759)
+COUNTIF(K20,"Eğitim Yardımı (Çocuk-İlköğretim)")*($AC$49*AY78)
+COUNTIF(K20,"Eğitim Yardımı (Çocuk-Ortaöğretim)")*($AC$50*AY78)
+COUNTIF(K20,"Eğitim Yardımı (Çocuk-Lise)")*($AC$51*AY78)
+COUNTIF(K20,"Eğitim Yardımı (Çocuk-Yükseköğretim)")*($AC$52*AY78)
+COUNTIF(K20,"Eğitim Yardımı (İşçi-Lise)")*($AC$53*AY78)
+COUNTIF(K20,"Eğitim Yardımı (İşçi-Yükseköğretim)")*($AC$54*AY78)
+COUNTIF(K20,"Evlilik Yardımı")*($AC$55-$AC$55*0.00759)
+COUNTIF(L20,"Yok")*(0)
+COUNTIF(L20,"Bayram Yardımı (Kurban)")*($AC$42*AY78)
+COUNTIF(L20,"Bayram Yardımı (Ramazan)")*($AC$43*AY78)
+COUNTIF(L20,"Cenaze Yardımı (Anne-Baba)")*($AC$44-$AC$44*0.00759)
+COUNTIF(L20,"Cenaze Yardımı (Eş-Çocuk)")*($AC$45-$AC$45*0.00759)
+COUNTIF(L20,"Cenaze Yardımı (İşçi-İş Kazası Sonucu)")*($AC$46-$AC$46*0.00759)
+COUNTIF(L20,"Cenaze Yardımı (İşçi-Tabii Sebepler Sonucu)")*($AC$47-$AC$47*0.00759)
+COUNTIF(L20,"Doğal Afet Yardımı")*($AC$48-$AC$48*0.00759)
+COUNTIF(L20,"Eğitim Yardımı (Çocuk-İlköğretim)")*($AC$49*AY78)
+COUNTIF(L20,"Eğitim Yardımı (Çocuk-Ortaöğretim)")*($AC$50*AY78)
+COUNTIF(L20,"Eğitim Yardımı (Çocuk-Lise)")*($AC$51*AY78)
+COUNTIF(L20,"Eğitim Yardımı (Çocuk-Yükseköğretim)")*($AC$52*AY78)
+COUNTIF(L20,"Eğitim Yardımı (İşçi-Lise)")*($AC$53*AY78)
+COUNTIF(L20,"Eğitim Yardımı (İşçi-Yükseköğretim)")*($AC$54*AY78)
+COUNTIF(L20,"Evlilik Yardımı")*($AC$55-$AC$55*0.00759)</f>
        <v>0</v>
      </c>
      <c r="AH48" s="54" t="s">
        <v>7</v>
      </c>
      <c r="AI48" s="43">
        <f>COUNTIF(AH48,"Var")*(AJ20*-1)</f>
        <v>-2115.17</v>
      </c>
      <c r="AJ48" s="43">
        <f t="shared" si="73"/>
        <v>2115.17</v>
      </c>
      <c r="AK48" s="64">
        <f ca="1">(AK78*M20+AL48)*-1</f>
        <v>0</v>
      </c>
      <c r="AL48" s="64">
        <f>(AR20+AT20+AV20+AX20+AF6-AM6)*(M20*-1)</f>
        <v>0</v>
      </c>
      <c r="AM48" s="64">
        <f t="shared" ca="1" si="74"/>
        <v>0</v>
      </c>
      <c r="BD48" s="42">
        <v>46</v>
      </c>
      <c r="BE48" s="46">
        <v>23</v>
      </c>
      <c r="BF48" s="47">
        <v>0.48</v>
      </c>
    </row>
    <row r="49" spans="27:58" ht="39.950000000000003" hidden="1" customHeight="1" x14ac:dyDescent="0.25">
      <c r="AA49" s="55" t="s">
        <v>56</v>
      </c>
      <c r="AB49" s="64">
        <v>2131.62</v>
      </c>
      <c r="AC49" s="64">
        <v>2131.62</v>
      </c>
      <c r="AE49" s="64">
        <f>COUNTIF(J21,"Yok")*(0)
+COUNTIF(J21,"Bayram Yardımı (Kurban)")*($AC$42)
+COUNTIF(J21,"Bayram Yardımı (Ramazan)")*($AC$43)
+COUNTIF(J21,"Cenaze Yardımı (Anne-Baba)")*($AC$44)
+COUNTIF(J21,"Cenaze Yardımı (Eş-Çocuk)")*($AC$45)
+COUNTIF(J21,"Cenaze Yardımı (İşçi-İş Kazası Sonucu)")*($AC$46)
+COUNTIF(J21,"Cenaze Yardımı (İşçi-Tabii Sebepler Sonucu)")*($AC$47)
+COUNTIF(J21,"Doğal Afet Yardımı")*($AC$48)
+COUNTIF(J21,"Eğitim Yardımı (Çocuk-İlköğretim)")*($AC$49)
+COUNTIF(J21,"Eğitim Yardımı (Çocuk-Ortaöğretim)")*($AC$50)
+COUNTIF(J21,"Eğitim Yardımı (Çocuk-Lise)")*($AC$51)
+COUNTIF(J21,"Eğitim Yardımı (Çocuk-Yükseköğretim)")*($AC$52)
+COUNTIF(J21,"Eğitim Yardımı (İşçi-Lise)")*($AC$53)
+COUNTIF(J21,"Eğitim Yardımı (İşçi-Yükseköğretim)")*($AC$54)
+COUNTIF(J21,"Evlilik Yardımı")*($AC$55)
+COUNTIF(K21,"Yok")*(0)
+COUNTIF(K21,"Bayram Yardımı (Kurban)")*($AC$42)
+COUNTIF(K21,"Bayram Yardımı (Ramazan)")*($AC$43)
+COUNTIF(K21,"Cenaze Yardımı (Anne-Baba)")*($AC$44)
+COUNTIF(K21,"Cenaze Yardımı (Eş-Çocuk)")*($AC$45)
+COUNTIF(K21,"Cenaze Yardımı (İşçi-İş Kazası Sonucu)")*($AC$46)
+COUNTIF(K21,"Cenaze Yardımı (İşçi-Tabii Sebepler Sonucu)")*($AC$47)
+COUNTIF(K21,"Doğal Afet Yardımı")*($AC$48)
+COUNTIF(K21,"Eğitim Yardımı (Çocuk-İlköğretim)")*($AC$49)
+COUNTIF(K21,"Eğitim Yardımı (Çocuk-Ortaöğretim)")*($AC$50)
+COUNTIF(K21,"Eğitim Yardımı (Çocuk-Lise)")*($AC$51)
+COUNTIF(K21,"Eğitim Yardımı (Çocuk-Yükseköğretim)")*($AC$52)
+COUNTIF(K21,"Eğitim Yardımı (İşçi-Lise)")*($AC$53)
+COUNTIF(K21,"Eğitim Yardımı (İşçi-Yükseköğretim)")*($AC$54)
+COUNTIF(K21,"Evlilik Yardımı")*($AC$55)
+COUNTIF(L21,"Yok")*(0)
+COUNTIF(L21,"Bayram Yardımı (Kurban)")*($AC$42)
+COUNTIF(L21,"Bayram Yardımı (Ramazan)")*($AC$43)
+COUNTIF(L21,"Cenaze Yardımı (Anne-Baba)")*($AC$44)
+COUNTIF(L21,"Cenaze Yardımı (Eş-Çocuk)")*($AC$45)
+COUNTIF(L21,"Cenaze Yardımı (İşçi-İş Kazası Sonucu)")*($AC$46)
+COUNTIF(L21,"Cenaze Yardımı (İşçi-Tabii Sebepler Sonucu)")*($AC$47)
+COUNTIF(L21,"Doğal Afet Yardımı")*($AC$48)
+COUNTIF(L21,"Eğitim Yardımı (Çocuk-İlköğretim)")*($AC$49)
+COUNTIF(L21,"Eğitim Yardımı (Çocuk-Ortaöğretim)")*($AC$50)
+COUNTIF(L21,"Eğitim Yardımı (Çocuk-Lise)")*($AC$51)
+COUNTIF(L21,"Eğitim Yardımı (Çocuk-Yükseköğretim)")*($AC$52)
+COUNTIF(L21,"Eğitim Yardımı (İşçi-Lise)")*($AC$53)
+COUNTIF(L21,"Eğitim Yardımı (İşçi-Yükseköğretim)")*($AC$54)
+COUNTIF(L21,"Evlilik Yardımı")*($AC$55)</f>
        <v>0</v>
      </c>
      <c r="AF49" s="64">
        <f>COUNTIF(J21,"Yok")*(0)
+COUNTIF(J21,"Bayram Yardımı (Kurban)")*(0)
+COUNTIF(J21,"Bayram Yardımı (Ramazan)")*(0)
+COUNTIF(J21,"Cenaze Yardımı (Anne-Baba)")*($AC$44)
+COUNTIF(J21,"Cenaze Yardımı (Eş-Çocuk)")*($AC$45)
+COUNTIF(J21,"Cenaze Yardımı (İşçi-İş Kazası Sonucu)")*($AC$46)
+COUNTIF(J21,"Cenaze Yardımı (İşçi-Tabii Sebepler Sonucu)")*($AC$47)
+COUNTIF(J21,"Doğal Afet Yardımı")*($AC$48)
+COUNTIF(J21,"Eğitim Yardımı (Çocuk-İlköğretim)")*(0)
+COUNTIF(J21,"Eğitim Yardımı (Çocuk-Ortaöğretim)")*(0)
+COUNTIF(J21,"Eğitim Yardımı (Çocuk-Lise)")*(0)
+COUNTIF(J21,"Eğitim Yardımı (Çocuk-Yükseköğretim)")*(0)
+COUNTIF(J21,"Eğitim Yardımı (İşçi-Lise)")*(0)
+COUNTIF(J21,"Eğitim Yardımı (İşçi-Yükseköğretim)")*(0)
+COUNTIF(J21,"Evlilik Yardımı")*($AC$55)
+COUNTIF(K21,"Yok")*(0)
+COUNTIF(K21,"Bayram Yardımı (Kurban)")*(0)
+COUNTIF(K21,"Bayram Yardımı (Ramazan)")*(0)
+COUNTIF(K21,"Cenaze Yardımı (Anne-Baba)")*($AC$44)
+COUNTIF(K21,"Cenaze Yardımı (Eş-Çocuk)")*($AC$45)
+COUNTIF(K21,"Cenaze Yardımı (İşçi-İş Kazası Sonucu)")*($AC$46)
+COUNTIF(K21,"Cenaze Yardımı (İşçi-Tabii Sebepler Sonucu)")*($AC$47)
+COUNTIF(K21,"Doğal Afet Yardımı")*($AC$48)
+COUNTIF(K21,"Eğitim Yardımı (Çocuk-İlköğretim)")*(0)
+COUNTIF(K21,"Eğitim Yardımı (Çocuk-Ortaöğretim)")*(0)
+COUNTIF(K21,"Eğitim Yardımı (Çocuk-Lise)")*(0)
+COUNTIF(K21,"Eğitim Yardımı (Çocuk-Yükseköğretim)")*(0)
+COUNTIF(K21,"Eğitim Yardımı (İşçi-Lise)")*(0)
+COUNTIF(K21,"Eğitim Yardımı (İşçi-Yükseköğretim)")*(0)
+COUNTIF(K21,"Evlilik Yardımı")*($AC$55)
+COUNTIF(L21,"Yok")*(0)
+COUNTIF(L21,"Bayram Yardımı (Kurban)")*(0)
+COUNTIF(L21,"Bayram Yardımı (Ramazan)")*(0)
+COUNTIF(L21,"Cenaze Yardımı (Anne-Baba)")*($AC$44)
+COUNTIF(L21,"Cenaze Yardımı (Eş-Çocuk)")*($AC$45)
+COUNTIF(L21,"Cenaze Yardımı (İşçi-İş Kazası Sonucu)")*($AC$46)
+COUNTIF(L21,"Cenaze Yardımı (İşçi-Tabii Sebepler Sonucu)")*($AC$47)
+COUNTIF(L21,"Doğal Afet Yardımı")*($AC$48)
+COUNTIF(L21,"Eğitim Yardımı (Çocuk-İlköğretim)")*(0)
+COUNTIF(L21,"Eğitim Yardımı (Çocuk-Ortaöğretim)")*(0)
+COUNTIF(L21,"Eğitim Yardımı (Çocuk-Lise)")*(0)
+COUNTIF(L21,"Eğitim Yardımı (Çocuk-Yükseköğretim)")*(0)
+COUNTIF(L21,"Eğitim Yardımı (İşçi-Lise)")*(0)
+COUNTIF(L21,"Eğitim Yardımı (İşçi-Yükseköğretim)")*(0)
+COUNTIF(L21,"Evlilik Yardımı")*($AC$55)</f>
        <v>0</v>
      </c>
      <c r="AG49" s="64">
        <f ca="1">COUNTIF(J21,"Yok")*(0)
+COUNTIF(J21,"Bayram Yardımı (Kurban)")*($AC$42*AY79)
+COUNTIF(J21,"Bayram Yardımı (Ramazan)")*($AC$43*AY79)
+COUNTIF(J21,"Cenaze Yardımı (Anne-Baba)")*($AC$44-$AC$44*0.00759)
+COUNTIF(J21,"Cenaze Yardımı (Eş-Çocuk)")*($AC$45-$AC$45*0.00759)
+COUNTIF(J21,"Cenaze Yardımı (İşçi-İş Kazası Sonucu)")*($AC$46-$AC$46*0.00759)
+COUNTIF(J21,"Cenaze Yardımı (İşçi-Tabii Sebepler Sonucu)")*($AC$47-$AC$47*0.00759)
+COUNTIF(J21,"Doğal Afet Yardımı")*($AC$48-$AC$48*0.00759)
+COUNTIF(J21,"Eğitim Yardımı (Çocuk-İlköğretim)")*($AC$49*AY79)
+COUNTIF(J21,"Eğitim Yardımı (Çocuk-Ortaöğretim)")*($AC$50*AY79)
+COUNTIF(J21,"Eğitim Yardımı (Çocuk-Lise)")*($AC$51*AY79)
+COUNTIF(J21,"Eğitim Yardımı (Çocuk-Yükseköğretim)")*($AC$52*AY79)
+COUNTIF(J21,"Eğitim Yardımı (İşçi-Lise)")*($AC$53*AY79)
+COUNTIF(J21,"Eğitim Yardımı (İşçi-Yükseköğretim)")*($AC$54*AY79)
+COUNTIF(J21,"Evlilik Yardımı")*($AC$55-$AC$55*0.00759)
+COUNTIF(K21,"Yok")*(0)
+COUNTIF(K21,"Bayram Yardımı (Kurban)")*($AC$42*AY79)
+COUNTIF(K21,"Bayram Yardımı (Ramazan)")*($AC$43*AY79)
+COUNTIF(K21,"Cenaze Yardımı (Anne-Baba)")*($AC$44-$AC$44*0.00759)
+COUNTIF(K21,"Cenaze Yardımı (Eş-Çocuk)")*($AC$45-$AC$45*0.00759)
+COUNTIF(K21,"Cenaze Yardımı (İşçi-İş Kazası Sonucu)")*($AC$46-$AC$46*0.00759)
+COUNTIF(K21,"Cenaze Yardımı (İşçi-Tabii Sebepler Sonucu)")*($AC$47-$AC$47*0.00759)
+COUNTIF(K21,"Doğal Afet Yardımı")*($AC$48-$AC$48*0.00759)
+COUNTIF(K21,"Eğitim Yardımı (Çocuk-İlköğretim)")*($AC$49*AY79)
+COUNTIF(K21,"Eğitim Yardımı (Çocuk-Ortaöğretim)")*($AC$50*AY79)
+COUNTIF(K21,"Eğitim Yardımı (Çocuk-Lise)")*($AC$51*AY79)
+COUNTIF(K21,"Eğitim Yardımı (Çocuk-Yükseköğretim)")*($AC$52*AY79)
+COUNTIF(K21,"Eğitim Yardımı (İşçi-Lise)")*($AC$53*AY79)
+COUNTIF(K21,"Eğitim Yardımı (İşçi-Yükseköğretim)")*($AC$54*AY79)
+COUNTIF(K21,"Evlilik Yardımı")*($AC$55-$AC$55*0.00759)
+COUNTIF(L21,"Yok")*(0)
+COUNTIF(L21,"Bayram Yardımı (Kurban)")*($AC$42*AY79)
+COUNTIF(L21,"Bayram Yardımı (Ramazan)")*($AC$43*AY79)
+COUNTIF(L21,"Cenaze Yardımı (Anne-Baba)")*($AC$44-$AC$44*0.00759)
+COUNTIF(L21,"Cenaze Yardımı (Eş-Çocuk)")*($AC$45-$AC$45*0.00759)
+COUNTIF(L21,"Cenaze Yardımı (İşçi-İş Kazası Sonucu)")*($AC$46-$AC$46*0.00759)
+COUNTIF(L21,"Cenaze Yardımı (İşçi-Tabii Sebepler Sonucu)")*($AC$47-$AC$47*0.00759)
+COUNTIF(L21,"Doğal Afet Yardımı")*($AC$48-$AC$48*0.00759)
+COUNTIF(L21,"Eğitim Yardımı (Çocuk-İlköğretim)")*($AC$49*AY79)
+COUNTIF(L21,"Eğitim Yardımı (Çocuk-Ortaöğretim)")*($AC$50*AY79)
+COUNTIF(L21,"Eğitim Yardımı (Çocuk-Lise)")*($AC$51*AY79)
+COUNTIF(L21,"Eğitim Yardımı (Çocuk-Yükseköğretim)")*($AC$52*AY79)
+COUNTIF(L21,"Eğitim Yardımı (İşçi-Lise)")*($AC$53*AY79)
+COUNTIF(L21,"Eğitim Yardımı (İşçi-Yükseköğretim)")*($AC$54*AY79)
+COUNTIF(L21,"Evlilik Yardımı")*($AC$55-$AC$55*0.00759)</f>
        <v>0</v>
      </c>
      <c r="AH49" s="54" t="s">
        <v>7</v>
      </c>
      <c r="AI49" s="43">
        <f>COUNTIF(AH49,"Var")*(AJ21*-1)</f>
        <v>-2115.17</v>
      </c>
      <c r="AJ49" s="43">
        <f t="shared" si="73"/>
        <v>2115.17</v>
      </c>
      <c r="AK49" s="64">
        <f ca="1">(AK79*M21+AL49)*-1</f>
        <v>0</v>
      </c>
      <c r="AL49" s="64">
        <f>(AR21+AT21+AV21+AX21+AF7-AM7)*(M21*-1)</f>
        <v>0</v>
      </c>
      <c r="AM49" s="64">
        <f t="shared" ca="1" si="74"/>
        <v>0</v>
      </c>
      <c r="BD49" s="42">
        <v>47</v>
      </c>
      <c r="BE49" s="46">
        <v>23.5</v>
      </c>
      <c r="BF49" s="47">
        <v>0.49</v>
      </c>
    </row>
    <row r="50" spans="27:58" ht="39.950000000000003" hidden="1" customHeight="1" x14ac:dyDescent="0.25">
      <c r="AA50" s="55" t="s">
        <v>57</v>
      </c>
      <c r="AB50" s="64">
        <v>2131.62</v>
      </c>
      <c r="AC50" s="64">
        <v>2131.62</v>
      </c>
      <c r="AE50" s="64">
        <f>COUNTIF(J22,"Yok")*(0)
+COUNTIF(J22,"Bayram Yardımı (Kurban)")*($AC$42)
+COUNTIF(J22,"Bayram Yardımı (Ramazan)")*($AC$43)
+COUNTIF(J22,"Cenaze Yardımı (Anne-Baba)")*($AC$44)
+COUNTIF(J22,"Cenaze Yardımı (Eş-Çocuk)")*($AC$45)
+COUNTIF(J22,"Cenaze Yardımı (İşçi-İş Kazası Sonucu)")*($AC$46)
+COUNTIF(J22,"Cenaze Yardımı (İşçi-Tabii Sebepler Sonucu)")*($AC$47)
+COUNTIF(J22,"Doğal Afet Yardımı")*($AC$48)
+COUNTIF(J22,"Eğitim Yardımı (Çocuk-İlköğretim)")*($AC$49)
+COUNTIF(J22,"Eğitim Yardımı (Çocuk-Ortaöğretim)")*($AC$50)
+COUNTIF(J22,"Eğitim Yardımı (Çocuk-Lise)")*($AC$51)
+COUNTIF(J22,"Eğitim Yardımı (Çocuk-Yükseköğretim)")*($AC$52)
+COUNTIF(J22,"Eğitim Yardımı (İşçi-Lise)")*($AC$53)
+COUNTIF(J22,"Eğitim Yardımı (İşçi-Yükseköğretim)")*($AC$54)
+COUNTIF(J22,"Evlilik Yardımı")*($AC$55)
+COUNTIF(K22,"Yok")*(0)
+COUNTIF(K22,"Bayram Yardımı (Kurban)")*($AC$42)
+COUNTIF(K22,"Bayram Yardımı (Ramazan)")*($AC$43)
+COUNTIF(K22,"Cenaze Yardımı (Anne-Baba)")*($AC$44)
+COUNTIF(K22,"Cenaze Yardımı (Eş-Çocuk)")*($AC$45)
+COUNTIF(K22,"Cenaze Yardımı (İşçi-İş Kazası Sonucu)")*($AC$46)
+COUNTIF(K22,"Cenaze Yardımı (İşçi-Tabii Sebepler Sonucu)")*($AC$47)
+COUNTIF(K22,"Doğal Afet Yardımı")*($AC$48)
+COUNTIF(K22,"Eğitim Yardımı (Çocuk-İlköğretim)")*($AC$49)
+COUNTIF(K22,"Eğitim Yardımı (Çocuk-Ortaöğretim)")*($AC$50)
+COUNTIF(K22,"Eğitim Yardımı (Çocuk-Lise)")*($AC$51)
+COUNTIF(K22,"Eğitim Yardımı (Çocuk-Yükseköğretim)")*($AC$52)
+COUNTIF(K22,"Eğitim Yardımı (İşçi-Lise)")*($AC$53)
+COUNTIF(K22,"Eğitim Yardımı (İşçi-Yükseköğretim)")*($AC$54)
+COUNTIF(K22,"Evlilik Yardımı")*($AC$55)
+COUNTIF(L22,"Yok")*(0)
+COUNTIF(L22,"Bayram Yardımı (Kurban)")*($AC$42)
+COUNTIF(L22,"Bayram Yardımı (Ramazan)")*($AC$43)
+COUNTIF(L22,"Cenaze Yardımı (Anne-Baba)")*($AC$44)
+COUNTIF(L22,"Cenaze Yardımı (Eş-Çocuk)")*($AC$45)
+COUNTIF(L22,"Cenaze Yardımı (İşçi-İş Kazası Sonucu)")*($AC$46)
+COUNTIF(L22,"Cenaze Yardımı (İşçi-Tabii Sebepler Sonucu)")*($AC$47)
+COUNTIF(L22,"Doğal Afet Yardımı")*($AC$48)
+COUNTIF(L22,"Eğitim Yardımı (Çocuk-İlköğretim)")*($AC$49)
+COUNTIF(L22,"Eğitim Yardımı (Çocuk-Ortaöğretim)")*($AC$50)
+COUNTIF(L22,"Eğitim Yardımı (Çocuk-Lise)")*($AC$51)
+COUNTIF(L22,"Eğitim Yardımı (Çocuk-Yükseköğretim)")*($AC$52)
+COUNTIF(L22,"Eğitim Yardımı (İşçi-Lise)")*($AC$53)
+COUNTIF(L22,"Eğitim Yardımı (İşçi-Yükseköğretim)")*($AC$54)
+COUNTIF(L22,"Evlilik Yardımı")*($AC$55)</f>
        <v>0</v>
      </c>
      <c r="AF50" s="64">
        <f>COUNTIF(J22,"Yok")*(0)
+COUNTIF(J22,"Bayram Yardımı (Kurban)")*(0)
+COUNTIF(J22,"Bayram Yardımı (Ramazan)")*(0)
+COUNTIF(J22,"Cenaze Yardımı (Anne-Baba)")*($AC$44)
+COUNTIF(J22,"Cenaze Yardımı (Eş-Çocuk)")*($AC$45)
+COUNTIF(J22,"Cenaze Yardımı (İşçi-İş Kazası Sonucu)")*($AC$46)
+COUNTIF(J22,"Cenaze Yardımı (İşçi-Tabii Sebepler Sonucu)")*($AC$47)
+COUNTIF(J22,"Doğal Afet Yardımı")*($AC$48)
+COUNTIF(J22,"Eğitim Yardımı (Çocuk-İlköğretim)")*(0)
+COUNTIF(J22,"Eğitim Yardımı (Çocuk-Ortaöğretim)")*(0)
+COUNTIF(J22,"Eğitim Yardımı (Çocuk-Lise)")*(0)
+COUNTIF(J22,"Eğitim Yardımı (Çocuk-Yükseköğretim)")*(0)
+COUNTIF(J22,"Eğitim Yardımı (İşçi-Lise)")*(0)
+COUNTIF(J22,"Eğitim Yardımı (İşçi-Yükseköğretim)")*(0)
+COUNTIF(J22,"Evlilik Yardımı")*($AC$55)
+COUNTIF(K22,"Yok")*(0)
+COUNTIF(K22,"Bayram Yardımı (Kurban)")*(0)
+COUNTIF(K22,"Bayram Yardımı (Ramazan)")*(0)
+COUNTIF(K22,"Cenaze Yardımı (Anne-Baba)")*($AC$44)
+COUNTIF(K22,"Cenaze Yardımı (Eş-Çocuk)")*($AC$45)
+COUNTIF(K22,"Cenaze Yardımı (İşçi-İş Kazası Sonucu)")*($AC$46)
+COUNTIF(K22,"Cenaze Yardımı (İşçi-Tabii Sebepler Sonucu)")*($AC$47)
+COUNTIF(K22,"Doğal Afet Yardımı")*($AC$48)
+COUNTIF(K22,"Eğitim Yardımı (Çocuk-İlköğretim)")*(0)
+COUNTIF(K22,"Eğitim Yardımı (Çocuk-Ortaöğretim)")*(0)
+COUNTIF(K22,"Eğitim Yardımı (Çocuk-Lise)")*(0)
+COUNTIF(K22,"Eğitim Yardımı (Çocuk-Yükseköğretim)")*(0)
+COUNTIF(K22,"Eğitim Yardımı (İşçi-Lise)")*(0)
+COUNTIF(K22,"Eğitim Yardımı (İşçi-Yükseköğretim)")*(0)
+COUNTIF(K22,"Evlilik Yardımı")*($AC$55)
+COUNTIF(L22,"Yok")*(0)
+COUNTIF(L22,"Bayram Yardımı (Kurban)")*(0)
+COUNTIF(L22,"Bayram Yardımı (Ramazan)")*(0)
+COUNTIF(L22,"Cenaze Yardımı (Anne-Baba)")*($AC$44)
+COUNTIF(L22,"Cenaze Yardımı (Eş-Çocuk)")*($AC$45)
+COUNTIF(L22,"Cenaze Yardımı (İşçi-İş Kazası Sonucu)")*($AC$46)
+COUNTIF(L22,"Cenaze Yardımı (İşçi-Tabii Sebepler Sonucu)")*($AC$47)
+COUNTIF(L22,"Doğal Afet Yardımı")*($AC$48)
+COUNTIF(L22,"Eğitim Yardımı (Çocuk-İlköğretim)")*(0)
+COUNTIF(L22,"Eğitim Yardımı (Çocuk-Ortaöğretim)")*(0)
+COUNTIF(L22,"Eğitim Yardımı (Çocuk-Lise)")*(0)
+COUNTIF(L22,"Eğitim Yardımı (Çocuk-Yükseköğretim)")*(0)
+COUNTIF(L22,"Eğitim Yardımı (İşçi-Lise)")*(0)
+COUNTIF(L22,"Eğitim Yardımı (İşçi-Yükseköğretim)")*(0)
+COUNTIF(L22,"Evlilik Yardımı")*($AC$55)</f>
        <v>0</v>
      </c>
      <c r="AG50" s="64">
        <f ca="1">COUNTIF(J22,"Yok")*(0)
+COUNTIF(J22,"Bayram Yardımı (Kurban)")*($AC$42*AY80)
+COUNTIF(J22,"Bayram Yardımı (Ramazan)")*($AC$43*AY80)
+COUNTIF(J22,"Cenaze Yardımı (Anne-Baba)")*($AC$44-$AC$44*0.00759)
+COUNTIF(J22,"Cenaze Yardımı (Eş-Çocuk)")*($AC$45-$AC$45*0.00759)
+COUNTIF(J22,"Cenaze Yardımı (İşçi-İş Kazası Sonucu)")*($AC$46-$AC$46*0.00759)
+COUNTIF(J22,"Cenaze Yardımı (İşçi-Tabii Sebepler Sonucu)")*($AC$47-$AC$47*0.00759)
+COUNTIF(J22,"Doğal Afet Yardımı")*($AC$48-$AC$48*0.00759)
+COUNTIF(J22,"Eğitim Yardımı (Çocuk-İlköğretim)")*($AC$49*AY80)
+COUNTIF(J22,"Eğitim Yardımı (Çocuk-Ortaöğretim)")*($AC$50*AY80)
+COUNTIF(J22,"Eğitim Yardımı (Çocuk-Lise)")*($AC$51*AY80)
+COUNTIF(J22,"Eğitim Yardımı (Çocuk-Yükseköğretim)")*($AC$52*AY80)
+COUNTIF(J22,"Eğitim Yardımı (İşçi-Lise)")*($AC$53*AY80)
+COUNTIF(J22,"Eğitim Yardımı (İşçi-Yükseköğretim)")*($AC$54*AY80)
+COUNTIF(J22,"Evlilik Yardımı")*($AC$55-$AC$55*0.00759)
+COUNTIF(K22,"Yok")*(0)
+COUNTIF(K22,"Bayram Yardımı (Kurban)")*($AC$42*AY80)
+COUNTIF(K22,"Bayram Yardımı (Ramazan)")*($AC$43*AY80)
+COUNTIF(K22,"Cenaze Yardımı (Anne-Baba)")*($AC$44-$AC$44*0.00759)
+COUNTIF(K22,"Cenaze Yardımı (Eş-Çocuk)")*($AC$45-$AC$45*0.00759)
+COUNTIF(K22,"Cenaze Yardımı (İşçi-İş Kazası Sonucu)")*($AC$46-$AC$46*0.00759)
+COUNTIF(K22,"Cenaze Yardımı (İşçi-Tabii Sebepler Sonucu)")*($AC$47-$AC$47*0.00759)
+COUNTIF(K22,"Doğal Afet Yardımı")*($AC$48-$AC$48*0.00759)
+COUNTIF(K22,"Eğitim Yardımı (Çocuk-İlköğretim)")*($AC$49*AY80)
+COUNTIF(K22,"Eğitim Yardımı (Çocuk-Ortaöğretim)")*($AC$50*AY80)
+COUNTIF(K22,"Eğitim Yardımı (Çocuk-Lise)")*($AC$51*AY80)
+COUNTIF(K22,"Eğitim Yardımı (Çocuk-Yükseköğretim)")*($AC$52*AY80)
+COUNTIF(K22,"Eğitim Yardımı (İşçi-Lise)")*($AC$53*AY80)
+COUNTIF(K22,"Eğitim Yardımı (İşçi-Yükseköğretim)")*($AC$54*AY80)
+COUNTIF(K22,"Evlilik Yardımı")*($AC$55-$AC$55*0.00759)
+COUNTIF(L22,"Yok")*(0)
+COUNTIF(L22,"Bayram Yardımı (Kurban)")*($AC$42*AY80)
+COUNTIF(L22,"Bayram Yardımı (Ramazan)")*($AC$43*AY80)
+COUNTIF(L22,"Cenaze Yardımı (Anne-Baba)")*($AC$44-$AC$44*0.00759)
+COUNTIF(L22,"Cenaze Yardımı (Eş-Çocuk)")*($AC$45-$AC$45*0.00759)
+COUNTIF(L22,"Cenaze Yardımı (İşçi-İş Kazası Sonucu)")*($AC$46-$AC$46*0.00759)
+COUNTIF(L22,"Cenaze Yardımı (İşçi-Tabii Sebepler Sonucu)")*($AC$47-$AC$47*0.00759)
+COUNTIF(L22,"Doğal Afet Yardımı")*($AC$48-$AC$48*0.00759)
+COUNTIF(L22,"Eğitim Yardımı (Çocuk-İlköğretim)")*($AC$49*AY80)
+COUNTIF(L22,"Eğitim Yardımı (Çocuk-Ortaöğretim)")*($AC$50*AY80)
+COUNTIF(L22,"Eğitim Yardımı (Çocuk-Lise)")*($AC$51*AY80)
+COUNTIF(L22,"Eğitim Yardımı (Çocuk-Yükseköğretim)")*($AC$52*AY80)
+COUNTIF(L22,"Eğitim Yardımı (İşçi-Lise)")*($AC$53*AY80)
+COUNTIF(L22,"Eğitim Yardımı (İşçi-Yükseköğretim)")*($AC$54*AY80)
+COUNTIF(L22,"Evlilik Yardımı")*($AC$55-$AC$55*0.00759)</f>
        <v>0</v>
      </c>
      <c r="AH50" s="54" t="s">
        <v>7</v>
      </c>
      <c r="AI50" s="43">
        <f>COUNTIF(AH50,"Var")*(AJ22*-1)</f>
        <v>-2115.17</v>
      </c>
      <c r="AJ50" s="43">
        <f t="shared" si="73"/>
        <v>2115.17</v>
      </c>
      <c r="AK50" s="64">
        <f ca="1">(AK80*M22+AL50)*-1</f>
        <v>0</v>
      </c>
      <c r="AL50" s="64">
        <f>(AR22+AT22+AV22+AX22+AF8-AM8)*(M22*-1)</f>
        <v>0</v>
      </c>
      <c r="AM50" s="64">
        <f t="shared" ca="1" si="74"/>
        <v>0</v>
      </c>
      <c r="BD50" s="42">
        <v>48</v>
      </c>
      <c r="BE50" s="46">
        <v>24</v>
      </c>
      <c r="BF50" s="47">
        <v>0.5</v>
      </c>
    </row>
    <row r="51" spans="27:58" ht="39.950000000000003" hidden="1" customHeight="1" x14ac:dyDescent="0.25">
      <c r="AA51" s="55" t="s">
        <v>58</v>
      </c>
      <c r="AB51" s="64">
        <v>2415.84</v>
      </c>
      <c r="AC51" s="64">
        <v>2415.84</v>
      </c>
      <c r="AE51" s="64">
        <f>COUNTIF(J23,"Yok")*(0)
+COUNTIF(J23,"Bayram Yardımı (Kurban)")*($AC$42)
+COUNTIF(J23,"Bayram Yardımı (Ramazan)")*($AC$43)
+COUNTIF(J23,"Cenaze Yardımı (Anne-Baba)")*($AC$44)
+COUNTIF(J23,"Cenaze Yardımı (Eş-Çocuk)")*($AC$45)
+COUNTIF(J23,"Cenaze Yardımı (İşçi-İş Kazası Sonucu)")*($AC$46)
+COUNTIF(J23,"Cenaze Yardımı (İşçi-Tabii Sebepler Sonucu)")*($AC$47)
+COUNTIF(J23,"Doğal Afet Yardımı")*($AC$48)
+COUNTIF(J23,"Eğitim Yardımı (Çocuk-İlköğretim)")*($AC$49)
+COUNTIF(J23,"Eğitim Yardımı (Çocuk-Ortaöğretim)")*($AC$50)
+COUNTIF(J23,"Eğitim Yardımı (Çocuk-Lise)")*($AC$51)
+COUNTIF(J23,"Eğitim Yardımı (Çocuk-Yükseköğretim)")*($AC$52)
+COUNTIF(J23,"Eğitim Yardımı (İşçi-Lise)")*($AC$53)
+COUNTIF(J23,"Eğitim Yardımı (İşçi-Yükseköğretim)")*($AC$54)
+COUNTIF(J23,"Evlilik Yardımı")*($AC$55)
+COUNTIF(K23,"Yok")*(0)
+COUNTIF(K23,"Bayram Yardımı (Kurban)")*($AC$42)
+COUNTIF(K23,"Bayram Yardımı (Ramazan)")*($AC$43)
+COUNTIF(K23,"Cenaze Yardımı (Anne-Baba)")*($AC$44)
+COUNTIF(K23,"Cenaze Yardımı (Eş-Çocuk)")*($AC$45)
+COUNTIF(K23,"Cenaze Yardımı (İşçi-İş Kazası Sonucu)")*($AC$46)
+COUNTIF(K23,"Cenaze Yardımı (İşçi-Tabii Sebepler Sonucu)")*($AC$47)
+COUNTIF(K23,"Doğal Afet Yardımı")*($AC$48)
+COUNTIF(K23,"Eğitim Yardımı (Çocuk-İlköğretim)")*($AC$49)
+COUNTIF(K23,"Eğitim Yardımı (Çocuk-Ortaöğretim)")*($AC$50)
+COUNTIF(K23,"Eğitim Yardımı (Çocuk-Lise)")*($AC$51)
+COUNTIF(K23,"Eğitim Yardımı (Çocuk-Yükseköğretim)")*($AC$52)
+COUNTIF(K23,"Eğitim Yardımı (İşçi-Lise)")*($AC$53)
+COUNTIF(K23,"Eğitim Yardımı (İşçi-Yükseköğretim)")*($AC$54)
+COUNTIF(K23,"Evlilik Yardımı")*($AC$55)
+COUNTIF(L23,"Yok")*(0)
+COUNTIF(L23,"Bayram Yardımı (Kurban)")*($AC$42)
+COUNTIF(L23,"Bayram Yardımı (Ramazan)")*($AC$43)
+COUNTIF(L23,"Cenaze Yardımı (Anne-Baba)")*($AC$44)
+COUNTIF(L23,"Cenaze Yardımı (Eş-Çocuk)")*($AC$45)
+COUNTIF(L23,"Cenaze Yardımı (İşçi-İş Kazası Sonucu)")*($AC$46)
+COUNTIF(L23,"Cenaze Yardımı (İşçi-Tabii Sebepler Sonucu)")*($AC$47)
+COUNTIF(L23,"Doğal Afet Yardımı")*($AC$48)
+COUNTIF(L23,"Eğitim Yardımı (Çocuk-İlköğretim)")*($AC$49)
+COUNTIF(L23,"Eğitim Yardımı (Çocuk-Ortaöğretim)")*($AC$50)
+COUNTIF(L23,"Eğitim Yardımı (Çocuk-Lise)")*($AC$51)
+COUNTIF(L23,"Eğitim Yardımı (Çocuk-Yükseköğretim)")*($AC$52)
+COUNTIF(L23,"Eğitim Yardımı (İşçi-Lise)")*($AC$53)
+COUNTIF(L23,"Eğitim Yardımı (İşçi-Yükseköğretim)")*($AC$54)
+COUNTIF(L23,"Evlilik Yardımı")*($AC$55)</f>
        <v>0</v>
      </c>
      <c r="AF51" s="64">
        <f>COUNTIF(J23,"Yok")*(0)
+COUNTIF(J23,"Bayram Yardımı (Kurban)")*(0)
+COUNTIF(J23,"Bayram Yardımı (Ramazan)")*(0)
+COUNTIF(J23,"Cenaze Yardımı (Anne-Baba)")*($AC$44)
+COUNTIF(J23,"Cenaze Yardımı (Eş-Çocuk)")*($AC$45)
+COUNTIF(J23,"Cenaze Yardımı (İşçi-İş Kazası Sonucu)")*($AC$46)
+COUNTIF(J23,"Cenaze Yardımı (İşçi-Tabii Sebepler Sonucu)")*($AC$47)
+COUNTIF(J23,"Doğal Afet Yardımı")*($AC$48)
+COUNTIF(J23,"Eğitim Yardımı (Çocuk-İlköğretim)")*(0)
+COUNTIF(J23,"Eğitim Yardımı (Çocuk-Ortaöğretim)")*(0)
+COUNTIF(J23,"Eğitim Yardımı (Çocuk-Lise)")*(0)
+COUNTIF(J23,"Eğitim Yardımı (Çocuk-Yükseköğretim)")*(0)
+COUNTIF(J23,"Eğitim Yardımı (İşçi-Lise)")*(0)
+COUNTIF(J23,"Eğitim Yardımı (İşçi-Yükseköğretim)")*(0)
+COUNTIF(J23,"Evlilik Yardımı")*($AC$55)
+COUNTIF(K23,"Yok")*(0)
+COUNTIF(K23,"Bayram Yardımı (Kurban)")*(0)
+COUNTIF(K23,"Bayram Yardımı (Ramazan)")*(0)
+COUNTIF(K23,"Cenaze Yardımı (Anne-Baba)")*($AC$44)
+COUNTIF(K23,"Cenaze Yardımı (Eş-Çocuk)")*($AC$45)
+COUNTIF(K23,"Cenaze Yardımı (İşçi-İş Kazası Sonucu)")*($AC$46)
+COUNTIF(K23,"Cenaze Yardımı (İşçi-Tabii Sebepler Sonucu)")*($AC$47)
+COUNTIF(K23,"Doğal Afet Yardımı")*($AC$48)
+COUNTIF(K23,"Eğitim Yardımı (Çocuk-İlköğretim)")*(0)
+COUNTIF(K23,"Eğitim Yardımı (Çocuk-Ortaöğretim)")*(0)
+COUNTIF(K23,"Eğitim Yardımı (Çocuk-Lise)")*(0)
+COUNTIF(K23,"Eğitim Yardımı (Çocuk-Yükseköğretim)")*(0)
+COUNTIF(K23,"Eğitim Yardımı (İşçi-Lise)")*(0)
+COUNTIF(K23,"Eğitim Yardımı (İşçi-Yükseköğretim)")*(0)
+COUNTIF(K23,"Evlilik Yardımı")*($AC$55)
+COUNTIF(L23,"Yok")*(0)
+COUNTIF(L23,"Bayram Yardımı (Kurban)")*(0)
+COUNTIF(L23,"Bayram Yardımı (Ramazan)")*(0)
+COUNTIF(L23,"Cenaze Yardımı (Anne-Baba)")*($AC$44)
+COUNTIF(L23,"Cenaze Yardımı (Eş-Çocuk)")*($AC$45)
+COUNTIF(L23,"Cenaze Yardımı (İşçi-İş Kazası Sonucu)")*($AC$46)
+COUNTIF(L23,"Cenaze Yardımı (İşçi-Tabii Sebepler Sonucu)")*($AC$47)
+COUNTIF(L23,"Doğal Afet Yardımı")*($AC$48)
+COUNTIF(L23,"Eğitim Yardımı (Çocuk-İlköğretim)")*(0)
+COUNTIF(L23,"Eğitim Yardımı (Çocuk-Ortaöğretim)")*(0)
+COUNTIF(L23,"Eğitim Yardımı (Çocuk-Lise)")*(0)
+COUNTIF(L23,"Eğitim Yardımı (Çocuk-Yükseköğretim)")*(0)
+COUNTIF(L23,"Eğitim Yardımı (İşçi-Lise)")*(0)
+COUNTIF(L23,"Eğitim Yardımı (İşçi-Yükseköğretim)")*(0)
+COUNTIF(L23,"Evlilik Yardımı")*($AC$55)</f>
        <v>0</v>
      </c>
      <c r="AG51" s="64">
        <f ca="1">COUNTIF(J23,"Yok")*(0)
+COUNTIF(J23,"Bayram Yardımı (Kurban)")*($AC$42*AY81)
+COUNTIF(J23,"Bayram Yardımı (Ramazan)")*($AC$43*AY81)
+COUNTIF(J23,"Cenaze Yardımı (Anne-Baba)")*($AC$44-$AC$44*0.00759)
+COUNTIF(J23,"Cenaze Yardımı (Eş-Çocuk)")*($AC$45-$AC$45*0.00759)
+COUNTIF(J23,"Cenaze Yardımı (İşçi-İş Kazası Sonucu)")*($AC$46-$AC$46*0.00759)
+COUNTIF(J23,"Cenaze Yardımı (İşçi-Tabii Sebepler Sonucu)")*($AC$47-$AC$47*0.00759)
+COUNTIF(J23,"Doğal Afet Yardımı")*($AC$48-$AC$48*0.00759)
+COUNTIF(J23,"Eğitim Yardımı (Çocuk-İlköğretim)")*($AC$49*AY81)
+COUNTIF(J23,"Eğitim Yardımı (Çocuk-Ortaöğretim)")*($AC$50*AY81)
+COUNTIF(J23,"Eğitim Yardımı (Çocuk-Lise)")*($AC$51*AY81)
+COUNTIF(J23,"Eğitim Yardımı (Çocuk-Yükseköğretim)")*($AC$52*AY81)
+COUNTIF(J23,"Eğitim Yardımı (İşçi-Lise)")*($AC$53*AY81)
+COUNTIF(J23,"Eğitim Yardımı (İşçi-Yükseköğretim)")*($AC$54*AY81)
+COUNTIF(J23,"Evlilik Yardımı")*($AC$55-$AC$55*0.00759)
+COUNTIF(K23,"Yok")*(0)
+COUNTIF(K23,"Bayram Yardımı (Kurban)")*($AC$42*AY81)
+COUNTIF(K23,"Bayram Yardımı (Ramazan)")*($AC$43*AY81)
+COUNTIF(K23,"Cenaze Yardımı (Anne-Baba)")*($AC$44-$AC$44*0.00759)
+COUNTIF(K23,"Cenaze Yardımı (Eş-Çocuk)")*($AC$45-$AC$45*0.00759)
+COUNTIF(K23,"Cenaze Yardımı (İşçi-İş Kazası Sonucu)")*($AC$46-$AC$46*0.00759)
+COUNTIF(K23,"Cenaze Yardımı (İşçi-Tabii Sebepler Sonucu)")*($AC$47-$AC$47*0.00759)
+COUNTIF(K23,"Doğal Afet Yardımı")*($AC$48-$AC$48*0.00759)
+COUNTIF(K23,"Eğitim Yardımı (Çocuk-İlköğretim)")*($AC$49*AY81)
+COUNTIF(K23,"Eğitim Yardımı (Çocuk-Ortaöğretim)")*($AC$50*AY81)
+COUNTIF(K23,"Eğitim Yardımı (Çocuk-Lise)")*($AC$51*AY81)
+COUNTIF(K23,"Eğitim Yardımı (Çocuk-Yükseköğretim)")*($AC$52*AY81)
+COUNTIF(K23,"Eğitim Yardımı (İşçi-Lise)")*($AC$53*AY81)
+COUNTIF(K23,"Eğitim Yardımı (İşçi-Yükseköğretim)")*($AC$54*AY81)
+COUNTIF(K23,"Evlilik Yardımı")*($AC$55-$AC$55*0.00759)
+COUNTIF(L23,"Yok")*(0)
+COUNTIF(L23,"Bayram Yardımı (Kurban)")*($AC$42*AY81)
+COUNTIF(L23,"Bayram Yardımı (Ramazan)")*($AC$43*AY81)
+COUNTIF(L23,"Cenaze Yardımı (Anne-Baba)")*($AC$44-$AC$44*0.00759)
+COUNTIF(L23,"Cenaze Yardımı (Eş-Çocuk)")*($AC$45-$AC$45*0.00759)
+COUNTIF(L23,"Cenaze Yardımı (İşçi-İş Kazası Sonucu)")*($AC$46-$AC$46*0.00759)
+COUNTIF(L23,"Cenaze Yardımı (İşçi-Tabii Sebepler Sonucu)")*($AC$47-$AC$47*0.00759)
+COUNTIF(L23,"Doğal Afet Yardımı")*($AC$48-$AC$48*0.00759)
+COUNTIF(L23,"Eğitim Yardımı (Çocuk-İlköğretim)")*($AC$49*AY81)
+COUNTIF(L23,"Eğitim Yardımı (Çocuk-Ortaöğretim)")*($AC$50*AY81)
+COUNTIF(L23,"Eğitim Yardımı (Çocuk-Lise)")*($AC$51*AY81)
+COUNTIF(L23,"Eğitim Yardımı (Çocuk-Yükseköğretim)")*($AC$52*AY81)
+COUNTIF(L23,"Eğitim Yardımı (İşçi-Lise)")*($AC$53*AY81)
+COUNTIF(L23,"Eğitim Yardımı (İşçi-Yükseköğretim)")*($AC$54*AY81)
+COUNTIF(L23,"Evlilik Yardımı")*($AC$55-$AC$55*0.00759)</f>
        <v>0</v>
      </c>
      <c r="AH51" s="54" t="s">
        <v>7</v>
      </c>
      <c r="AI51" s="43">
        <f>COUNTIF(AH51,"Var")*(AJ23*-1)</f>
        <v>-2115.17</v>
      </c>
      <c r="AJ51" s="43">
        <f t="shared" si="73"/>
        <v>2115.17</v>
      </c>
      <c r="AK51" s="64">
        <f ca="1">(AK81*M23+AL51)*-1</f>
        <v>0</v>
      </c>
      <c r="AL51" s="64">
        <f>(AR23+AT23+AV23+AX23+AF9-AM9)*(M23*-1)</f>
        <v>0</v>
      </c>
      <c r="AM51" s="64">
        <f t="shared" ca="1" si="74"/>
        <v>0</v>
      </c>
      <c r="BD51" s="42">
        <v>49</v>
      </c>
      <c r="BE51" s="46">
        <v>24.5</v>
      </c>
      <c r="BF51" s="65" t="s">
        <v>0</v>
      </c>
    </row>
    <row r="52" spans="27:58" ht="39.950000000000003" hidden="1" customHeight="1" x14ac:dyDescent="0.25">
      <c r="AA52" s="55" t="s">
        <v>59</v>
      </c>
      <c r="AB52" s="64">
        <v>2842.16</v>
      </c>
      <c r="AC52" s="64">
        <v>2842.16</v>
      </c>
      <c r="AE52" s="64">
        <f>COUNTIF(J24,"Yok")*(0)
+COUNTIF(J24,"Bayram Yardımı (Kurban)")*($AC$42)
+COUNTIF(J24,"Bayram Yardımı (Ramazan)")*($AC$43)
+COUNTIF(J24,"Cenaze Yardımı (Anne-Baba)")*($AC$44)
+COUNTIF(J24,"Cenaze Yardımı (Eş-Çocuk)")*($AC$45)
+COUNTIF(J24,"Cenaze Yardımı (İşçi-İş Kazası Sonucu)")*($AC$46)
+COUNTIF(J24,"Cenaze Yardımı (İşçi-Tabii Sebepler Sonucu)")*($AC$47)
+COUNTIF(J24,"Doğal Afet Yardımı")*($AC$48)
+COUNTIF(J24,"Eğitim Yardımı (Çocuk-İlköğretim)")*($AC$49)
+COUNTIF(J24,"Eğitim Yardımı (Çocuk-Ortaöğretim)")*($AC$50)
+COUNTIF(J24,"Eğitim Yardımı (Çocuk-Lise)")*($AC$51)
+COUNTIF(J24,"Eğitim Yardımı (Çocuk-Yükseköğretim)")*($AC$52)
+COUNTIF(J24,"Eğitim Yardımı (İşçi-Lise)")*($AC$53)
+COUNTIF(J24,"Eğitim Yardımı (İşçi-Yükseköğretim)")*($AC$54)
+COUNTIF(J24,"Evlilik Yardımı")*($AC$55)
+COUNTIF(K24,"Yok")*(0)
+COUNTIF(K24,"Bayram Yardımı (Kurban)")*($AC$42)
+COUNTIF(K24,"Bayram Yardımı (Ramazan)")*($AC$43)
+COUNTIF(K24,"Cenaze Yardımı (Anne-Baba)")*($AC$44)
+COUNTIF(K24,"Cenaze Yardımı (Eş-Çocuk)")*($AC$45)
+COUNTIF(K24,"Cenaze Yardımı (İşçi-İş Kazası Sonucu)")*($AC$46)
+COUNTIF(K24,"Cenaze Yardımı (İşçi-Tabii Sebepler Sonucu)")*($AC$47)
+COUNTIF(K24,"Doğal Afet Yardımı")*($AC$48)
+COUNTIF(K24,"Eğitim Yardımı (Çocuk-İlköğretim)")*($AC$49)
+COUNTIF(K24,"Eğitim Yardımı (Çocuk-Ortaöğretim)")*($AC$50)
+COUNTIF(K24,"Eğitim Yardımı (Çocuk-Lise)")*($AC$51)
+COUNTIF(K24,"Eğitim Yardımı (Çocuk-Yükseköğretim)")*($AC$52)
+COUNTIF(K24,"Eğitim Yardımı (İşçi-Lise)")*($AC$53)
+COUNTIF(K24,"Eğitim Yardımı (İşçi-Yükseköğretim)")*($AC$54)
+COUNTIF(K24,"Evlilik Yardımı")*($AC$55)
+COUNTIF(L24,"Yok")*(0)
+COUNTIF(L24,"Bayram Yardımı (Kurban)")*($AC$42)
+COUNTIF(L24,"Bayram Yardımı (Ramazan)")*($AC$43)
+COUNTIF(L24,"Cenaze Yardımı (Anne-Baba)")*($AC$44)
+COUNTIF(L24,"Cenaze Yardımı (Eş-Çocuk)")*($AC$45)
+COUNTIF(L24,"Cenaze Yardımı (İşçi-İş Kazası Sonucu)")*($AC$46)
+COUNTIF(L24,"Cenaze Yardımı (İşçi-Tabii Sebepler Sonucu)")*($AC$47)
+COUNTIF(L24,"Doğal Afet Yardımı")*($AC$48)
+COUNTIF(L24,"Eğitim Yardımı (Çocuk-İlköğretim)")*($AC$49)
+COUNTIF(L24,"Eğitim Yardımı (Çocuk-Ortaöğretim)")*($AC$50)
+COUNTIF(L24,"Eğitim Yardımı (Çocuk-Lise)")*($AC$51)
+COUNTIF(L24,"Eğitim Yardımı (Çocuk-Yükseköğretim)")*($AC$52)
+COUNTIF(L24,"Eğitim Yardımı (İşçi-Lise)")*($AC$53)
+COUNTIF(L24,"Eğitim Yardımı (İşçi-Yükseköğretim)")*($AC$54)
+COUNTIF(L24,"Evlilik Yardımı")*($AC$55)</f>
        <v>0</v>
      </c>
      <c r="AF52" s="64">
        <f>COUNTIF(J24,"Yok")*(0)
+COUNTIF(J24,"Bayram Yardımı (Kurban)")*(0)
+COUNTIF(J24,"Bayram Yardımı (Ramazan)")*(0)
+COUNTIF(J24,"Cenaze Yardımı (Anne-Baba)")*($AC$44)
+COUNTIF(J24,"Cenaze Yardımı (Eş-Çocuk)")*($AC$45)
+COUNTIF(J24,"Cenaze Yardımı (İşçi-İş Kazası Sonucu)")*($AC$46)
+COUNTIF(J24,"Cenaze Yardımı (İşçi-Tabii Sebepler Sonucu)")*($AC$47)
+COUNTIF(J24,"Doğal Afet Yardımı")*($AC$48)
+COUNTIF(J24,"Eğitim Yardımı (Çocuk-İlköğretim)")*(0)
+COUNTIF(J24,"Eğitim Yardımı (Çocuk-Ortaöğretim)")*(0)
+COUNTIF(J24,"Eğitim Yardımı (Çocuk-Lise)")*(0)
+COUNTIF(J24,"Eğitim Yardımı (Çocuk-Yükseköğretim)")*(0)
+COUNTIF(J24,"Eğitim Yardımı (İşçi-Lise)")*(0)
+COUNTIF(J24,"Eğitim Yardımı (İşçi-Yükseköğretim)")*(0)
+COUNTIF(J24,"Evlilik Yardımı")*($AC$55)
+COUNTIF(K24,"Yok")*(0)
+COUNTIF(K24,"Bayram Yardımı (Kurban)")*(0)
+COUNTIF(K24,"Bayram Yardımı (Ramazan)")*(0)
+COUNTIF(K24,"Cenaze Yardımı (Anne-Baba)")*($AC$44)
+COUNTIF(K24,"Cenaze Yardımı (Eş-Çocuk)")*($AC$45)
+COUNTIF(K24,"Cenaze Yardımı (İşçi-İş Kazası Sonucu)")*($AC$46)
+COUNTIF(K24,"Cenaze Yardımı (İşçi-Tabii Sebepler Sonucu)")*($AC$47)
+COUNTIF(K24,"Doğal Afet Yardımı")*($AC$48)
+COUNTIF(K24,"Eğitim Yardımı (Çocuk-İlköğretim)")*(0)
+COUNTIF(K24,"Eğitim Yardımı (Çocuk-Ortaöğretim)")*(0)
+COUNTIF(K24,"Eğitim Yardımı (Çocuk-Lise)")*(0)
+COUNTIF(K24,"Eğitim Yardımı (Çocuk-Yükseköğretim)")*(0)
+COUNTIF(K24,"Eğitim Yardımı (İşçi-Lise)")*(0)
+COUNTIF(K24,"Eğitim Yardımı (İşçi-Yükseköğretim)")*(0)
+COUNTIF(K24,"Evlilik Yardımı")*($AC$55)
+COUNTIF(L24,"Yok")*(0)
+COUNTIF(L24,"Bayram Yardımı (Kurban)")*(0)
+COUNTIF(L24,"Bayram Yardımı (Ramazan)")*(0)
+COUNTIF(L24,"Cenaze Yardımı (Anne-Baba)")*($AC$44)
+COUNTIF(L24,"Cenaze Yardımı (Eş-Çocuk)")*($AC$45)
+COUNTIF(L24,"Cenaze Yardımı (İşçi-İş Kazası Sonucu)")*($AC$46)
+COUNTIF(L24,"Cenaze Yardımı (İşçi-Tabii Sebepler Sonucu)")*($AC$47)
+COUNTIF(L24,"Doğal Afet Yardımı")*($AC$48)
+COUNTIF(L24,"Eğitim Yardımı (Çocuk-İlköğretim)")*(0)
+COUNTIF(L24,"Eğitim Yardımı (Çocuk-Ortaöğretim)")*(0)
+COUNTIF(L24,"Eğitim Yardımı (Çocuk-Lise)")*(0)
+COUNTIF(L24,"Eğitim Yardımı (Çocuk-Yükseköğretim)")*(0)
+COUNTIF(L24,"Eğitim Yardımı (İşçi-Lise)")*(0)
+COUNTIF(L24,"Eğitim Yardımı (İşçi-Yükseköğretim)")*(0)
+COUNTIF(L24,"Evlilik Yardımı")*($AC$55)</f>
        <v>0</v>
      </c>
      <c r="AG52" s="64">
        <f ca="1">COUNTIF(J24,"Yok")*(0)
+COUNTIF(J24,"Bayram Yardımı (Kurban)")*($AC$42*AY82)
+COUNTIF(J24,"Bayram Yardımı (Ramazan)")*($AC$43*AY82)
+COUNTIF(J24,"Cenaze Yardımı (Anne-Baba)")*($AC$44-$AC$44*0.00759)
+COUNTIF(J24,"Cenaze Yardımı (Eş-Çocuk)")*($AC$45-$AC$45*0.00759)
+COUNTIF(J24,"Cenaze Yardımı (İşçi-İş Kazası Sonucu)")*($AC$46-$AC$46*0.00759)
+COUNTIF(J24,"Cenaze Yardımı (İşçi-Tabii Sebepler Sonucu)")*($AC$47-$AC$47*0.00759)
+COUNTIF(J24,"Doğal Afet Yardımı")*($AC$48-$AC$48*0.00759)
+COUNTIF(J24,"Eğitim Yardımı (Çocuk-İlköğretim)")*($AC$49*AY82)
+COUNTIF(J24,"Eğitim Yardımı (Çocuk-Ortaöğretim)")*($AC$50*AY82)
+COUNTIF(J24,"Eğitim Yardımı (Çocuk-Lise)")*($AC$51*AY82)
+COUNTIF(J24,"Eğitim Yardımı (Çocuk-Yükseköğretim)")*($AC$52*AY82)
+COUNTIF(J24,"Eğitim Yardımı (İşçi-Lise)")*($AC$53*AY82)
+COUNTIF(J24,"Eğitim Yardımı (İşçi-Yükseköğretim)")*($AC$54*AY82)
+COUNTIF(J24,"Evlilik Yardımı")*($AC$55-$AC$55*0.00759)
+COUNTIF(K24,"Yok")*(0)
+COUNTIF(K24,"Bayram Yardımı (Kurban)")*($AC$42*AY82)
+COUNTIF(K24,"Bayram Yardımı (Ramazan)")*($AC$43*AY82)
+COUNTIF(K24,"Cenaze Yardımı (Anne-Baba)")*($AC$44-$AC$44*0.00759)
+COUNTIF(K24,"Cenaze Yardımı (Eş-Çocuk)")*($AC$45-$AC$45*0.00759)
+COUNTIF(K24,"Cenaze Yardımı (İşçi-İş Kazası Sonucu)")*($AC$46-$AC$46*0.00759)
+COUNTIF(K24,"Cenaze Yardımı (İşçi-Tabii Sebepler Sonucu)")*($AC$47-$AC$47*0.00759)
+COUNTIF(K24,"Doğal Afet Yardımı")*($AC$48-$AC$48*0.00759)
+COUNTIF(K24,"Eğitim Yardımı (Çocuk-İlköğretim)")*($AC$49*AY82)
+COUNTIF(K24,"Eğitim Yardımı (Çocuk-Ortaöğretim)")*($AC$50*AY82)
+COUNTIF(K24,"Eğitim Yardımı (Çocuk-Lise)")*($AC$51*AY82)
+COUNTIF(K24,"Eğitim Yardımı (Çocuk-Yükseköğretim)")*($AC$52*AY82)
+COUNTIF(K24,"Eğitim Yardımı (İşçi-Lise)")*($AC$53*AY82)
+COUNTIF(K24,"Eğitim Yardımı (İşçi-Yükseköğretim)")*($AC$54*AY82)
+COUNTIF(K24,"Evlilik Yardımı")*($AC$55-$AC$55*0.00759)
+COUNTIF(L24,"Yok")*(0)
+COUNTIF(L24,"Bayram Yardımı (Kurban)")*($AC$42*AY82)
+COUNTIF(L24,"Bayram Yardımı (Ramazan)")*($AC$43*AY82)
+COUNTIF(L24,"Cenaze Yardımı (Anne-Baba)")*($AC$44-$AC$44*0.00759)
+COUNTIF(L24,"Cenaze Yardımı (Eş-Çocuk)")*($AC$45-$AC$45*0.00759)
+COUNTIF(L24,"Cenaze Yardımı (İşçi-İş Kazası Sonucu)")*($AC$46-$AC$46*0.00759)
+COUNTIF(L24,"Cenaze Yardımı (İşçi-Tabii Sebepler Sonucu)")*($AC$47-$AC$47*0.00759)
+COUNTIF(L24,"Doğal Afet Yardımı")*($AC$48-$AC$48*0.00759)
+COUNTIF(L24,"Eğitim Yardımı (Çocuk-İlköğretim)")*($AC$49*AY82)
+COUNTIF(L24,"Eğitim Yardımı (Çocuk-Ortaöğretim)")*($AC$50*AY82)
+COUNTIF(L24,"Eğitim Yardımı (Çocuk-Lise)")*($AC$51*AY82)
+COUNTIF(L24,"Eğitim Yardımı (Çocuk-Yükseköğretim)")*($AC$52*AY82)
+COUNTIF(L24,"Eğitim Yardımı (İşçi-Lise)")*($AC$53*AY82)
+COUNTIF(L24,"Eğitim Yardımı (İşçi-Yükseköğretim)")*($AC$54*AY82)
+COUNTIF(L24,"Evlilik Yardımı")*($AC$55-$AC$55*0.00759)</f>
        <v>0</v>
      </c>
      <c r="AH52" s="54" t="s">
        <v>7</v>
      </c>
      <c r="AI52" s="43">
        <f>COUNTIF(AH52,"Var")*(AJ24*-1)</f>
        <v>-2115.17</v>
      </c>
      <c r="AJ52" s="43">
        <f t="shared" si="73"/>
        <v>2115.17</v>
      </c>
      <c r="AK52" s="64">
        <f ca="1">(AK82*M24+AL52)*-1</f>
        <v>0</v>
      </c>
      <c r="AL52" s="64">
        <f>(AR24+AT24+AV24+AX24+AF10-AM10)*(M24*-1)</f>
        <v>0</v>
      </c>
      <c r="AM52" s="64">
        <f t="shared" ca="1" si="74"/>
        <v>0</v>
      </c>
      <c r="BD52" s="42">
        <v>50</v>
      </c>
      <c r="BE52" s="46">
        <v>25</v>
      </c>
      <c r="BF52" s="65" t="s">
        <v>0</v>
      </c>
    </row>
    <row r="53" spans="27:58" ht="39.950000000000003" hidden="1" customHeight="1" x14ac:dyDescent="0.25">
      <c r="AA53" s="55" t="s">
        <v>54</v>
      </c>
      <c r="AB53" s="64">
        <v>2415.84</v>
      </c>
      <c r="AC53" s="64">
        <v>2415.84</v>
      </c>
      <c r="AE53" s="64">
        <f>COUNTIF(J25,"Yok")*(0)
+COUNTIF(J25,"Bayram Yardımı (Kurban)")*($AC$42)
+COUNTIF(J25,"Bayram Yardımı (Ramazan)")*($AC$43)
+COUNTIF(J25,"Cenaze Yardımı (Anne-Baba)")*($AC$44)
+COUNTIF(J25,"Cenaze Yardımı (Eş-Çocuk)")*($AC$45)
+COUNTIF(J25,"Cenaze Yardımı (İşçi-İş Kazası Sonucu)")*($AC$46)
+COUNTIF(J25,"Cenaze Yardımı (İşçi-Tabii Sebepler Sonucu)")*($AC$47)
+COUNTIF(J25,"Doğal Afet Yardımı")*($AC$48)
+COUNTIF(J25,"Eğitim Yardımı (Çocuk-İlköğretim)")*($AC$49)
+COUNTIF(J25,"Eğitim Yardımı (Çocuk-Ortaöğretim)")*($AC$50)
+COUNTIF(J25,"Eğitim Yardımı (Çocuk-Lise)")*($AC$51)
+COUNTIF(J25,"Eğitim Yardımı (Çocuk-Yükseköğretim)")*($AC$52)
+COUNTIF(J25,"Eğitim Yardımı (İşçi-Lise)")*($AC$53)
+COUNTIF(J25,"Eğitim Yardımı (İşçi-Yükseköğretim)")*($AC$54)
+COUNTIF(J25,"Evlilik Yardımı")*($AC$55)
+COUNTIF(K25,"Yok")*(0)
+COUNTIF(K25,"Bayram Yardımı (Kurban)")*($AC$42)
+COUNTIF(K25,"Bayram Yardımı (Ramazan)")*($AC$43)
+COUNTIF(K25,"Cenaze Yardımı (Anne-Baba)")*($AC$44)
+COUNTIF(K25,"Cenaze Yardımı (Eş-Çocuk)")*($AC$45)
+COUNTIF(K25,"Cenaze Yardımı (İşçi-İş Kazası Sonucu)")*($AC$46)
+COUNTIF(K25,"Cenaze Yardımı (İşçi-Tabii Sebepler Sonucu)")*($AC$47)
+COUNTIF(K25,"Doğal Afet Yardımı")*($AC$48)
+COUNTIF(K25,"Eğitim Yardımı (Çocuk-İlköğretim)")*($AC$49)
+COUNTIF(K25,"Eğitim Yardımı (Çocuk-Ortaöğretim)")*($AC$50)
+COUNTIF(K25,"Eğitim Yardımı (Çocuk-Lise)")*($AC$51)
+COUNTIF(K25,"Eğitim Yardımı (Çocuk-Yükseköğretim)")*($AC$52)
+COUNTIF(K25,"Eğitim Yardımı (İşçi-Lise)")*($AC$53)
+COUNTIF(K25,"Eğitim Yardımı (İşçi-Yükseköğretim)")*($AC$54)
+COUNTIF(K25,"Evlilik Yardımı")*($AC$55)
+COUNTIF(L25,"Yok")*(0)
+COUNTIF(L25,"Bayram Yardımı (Kurban)")*($AC$42)
+COUNTIF(L25,"Bayram Yardımı (Ramazan)")*($AC$43)
+COUNTIF(L25,"Cenaze Yardımı (Anne-Baba)")*($AC$44)
+COUNTIF(L25,"Cenaze Yardımı (Eş-Çocuk)")*($AC$45)
+COUNTIF(L25,"Cenaze Yardımı (İşçi-İş Kazası Sonucu)")*($AC$46)
+COUNTIF(L25,"Cenaze Yardımı (İşçi-Tabii Sebepler Sonucu)")*($AC$47)
+COUNTIF(L25,"Doğal Afet Yardımı")*($AC$48)
+COUNTIF(L25,"Eğitim Yardımı (Çocuk-İlköğretim)")*($AC$49)
+COUNTIF(L25,"Eğitim Yardımı (Çocuk-Ortaöğretim)")*($AC$50)
+COUNTIF(L25,"Eğitim Yardımı (Çocuk-Lise)")*($AC$51)
+COUNTIF(L25,"Eğitim Yardımı (Çocuk-Yükseköğretim)")*($AC$52)
+COUNTIF(L25,"Eğitim Yardımı (İşçi-Lise)")*($AC$53)
+COUNTIF(L25,"Eğitim Yardımı (İşçi-Yükseköğretim)")*($AC$54)
+COUNTIF(L25,"Evlilik Yardımı")*($AC$55)</f>
        <v>0</v>
      </c>
      <c r="AF53" s="64">
        <f>COUNTIF(J25,"Yok")*(0)
+COUNTIF(J25,"Bayram Yardımı (Kurban)")*(0)
+COUNTIF(J25,"Bayram Yardımı (Ramazan)")*(0)
+COUNTIF(J25,"Cenaze Yardımı (Anne-Baba)")*($AC$44)
+COUNTIF(J25,"Cenaze Yardımı (Eş-Çocuk)")*($AC$45)
+COUNTIF(J25,"Cenaze Yardımı (İşçi-İş Kazası Sonucu)")*($AC$46)
+COUNTIF(J25,"Cenaze Yardımı (İşçi-Tabii Sebepler Sonucu)")*($AC$47)
+COUNTIF(J25,"Doğal Afet Yardımı")*($AC$48)
+COUNTIF(J25,"Eğitim Yardımı (Çocuk-İlköğretim)")*(0)
+COUNTIF(J25,"Eğitim Yardımı (Çocuk-Ortaöğretim)")*(0)
+COUNTIF(J25,"Eğitim Yardımı (Çocuk-Lise)")*(0)
+COUNTIF(J25,"Eğitim Yardımı (Çocuk-Yükseköğretim)")*(0)
+COUNTIF(J25,"Eğitim Yardımı (İşçi-Lise)")*(0)
+COUNTIF(J25,"Eğitim Yardımı (İşçi-Yükseköğretim)")*(0)
+COUNTIF(J25,"Evlilik Yardımı")*($AC$55)
+COUNTIF(K25,"Yok")*(0)
+COUNTIF(K25,"Bayram Yardımı (Kurban)")*(0)
+COUNTIF(K25,"Bayram Yardımı (Ramazan)")*(0)
+COUNTIF(K25,"Cenaze Yardımı (Anne-Baba)")*($AC$44)
+COUNTIF(K25,"Cenaze Yardımı (Eş-Çocuk)")*($AC$45)
+COUNTIF(K25,"Cenaze Yardımı (İşçi-İş Kazası Sonucu)")*($AC$46)
+COUNTIF(K25,"Cenaze Yardımı (İşçi-Tabii Sebepler Sonucu)")*($AC$47)
+COUNTIF(K25,"Doğal Afet Yardımı")*($AC$48)
+COUNTIF(K25,"Eğitim Yardımı (Çocuk-İlköğretim)")*(0)
+COUNTIF(K25,"Eğitim Yardımı (Çocuk-Ortaöğretim)")*(0)
+COUNTIF(K25,"Eğitim Yardımı (Çocuk-Lise)")*(0)
+COUNTIF(K25,"Eğitim Yardımı (Çocuk-Yükseköğretim)")*(0)
+COUNTIF(K25,"Eğitim Yardımı (İşçi-Lise)")*(0)
+COUNTIF(K25,"Eğitim Yardımı (İşçi-Yükseköğretim)")*(0)
+COUNTIF(K25,"Evlilik Yardımı")*($AC$55)
+COUNTIF(L25,"Yok")*(0)
+COUNTIF(L25,"Bayram Yardımı (Kurban)")*(0)
+COUNTIF(L25,"Bayram Yardımı (Ramazan)")*(0)
+COUNTIF(L25,"Cenaze Yardımı (Anne-Baba)")*($AC$44)
+COUNTIF(L25,"Cenaze Yardımı (Eş-Çocuk)")*($AC$45)
+COUNTIF(L25,"Cenaze Yardımı (İşçi-İş Kazası Sonucu)")*($AC$46)
+COUNTIF(L25,"Cenaze Yardımı (İşçi-Tabii Sebepler Sonucu)")*($AC$47)
+COUNTIF(L25,"Doğal Afet Yardımı")*($AC$48)
+COUNTIF(L25,"Eğitim Yardımı (Çocuk-İlköğretim)")*(0)
+COUNTIF(L25,"Eğitim Yardımı (Çocuk-Ortaöğretim)")*(0)
+COUNTIF(L25,"Eğitim Yardımı (Çocuk-Lise)")*(0)
+COUNTIF(L25,"Eğitim Yardımı (Çocuk-Yükseköğretim)")*(0)
+COUNTIF(L25,"Eğitim Yardımı (İşçi-Lise)")*(0)
+COUNTIF(L25,"Eğitim Yardımı (İşçi-Yükseköğretim)")*(0)
+COUNTIF(L25,"Evlilik Yardımı")*($AC$55)</f>
        <v>0</v>
      </c>
      <c r="AG53" s="64">
        <f ca="1">COUNTIF(J25,"Yok")*(0)
+COUNTIF(J25,"Bayram Yardımı (Kurban)")*($AC$42*AY83)
+COUNTIF(J25,"Bayram Yardımı (Ramazan)")*($AC$43*AY83)
+COUNTIF(J25,"Cenaze Yardımı (Anne-Baba)")*($AC$44-$AC$44*0.00759)
+COUNTIF(J25,"Cenaze Yardımı (Eş-Çocuk)")*($AC$45-$AC$45*0.00759)
+COUNTIF(J25,"Cenaze Yardımı (İşçi-İş Kazası Sonucu)")*($AC$46-$AC$46*0.00759)
+COUNTIF(J25,"Cenaze Yardımı (İşçi-Tabii Sebepler Sonucu)")*($AC$47-$AC$47*0.00759)
+COUNTIF(J25,"Doğal Afet Yardımı")*($AC$48-$AC$48*0.00759)
+COUNTIF(J25,"Eğitim Yardımı (Çocuk-İlköğretim)")*($AC$49*AY83)
+COUNTIF(J25,"Eğitim Yardımı (Çocuk-Ortaöğretim)")*($AC$50*AY83)
+COUNTIF(J25,"Eğitim Yardımı (Çocuk-Lise)")*($AC$51*AY83)
+COUNTIF(J25,"Eğitim Yardımı (Çocuk-Yükseköğretim)")*($AC$52*AY83)
+COUNTIF(J25,"Eğitim Yardımı (İşçi-Lise)")*($AC$53*AY83)
+COUNTIF(J25,"Eğitim Yardımı (İşçi-Yükseköğretim)")*($AC$54*AY83)
+COUNTIF(J25,"Evlilik Yardımı")*($AC$55-$AC$55*0.00759)
+COUNTIF(K25,"Yok")*(0)
+COUNTIF(K25,"Bayram Yardımı (Kurban)")*($AC$42*AY83)
+COUNTIF(K25,"Bayram Yardımı (Ramazan)")*($AC$43*AY83)
+COUNTIF(K25,"Cenaze Yardımı (Anne-Baba)")*($AC$44-$AC$44*0.00759)
+COUNTIF(K25,"Cenaze Yardımı (Eş-Çocuk)")*($AC$45-$AC$45*0.00759)
+COUNTIF(K25,"Cenaze Yardımı (İşçi-İş Kazası Sonucu)")*($AC$46-$AC$46*0.00759)
+COUNTIF(K25,"Cenaze Yardımı (İşçi-Tabii Sebepler Sonucu)")*($AC$47-$AC$47*0.00759)
+COUNTIF(K25,"Doğal Afet Yardımı")*($AC$48-$AC$48*0.00759)
+COUNTIF(K25,"Eğitim Yardımı (Çocuk-İlköğretim)")*($AC$49*AY83)
+COUNTIF(K25,"Eğitim Yardımı (Çocuk-Ortaöğretim)")*($AC$50*AY83)
+COUNTIF(K25,"Eğitim Yardımı (Çocuk-Lise)")*($AC$51*AY83)
+COUNTIF(K25,"Eğitim Yardımı (Çocuk-Yükseköğretim)")*($AC$52*AY83)
+COUNTIF(K25,"Eğitim Yardımı (İşçi-Lise)")*($AC$53*AY83)
+COUNTIF(K25,"Eğitim Yardımı (İşçi-Yükseköğretim)")*($AC$54*AY83)
+COUNTIF(K25,"Evlilik Yardımı")*($AC$55-$AC$55*0.00759)
+COUNTIF(L25,"Yok")*(0)
+COUNTIF(L25,"Bayram Yardımı (Kurban)")*($AC$42*AY83)
+COUNTIF(L25,"Bayram Yardımı (Ramazan)")*($AC$43*AY83)
+COUNTIF(L25,"Cenaze Yardımı (Anne-Baba)")*($AC$44-$AC$44*0.00759)
+COUNTIF(L25,"Cenaze Yardımı (Eş-Çocuk)")*($AC$45-$AC$45*0.00759)
+COUNTIF(L25,"Cenaze Yardımı (İşçi-İş Kazası Sonucu)")*($AC$46-$AC$46*0.00759)
+COUNTIF(L25,"Cenaze Yardımı (İşçi-Tabii Sebepler Sonucu)")*($AC$47-$AC$47*0.00759)
+COUNTIF(L25,"Doğal Afet Yardımı")*($AC$48-$AC$48*0.00759)
+COUNTIF(L25,"Eğitim Yardımı (Çocuk-İlköğretim)")*($AC$49*AY83)
+COUNTIF(L25,"Eğitim Yardımı (Çocuk-Ortaöğretim)")*($AC$50*AY83)
+COUNTIF(L25,"Eğitim Yardımı (Çocuk-Lise)")*($AC$51*AY83)
+COUNTIF(L25,"Eğitim Yardımı (Çocuk-Yükseköğretim)")*($AC$52*AY83)
+COUNTIF(L25,"Eğitim Yardımı (İşçi-Lise)")*($AC$53*AY83)
+COUNTIF(L25,"Eğitim Yardımı (İşçi-Yükseköğretim)")*($AC$54*AY83)
+COUNTIF(L25,"Evlilik Yardımı")*($AC$55-$AC$55*0.00759)</f>
        <v>0</v>
      </c>
      <c r="AH53" s="54" t="s">
        <v>7</v>
      </c>
      <c r="AI53" s="43">
        <f>COUNTIF(AH53,"Var")*(AJ25*-1)</f>
        <v>-2115.17</v>
      </c>
      <c r="AJ53" s="43">
        <f t="shared" si="73"/>
        <v>2115.17</v>
      </c>
      <c r="AK53" s="64">
        <f ca="1">(AK83*M25+AL53)*-1</f>
        <v>0</v>
      </c>
      <c r="AL53" s="64">
        <f>(AR25+AT25+AV25+AX25+AF11-AM11)*(M25*-1)</f>
        <v>0</v>
      </c>
      <c r="AM53" s="64">
        <f t="shared" ca="1" si="74"/>
        <v>0</v>
      </c>
      <c r="BD53" s="42">
        <v>51</v>
      </c>
      <c r="BE53" s="46">
        <v>25.5</v>
      </c>
      <c r="BF53" s="65" t="s">
        <v>0</v>
      </c>
    </row>
    <row r="54" spans="27:58" ht="39.950000000000003" hidden="1" customHeight="1" x14ac:dyDescent="0.25">
      <c r="AA54" s="55" t="s">
        <v>55</v>
      </c>
      <c r="AB54" s="64">
        <v>2842.16</v>
      </c>
      <c r="AC54" s="64">
        <v>2842.16</v>
      </c>
      <c r="AE54" s="64">
        <f>COUNTIF(J26,"Yok")*(0)
+COUNTIF(J26,"Bayram Yardımı (Kurban)")*($AC$42)
+COUNTIF(J26,"Bayram Yardımı (Ramazan)")*($AC$43)
+COUNTIF(J26,"Cenaze Yardımı (Anne-Baba)")*($AC$44)
+COUNTIF(J26,"Cenaze Yardımı (Eş-Çocuk)")*($AC$45)
+COUNTIF(J26,"Cenaze Yardımı (İşçi-İş Kazası Sonucu)")*($AC$46)
+COUNTIF(J26,"Cenaze Yardımı (İşçi-Tabii Sebepler Sonucu)")*($AC$47)
+COUNTIF(J26,"Doğal Afet Yardımı")*($AC$48)
+COUNTIF(J26,"Eğitim Yardımı (Çocuk-İlköğretim)")*($AC$49)
+COUNTIF(J26,"Eğitim Yardımı (Çocuk-Ortaöğretim)")*($AC$50)
+COUNTIF(J26,"Eğitim Yardımı (Çocuk-Lise)")*($AC$51)
+COUNTIF(J26,"Eğitim Yardımı (Çocuk-Yükseköğretim)")*($AC$52)
+COUNTIF(J26,"Eğitim Yardımı (İşçi-Lise)")*($AC$53)
+COUNTIF(J26,"Eğitim Yardımı (İşçi-Yükseköğretim)")*($AC$54)
+COUNTIF(J26,"Evlilik Yardımı")*($AC$55)
+COUNTIF(K26,"Yok")*(0)
+COUNTIF(K26,"Bayram Yardımı (Kurban)")*($AC$42)
+COUNTIF(K26,"Bayram Yardımı (Ramazan)")*($AC$43)
+COUNTIF(K26,"Cenaze Yardımı (Anne-Baba)")*($AC$44)
+COUNTIF(K26,"Cenaze Yardımı (Eş-Çocuk)")*($AC$45)
+COUNTIF(K26,"Cenaze Yardımı (İşçi-İş Kazası Sonucu)")*($AC$46)
+COUNTIF(K26,"Cenaze Yardımı (İşçi-Tabii Sebepler Sonucu)")*($AC$47)
+COUNTIF(K26,"Doğal Afet Yardımı")*($AC$48)
+COUNTIF(K26,"Eğitim Yardımı (Çocuk-İlköğretim)")*($AC$49)
+COUNTIF(K26,"Eğitim Yardımı (Çocuk-Ortaöğretim)")*($AC$50)
+COUNTIF(K26,"Eğitim Yardımı (Çocuk-Lise)")*($AC$51)
+COUNTIF(K26,"Eğitim Yardımı (Çocuk-Yükseköğretim)")*($AC$52)
+COUNTIF(K26,"Eğitim Yardımı (İşçi-Lise)")*($AC$53)
+COUNTIF(K26,"Eğitim Yardımı (İşçi-Yükseköğretim)")*($AC$54)
+COUNTIF(K26,"Evlilik Yardımı")*($AC$55)
+COUNTIF(L26,"Yok")*(0)
+COUNTIF(L26,"Bayram Yardımı (Kurban)")*($AC$42)
+COUNTIF(L26,"Bayram Yardımı (Ramazan)")*($AC$43)
+COUNTIF(L26,"Cenaze Yardımı (Anne-Baba)")*($AC$44)
+COUNTIF(L26,"Cenaze Yardımı (Eş-Çocuk)")*($AC$45)
+COUNTIF(L26,"Cenaze Yardımı (İşçi-İş Kazası Sonucu)")*($AC$46)
+COUNTIF(L26,"Cenaze Yardımı (İşçi-Tabii Sebepler Sonucu)")*($AC$47)
+COUNTIF(L26,"Doğal Afet Yardımı")*($AC$48)
+COUNTIF(L26,"Eğitim Yardımı (Çocuk-İlköğretim)")*($AC$49)
+COUNTIF(L26,"Eğitim Yardımı (Çocuk-Ortaöğretim)")*($AC$50)
+COUNTIF(L26,"Eğitim Yardımı (Çocuk-Lise)")*($AC$51)
+COUNTIF(L26,"Eğitim Yardımı (Çocuk-Yükseköğretim)")*($AC$52)
+COUNTIF(L26,"Eğitim Yardımı (İşçi-Lise)")*($AC$53)
+COUNTIF(L26,"Eğitim Yardımı (İşçi-Yükseköğretim)")*($AC$54)
+COUNTIF(L26,"Evlilik Yardımı")*($AC$55)</f>
        <v>0</v>
      </c>
      <c r="AF54" s="64">
        <f>COUNTIF(J26,"Yok")*(0)
+COUNTIF(J26,"Bayram Yardımı (Kurban)")*(0)
+COUNTIF(J26,"Bayram Yardımı (Ramazan)")*(0)
+COUNTIF(J26,"Cenaze Yardımı (Anne-Baba)")*($AC$44)
+COUNTIF(J26,"Cenaze Yardımı (Eş-Çocuk)")*($AC$45)
+COUNTIF(J26,"Cenaze Yardımı (İşçi-İş Kazası Sonucu)")*($AC$46)
+COUNTIF(J26,"Cenaze Yardımı (İşçi-Tabii Sebepler Sonucu)")*($AC$47)
+COUNTIF(J26,"Doğal Afet Yardımı")*($AC$48)
+COUNTIF(J26,"Eğitim Yardımı (Çocuk-İlköğretim)")*(0)
+COUNTIF(J26,"Eğitim Yardımı (Çocuk-Ortaöğretim)")*(0)
+COUNTIF(J26,"Eğitim Yardımı (Çocuk-Lise)")*(0)
+COUNTIF(J26,"Eğitim Yardımı (Çocuk-Yükseköğretim)")*(0)
+COUNTIF(J26,"Eğitim Yardımı (İşçi-Lise)")*(0)
+COUNTIF(J26,"Eğitim Yardımı (İşçi-Yükseköğretim)")*(0)
+COUNTIF(J26,"Evlilik Yardımı")*($AC$55)
+COUNTIF(K26,"Yok")*(0)
+COUNTIF(K26,"Bayram Yardımı (Kurban)")*(0)
+COUNTIF(K26,"Bayram Yardımı (Ramazan)")*(0)
+COUNTIF(K26,"Cenaze Yardımı (Anne-Baba)")*($AC$44)
+COUNTIF(K26,"Cenaze Yardımı (Eş-Çocuk)")*($AC$45)
+COUNTIF(K26,"Cenaze Yardımı (İşçi-İş Kazası Sonucu)")*($AC$46)
+COUNTIF(K26,"Cenaze Yardımı (İşçi-Tabii Sebepler Sonucu)")*($AC$47)
+COUNTIF(K26,"Doğal Afet Yardımı")*($AC$48)
+COUNTIF(K26,"Eğitim Yardımı (Çocuk-İlköğretim)")*(0)
+COUNTIF(K26,"Eğitim Yardımı (Çocuk-Ortaöğretim)")*(0)
+COUNTIF(K26,"Eğitim Yardımı (Çocuk-Lise)")*(0)
+COUNTIF(K26,"Eğitim Yardımı (Çocuk-Yükseköğretim)")*(0)
+COUNTIF(K26,"Eğitim Yardımı (İşçi-Lise)")*(0)
+COUNTIF(K26,"Eğitim Yardımı (İşçi-Yükseköğretim)")*(0)
+COUNTIF(K26,"Evlilik Yardımı")*($AC$55)
+COUNTIF(L26,"Yok")*(0)
+COUNTIF(L26,"Bayram Yardımı (Kurban)")*(0)
+COUNTIF(L26,"Bayram Yardımı (Ramazan)")*(0)
+COUNTIF(L26,"Cenaze Yardımı (Anne-Baba)")*($AC$44)
+COUNTIF(L26,"Cenaze Yardımı (Eş-Çocuk)")*($AC$45)
+COUNTIF(L26,"Cenaze Yardımı (İşçi-İş Kazası Sonucu)")*($AC$46)
+COUNTIF(L26,"Cenaze Yardımı (İşçi-Tabii Sebepler Sonucu)")*($AC$47)
+COUNTIF(L26,"Doğal Afet Yardımı")*($AC$48)
+COUNTIF(L26,"Eğitim Yardımı (Çocuk-İlköğretim)")*(0)
+COUNTIF(L26,"Eğitim Yardımı (Çocuk-Ortaöğretim)")*(0)
+COUNTIF(L26,"Eğitim Yardımı (Çocuk-Lise)")*(0)
+COUNTIF(L26,"Eğitim Yardımı (Çocuk-Yükseköğretim)")*(0)
+COUNTIF(L26,"Eğitim Yardımı (İşçi-Lise)")*(0)
+COUNTIF(L26,"Eğitim Yardımı (İşçi-Yükseköğretim)")*(0)
+COUNTIF(L26,"Evlilik Yardımı")*($AC$55)</f>
        <v>0</v>
      </c>
      <c r="AG54" s="64">
        <f ca="1">COUNTIF(J26,"Yok")*(0)
+COUNTIF(J26,"Bayram Yardımı (Kurban)")*($AC$42*AY84)
+COUNTIF(J26,"Bayram Yardımı (Ramazan)")*($AC$43*AY84)
+COUNTIF(J26,"Cenaze Yardımı (Anne-Baba)")*($AC$44-$AC$44*0.00759)
+COUNTIF(J26,"Cenaze Yardımı (Eş-Çocuk)")*($AC$45-$AC$45*0.00759)
+COUNTIF(J26,"Cenaze Yardımı (İşçi-İş Kazası Sonucu)")*($AC$46-$AC$46*0.00759)
+COUNTIF(J26,"Cenaze Yardımı (İşçi-Tabii Sebepler Sonucu)")*($AC$47-$AC$47*0.00759)
+COUNTIF(J26,"Doğal Afet Yardımı")*($AC$48-$AC$48*0.00759)
+COUNTIF(J26,"Eğitim Yardımı (Çocuk-İlköğretim)")*($AC$49*AY84)
+COUNTIF(J26,"Eğitim Yardımı (Çocuk-Ortaöğretim)")*($AC$50*AY84)
+COUNTIF(J26,"Eğitim Yardımı (Çocuk-Lise)")*($AC$51*AY84)
+COUNTIF(J26,"Eğitim Yardımı (Çocuk-Yükseköğretim)")*($AC$52*AY84)
+COUNTIF(J26,"Eğitim Yardımı (İşçi-Lise)")*($AC$53*AY84)
+COUNTIF(J26,"Eğitim Yardımı (İşçi-Yükseköğretim)")*($AC$54*AY84)
+COUNTIF(J26,"Evlilik Yardımı")*($AC$55-$AC$55*0.00759)
+COUNTIF(K26,"Yok")*(0)
+COUNTIF(K26,"Bayram Yardımı (Kurban)")*($AC$42*AY84)
+COUNTIF(K26,"Bayram Yardımı (Ramazan)")*($AC$43*AY84)
+COUNTIF(K26,"Cenaze Yardımı (Anne-Baba)")*($AC$44-$AC$44*0.00759)
+COUNTIF(K26,"Cenaze Yardımı (Eş-Çocuk)")*($AC$45-$AC$45*0.00759)
+COUNTIF(K26,"Cenaze Yardımı (İşçi-İş Kazası Sonucu)")*($AC$46-$AC$46*0.00759)
+COUNTIF(K26,"Cenaze Yardımı (İşçi-Tabii Sebepler Sonucu)")*($AC$47-$AC$47*0.00759)
+COUNTIF(K26,"Doğal Afet Yardımı")*($AC$48-$AC$48*0.00759)
+COUNTIF(K26,"Eğitim Yardımı (Çocuk-İlköğretim)")*($AC$49*AY84)
+COUNTIF(K26,"Eğitim Yardımı (Çocuk-Ortaöğretim)")*($AC$50*AY84)
+COUNTIF(K26,"Eğitim Yardımı (Çocuk-Lise)")*($AC$51*AY84)
+COUNTIF(K26,"Eğitim Yardımı (Çocuk-Yükseköğretim)")*($AC$52*AY84)
+COUNTIF(K26,"Eğitim Yardımı (İşçi-Lise)")*($AC$53*AY84)
+COUNTIF(K26,"Eğitim Yardımı (İşçi-Yükseköğretim)")*($AC$54*AY84)
+COUNTIF(K26,"Evlilik Yardımı")*($AC$55-$AC$55*0.00759)
+COUNTIF(L26,"Yok")*(0)
+COUNTIF(L26,"Bayram Yardımı (Kurban)")*($AC$42*AY84)
+COUNTIF(L26,"Bayram Yardımı (Ramazan)")*($AC$43*AY84)
+COUNTIF(L26,"Cenaze Yardımı (Anne-Baba)")*($AC$44-$AC$44*0.00759)
+COUNTIF(L26,"Cenaze Yardımı (Eş-Çocuk)")*($AC$45-$AC$45*0.00759)
+COUNTIF(L26,"Cenaze Yardımı (İşçi-İş Kazası Sonucu)")*($AC$46-$AC$46*0.00759)
+COUNTIF(L26,"Cenaze Yardımı (İşçi-Tabii Sebepler Sonucu)")*($AC$47-$AC$47*0.00759)
+COUNTIF(L26,"Doğal Afet Yardımı")*($AC$48-$AC$48*0.00759)
+COUNTIF(L26,"Eğitim Yardımı (Çocuk-İlköğretim)")*($AC$49*AY84)
+COUNTIF(L26,"Eğitim Yardımı (Çocuk-Ortaöğretim)")*($AC$50*AY84)
+COUNTIF(L26,"Eğitim Yardımı (Çocuk-Lise)")*($AC$51*AY84)
+COUNTIF(L26,"Eğitim Yardımı (Çocuk-Yükseköğretim)")*($AC$52*AY84)
+COUNTIF(L26,"Eğitim Yardımı (İşçi-Lise)")*($AC$53*AY84)
+COUNTIF(L26,"Eğitim Yardımı (İşçi-Yükseköğretim)")*($AC$54*AY84)
+COUNTIF(L26,"Evlilik Yardımı")*($AC$55-$AC$55*0.00759)</f>
        <v>0</v>
      </c>
      <c r="AH54" s="54" t="s">
        <v>7</v>
      </c>
      <c r="AI54" s="43">
        <f>COUNTIF(AH54,"Var")*(AJ26*-1)</f>
        <v>-2115.17</v>
      </c>
      <c r="AJ54" s="43">
        <f t="shared" si="73"/>
        <v>2115.17</v>
      </c>
      <c r="AK54" s="64">
        <f ca="1">(AK84*M26+AL54)*-1</f>
        <v>0</v>
      </c>
      <c r="AL54" s="64">
        <f>(AR26+AT26+AV26+AX26+AF12-AM12)*(M26*-1)</f>
        <v>0</v>
      </c>
      <c r="AM54" s="64">
        <f t="shared" ca="1" si="74"/>
        <v>0</v>
      </c>
      <c r="BD54" s="42">
        <v>52</v>
      </c>
      <c r="BE54" s="46">
        <v>26</v>
      </c>
      <c r="BF54" s="65" t="s">
        <v>0</v>
      </c>
    </row>
    <row r="55" spans="27:58" ht="39.950000000000003" hidden="1" customHeight="1" x14ac:dyDescent="0.25">
      <c r="AA55" s="55" t="s">
        <v>6</v>
      </c>
      <c r="AB55" s="64">
        <v>1299.51</v>
      </c>
      <c r="AC55" s="64">
        <v>1299.51</v>
      </c>
      <c r="AE55" s="43">
        <f t="shared" ref="AE55" si="75">(AE43+AE44+AE45+AE46+AE47+AE48+AE49+AE50+AE51+AE52+AE53+AE54)</f>
        <v>0</v>
      </c>
      <c r="AF55" s="43">
        <f t="shared" ref="AF55" si="76">(AF43+AF44+AF45+AF46+AF47+AF48+AF49+AF50+AF51+AF52+AF53+AF54)</f>
        <v>0</v>
      </c>
      <c r="AG55" s="43">
        <f t="shared" ref="AG55" ca="1" si="77">(AG43+AG44+AG45+AG46+AG47+AG48+AG49+AG50+AG51+AG52+AG53+AG54)</f>
        <v>0</v>
      </c>
      <c r="AH55" s="48" t="s">
        <v>0</v>
      </c>
      <c r="AI55" s="43">
        <f t="shared" ref="AI55:AJ55" si="78">(AI43+AI44+AI45+AI46+AI47+AI48+AI49+AI50+AI51+AI52+AI53+AI54)</f>
        <v>-25382.039999999994</v>
      </c>
      <c r="AJ55" s="43">
        <f t="shared" si="78"/>
        <v>25382.039999999994</v>
      </c>
      <c r="AK55" s="43">
        <f t="shared" ref="AK55:AM55" ca="1" si="79">(AK43+AK44+AK45+AK46+AK47+AK48+AK49+AK50+AK51+AK52+AK53+AK54)</f>
        <v>0</v>
      </c>
      <c r="AL55" s="43">
        <f t="shared" si="79"/>
        <v>0</v>
      </c>
      <c r="AM55" s="43">
        <f t="shared" ca="1" si="79"/>
        <v>0</v>
      </c>
      <c r="BD55" s="42">
        <v>53</v>
      </c>
      <c r="BE55" s="46">
        <v>26.5</v>
      </c>
      <c r="BF55" s="65" t="s">
        <v>0</v>
      </c>
    </row>
    <row r="56" spans="27:58" ht="39.950000000000003" hidden="1" customHeight="1" x14ac:dyDescent="0.25">
      <c r="AE56" s="43">
        <f t="shared" ref="AE56" si="80">AE55/12</f>
        <v>0</v>
      </c>
      <c r="AF56" s="43">
        <f t="shared" ref="AF56" si="81">AF55/12</f>
        <v>0</v>
      </c>
      <c r="AG56" s="43">
        <f t="shared" ref="AG56" ca="1" si="82">AG55/12</f>
        <v>0</v>
      </c>
      <c r="AH56" s="48" t="s">
        <v>0</v>
      </c>
      <c r="AI56" s="43">
        <f t="shared" ref="AI56:AJ56" si="83">(AI55/12)</f>
        <v>-2115.1699999999996</v>
      </c>
      <c r="AJ56" s="43">
        <f t="shared" si="83"/>
        <v>2115.1699999999996</v>
      </c>
      <c r="AK56" s="43">
        <f t="shared" ref="AK56:AM56" ca="1" si="84">(AK55/12)</f>
        <v>0</v>
      </c>
      <c r="AL56" s="43">
        <f t="shared" si="84"/>
        <v>0</v>
      </c>
      <c r="AM56" s="43">
        <f t="shared" ca="1" si="84"/>
        <v>0</v>
      </c>
      <c r="BD56" s="42">
        <v>54</v>
      </c>
      <c r="BE56" s="46">
        <v>27</v>
      </c>
      <c r="BF56" s="65" t="s">
        <v>0</v>
      </c>
    </row>
    <row r="57" spans="27:58" ht="39.950000000000003" hidden="1" customHeight="1" x14ac:dyDescent="0.25">
      <c r="AV57" s="43">
        <f>(0)</f>
        <v>0</v>
      </c>
      <c r="AW57" s="66">
        <f>(0%)</f>
        <v>0</v>
      </c>
      <c r="BD57" s="42">
        <v>55</v>
      </c>
      <c r="BE57" s="46">
        <v>27.5</v>
      </c>
      <c r="BF57" s="65" t="s">
        <v>0</v>
      </c>
    </row>
    <row r="58" spans="27:58" ht="39.950000000000003" hidden="1" customHeight="1" x14ac:dyDescent="0.25">
      <c r="AE58" s="43">
        <f>($AC$8)</f>
        <v>33030</v>
      </c>
      <c r="AF58" s="43">
        <f>($AC$8)</f>
        <v>33030</v>
      </c>
      <c r="AG58" s="43">
        <f t="shared" ref="AG58:AG69" si="85">(AE58-AF58)</f>
        <v>0</v>
      </c>
      <c r="AH58" s="43">
        <f>(AG58*0.00759*-1)</f>
        <v>0</v>
      </c>
      <c r="AI58" s="43">
        <f>(AE58*0.00759)</f>
        <v>250.69770000000003</v>
      </c>
      <c r="AJ58" s="43">
        <f>(AE58)</f>
        <v>33030</v>
      </c>
      <c r="AK58" s="43">
        <f>(0)</f>
        <v>0</v>
      </c>
      <c r="AL58" s="43">
        <f>(AJ58-AK58)</f>
        <v>33030</v>
      </c>
      <c r="AM58" s="43">
        <f>(AL58*0.14*-1)</f>
        <v>-4624.2000000000007</v>
      </c>
      <c r="AN58" s="43">
        <f>(AL58*0.01*-1)</f>
        <v>-330.3</v>
      </c>
      <c r="AO58" s="67">
        <v>0.15</v>
      </c>
      <c r="AP58" s="41">
        <v>0</v>
      </c>
      <c r="AQ58" s="41">
        <v>190000</v>
      </c>
      <c r="AR58" s="43">
        <v>0</v>
      </c>
      <c r="AS58" s="43">
        <f>(AE58+AM58+AN58-AT58)</f>
        <v>28075.5</v>
      </c>
      <c r="AT58" s="43">
        <f>(0)</f>
        <v>0</v>
      </c>
      <c r="AU58" s="43">
        <f>(AS58-AT58)</f>
        <v>28075.5</v>
      </c>
      <c r="AV58" s="43">
        <f>SUM(AU$58:$AU58)</f>
        <v>28075.5</v>
      </c>
      <c r="AW58" s="66">
        <f>IF(AV58&lt;=$AQ$58,$AO$58,
IF(AV58&gt;$AQ$60,
IF(AV58&gt;$AQ$61,$AO$62,$AO$61),
IF(AV58&lt;$AQ$59,$AO$59,$AO$60)))</f>
        <v>0.15</v>
      </c>
      <c r="AX58" s="54">
        <f>IF(AW58-AW57=0,0,1)</f>
        <v>1</v>
      </c>
      <c r="AY58" s="68">
        <f>IF(AX58=0,AW58,(VLOOKUP($AW58,$AO$58:$AR$62,2,0)-AV57)/AU58*AW57+(AV58-VLOOKUP($AW58,$AO$58:$AR$62,2,0))/AU58*AW58)</f>
        <v>0.15</v>
      </c>
      <c r="AZ58" s="43">
        <f>(ROUND(AU58*AY58,2)+VLOOKUP(AW58,$AO$58:$AR$62,4,0))</f>
        <v>4211.33</v>
      </c>
      <c r="BA58" s="68">
        <f>(100+(100*0.00759*-1)+(100*0.01*-1)+(100*0.01*-1)+(100+100*0.14*-1+100*0.01*-1)*AY58*-1)/100</f>
        <v>0.84491000000000005</v>
      </c>
      <c r="BB58" s="43">
        <f t="shared" ref="BB58:BB69" si="86">AE58</f>
        <v>33030</v>
      </c>
      <c r="BC58" s="43">
        <f t="shared" ref="BC58:BC69" si="87">AE58+AH58+AM58+AN58</f>
        <v>28075.5</v>
      </c>
      <c r="BD58" s="42">
        <v>56</v>
      </c>
      <c r="BE58" s="46">
        <v>28</v>
      </c>
      <c r="BF58" s="65" t="s">
        <v>0</v>
      </c>
    </row>
    <row r="59" spans="27:58" ht="39.950000000000003" hidden="1" customHeight="1" x14ac:dyDescent="0.25">
      <c r="AE59" s="43">
        <f>($AC$8)</f>
        <v>33030</v>
      </c>
      <c r="AF59" s="43">
        <f>($AC$8)</f>
        <v>33030</v>
      </c>
      <c r="AG59" s="43">
        <f t="shared" si="85"/>
        <v>0</v>
      </c>
      <c r="AH59" s="43">
        <f t="shared" ref="AH59:AH69" si="88">(AG59*0.00759*-1)</f>
        <v>0</v>
      </c>
      <c r="AI59" s="43">
        <f t="shared" ref="AI59:AI69" si="89">(AE59*0.00759)</f>
        <v>250.69770000000003</v>
      </c>
      <c r="AJ59" s="43">
        <f t="shared" ref="AJ59:AJ69" si="90">(AE59)</f>
        <v>33030</v>
      </c>
      <c r="AK59" s="43">
        <f>(0)</f>
        <v>0</v>
      </c>
      <c r="AL59" s="43">
        <f t="shared" ref="AL59:AL69" si="91">(AJ59-AK59)</f>
        <v>33030</v>
      </c>
      <c r="AM59" s="43">
        <f t="shared" ref="AM59:AM69" si="92">(AL59*0.14*-1)</f>
        <v>-4624.2000000000007</v>
      </c>
      <c r="AN59" s="43">
        <f t="shared" ref="AN59:AN69" si="93">(AL59*0.01*-1)</f>
        <v>-330.3</v>
      </c>
      <c r="AO59" s="67">
        <v>0.2</v>
      </c>
      <c r="AP59" s="43">
        <f>$AQ$58</f>
        <v>190000</v>
      </c>
      <c r="AQ59" s="41">
        <v>400000</v>
      </c>
      <c r="AR59" s="43">
        <f>(AQ58-AP58)*AO58+AR58</f>
        <v>28500</v>
      </c>
      <c r="AS59" s="43">
        <f t="shared" ref="AS59:AS69" si="94">(AE59+AM59+AN59-AT59)</f>
        <v>28075.5</v>
      </c>
      <c r="AT59" s="43">
        <f>(0)</f>
        <v>0</v>
      </c>
      <c r="AU59" s="43">
        <f t="shared" ref="AU59:AU69" si="95">(AS59-AT59)</f>
        <v>28075.5</v>
      </c>
      <c r="AV59" s="43">
        <f>SUM(AU$58:$AU59)</f>
        <v>56151</v>
      </c>
      <c r="AW59" s="66">
        <f>IF(AV59&lt;=$AQ$58,$AO$58,
IF(AV59&gt;$AQ$60,
IF(AV59&gt;$AQ$61,$AO$62,$AO$61),
IF(AV59&lt;$AQ$59,$AO$59,$AO$60)))</f>
        <v>0.15</v>
      </c>
      <c r="AX59" s="54">
        <f t="shared" ref="AX59:AX69" si="96">IF(AW59-AW58=0,0,1)</f>
        <v>0</v>
      </c>
      <c r="AY59" s="68">
        <f>IF(AX59=0,AW59,(VLOOKUP($AW59,$AO$58:$AR$62,2,0)-AV58)/AU59*AW58+(AV59-VLOOKUP($AW59,$AO$58:$AR$62,2,0))/AU59*AW59)</f>
        <v>0.15</v>
      </c>
      <c r="AZ59" s="43">
        <f>(ROUND(AU59*AY59,2))</f>
        <v>4211.33</v>
      </c>
      <c r="BA59" s="68">
        <f t="shared" ref="BA59:BA69" si="97">(100+(100*0.00759*-1)+(100*0.01*-1)+(100*0.01*-1)+(100+100*0.14*-1+100*0.01*-1)*AY59*-1)/100</f>
        <v>0.84491000000000005</v>
      </c>
      <c r="BB59" s="43">
        <f t="shared" si="86"/>
        <v>33030</v>
      </c>
      <c r="BC59" s="43">
        <f t="shared" si="87"/>
        <v>28075.5</v>
      </c>
      <c r="BD59" s="42">
        <v>57</v>
      </c>
      <c r="BE59" s="46">
        <v>28.5</v>
      </c>
      <c r="BF59" s="65" t="s">
        <v>0</v>
      </c>
    </row>
    <row r="60" spans="27:58" ht="39.950000000000003" hidden="1" customHeight="1" x14ac:dyDescent="0.25">
      <c r="AE60" s="43">
        <f>($AC$8)</f>
        <v>33030</v>
      </c>
      <c r="AF60" s="43">
        <f>($AC$8)</f>
        <v>33030</v>
      </c>
      <c r="AG60" s="43">
        <f t="shared" si="85"/>
        <v>0</v>
      </c>
      <c r="AH60" s="43">
        <f t="shared" si="88"/>
        <v>0</v>
      </c>
      <c r="AI60" s="43">
        <f t="shared" si="89"/>
        <v>250.69770000000003</v>
      </c>
      <c r="AJ60" s="43">
        <f t="shared" si="90"/>
        <v>33030</v>
      </c>
      <c r="AK60" s="43">
        <f>(0)</f>
        <v>0</v>
      </c>
      <c r="AL60" s="43">
        <f t="shared" si="91"/>
        <v>33030</v>
      </c>
      <c r="AM60" s="43">
        <f t="shared" si="92"/>
        <v>-4624.2000000000007</v>
      </c>
      <c r="AN60" s="43">
        <f t="shared" si="93"/>
        <v>-330.3</v>
      </c>
      <c r="AO60" s="67">
        <v>0.27</v>
      </c>
      <c r="AP60" s="43">
        <f>$AQ$59</f>
        <v>400000</v>
      </c>
      <c r="AQ60" s="41">
        <v>1500000</v>
      </c>
      <c r="AR60" s="43">
        <f>(AQ59-AP59)*AO59+AR59</f>
        <v>70500</v>
      </c>
      <c r="AS60" s="43">
        <f t="shared" si="94"/>
        <v>28075.5</v>
      </c>
      <c r="AT60" s="43">
        <f>(0)</f>
        <v>0</v>
      </c>
      <c r="AU60" s="43">
        <f t="shared" si="95"/>
        <v>28075.5</v>
      </c>
      <c r="AV60" s="43">
        <f>SUM(AU$58:$AU60)</f>
        <v>84226.5</v>
      </c>
      <c r="AW60" s="66">
        <f>IF(AV60&lt;=$AQ$58,$AO$58,
IF(AV60&gt;$AQ$60,
IF(AV60&gt;$AQ$61,$AO$62,$AO$61),
IF(AV60&lt;$AQ$59,$AO$59,$AO$60)))</f>
        <v>0.15</v>
      </c>
      <c r="AX60" s="54">
        <f t="shared" si="96"/>
        <v>0</v>
      </c>
      <c r="AY60" s="68">
        <f>IF(AX60=0,AW60,(VLOOKUP($AW60,$AO$58:$AR$62,2,0)-AV59)/AU60*AW59+(AV60-VLOOKUP($AW60,$AO$58:$AR$62,2,0))/AU60*AW60)</f>
        <v>0.15</v>
      </c>
      <c r="AZ60" s="43">
        <f t="shared" ref="AZ60:AZ69" si="98">(ROUND(AU60*AY60,2))</f>
        <v>4211.33</v>
      </c>
      <c r="BA60" s="68">
        <f t="shared" si="97"/>
        <v>0.84491000000000005</v>
      </c>
      <c r="BB60" s="43">
        <f t="shared" si="86"/>
        <v>33030</v>
      </c>
      <c r="BC60" s="43">
        <f t="shared" si="87"/>
        <v>28075.5</v>
      </c>
      <c r="BD60" s="42">
        <v>58</v>
      </c>
      <c r="BE60" s="46">
        <v>29</v>
      </c>
      <c r="BF60" s="65" t="s">
        <v>0</v>
      </c>
    </row>
    <row r="61" spans="27:58" ht="39.950000000000003" hidden="1" customHeight="1" x14ac:dyDescent="0.25">
      <c r="AE61" s="43">
        <f>($AC$8)</f>
        <v>33030</v>
      </c>
      <c r="AF61" s="43">
        <f>($AC$8)</f>
        <v>33030</v>
      </c>
      <c r="AG61" s="43">
        <f t="shared" si="85"/>
        <v>0</v>
      </c>
      <c r="AH61" s="43">
        <f t="shared" si="88"/>
        <v>0</v>
      </c>
      <c r="AI61" s="43">
        <f t="shared" si="89"/>
        <v>250.69770000000003</v>
      </c>
      <c r="AJ61" s="43">
        <f t="shared" si="90"/>
        <v>33030</v>
      </c>
      <c r="AK61" s="43">
        <f>(0)</f>
        <v>0</v>
      </c>
      <c r="AL61" s="43">
        <f t="shared" si="91"/>
        <v>33030</v>
      </c>
      <c r="AM61" s="43">
        <f t="shared" si="92"/>
        <v>-4624.2000000000007</v>
      </c>
      <c r="AN61" s="43">
        <f t="shared" si="93"/>
        <v>-330.3</v>
      </c>
      <c r="AO61" s="67">
        <v>0.35</v>
      </c>
      <c r="AP61" s="43">
        <f>$AQ$60</f>
        <v>1500000</v>
      </c>
      <c r="AQ61" s="41">
        <v>5300000</v>
      </c>
      <c r="AR61" s="43">
        <f>(AQ60-AP60)*AO60+AR60</f>
        <v>367500</v>
      </c>
      <c r="AS61" s="43">
        <f t="shared" si="94"/>
        <v>28075.5</v>
      </c>
      <c r="AT61" s="43">
        <f>(0)</f>
        <v>0</v>
      </c>
      <c r="AU61" s="43">
        <f t="shared" si="95"/>
        <v>28075.5</v>
      </c>
      <c r="AV61" s="43">
        <f>SUM(AU$58:$AU61)</f>
        <v>112302</v>
      </c>
      <c r="AW61" s="66">
        <f>IF(AV61&lt;=$AQ$58,$AO$58,
IF(AV61&gt;$AQ$60,
IF(AV61&gt;$AQ$61,$AO$62,$AO$61),
IF(AV61&lt;$AQ$59,$AO$59,$AO$60)))</f>
        <v>0.15</v>
      </c>
      <c r="AX61" s="54">
        <f t="shared" si="96"/>
        <v>0</v>
      </c>
      <c r="AY61" s="68">
        <f>IF(AX61=0,AW61,(VLOOKUP($AW61,$AO$58:$AR$62,2,0)-AV60)/AU61*AW60+(AV61-VLOOKUP($AW61,$AO$58:$AR$62,2,0))/AU61*AW61)</f>
        <v>0.15</v>
      </c>
      <c r="AZ61" s="43">
        <f t="shared" si="98"/>
        <v>4211.33</v>
      </c>
      <c r="BA61" s="68">
        <f t="shared" si="97"/>
        <v>0.84491000000000005</v>
      </c>
      <c r="BB61" s="43">
        <f t="shared" si="86"/>
        <v>33030</v>
      </c>
      <c r="BC61" s="43">
        <f t="shared" si="87"/>
        <v>28075.5</v>
      </c>
      <c r="BD61" s="42">
        <v>59</v>
      </c>
      <c r="BE61" s="46">
        <v>29.5</v>
      </c>
      <c r="BF61" s="65" t="s">
        <v>0</v>
      </c>
    </row>
    <row r="62" spans="27:58" ht="39.950000000000003" hidden="1" customHeight="1" x14ac:dyDescent="0.25">
      <c r="AE62" s="43">
        <f>($AC$8)</f>
        <v>33030</v>
      </c>
      <c r="AF62" s="43">
        <f>($AC$8)</f>
        <v>33030</v>
      </c>
      <c r="AG62" s="43">
        <f t="shared" si="85"/>
        <v>0</v>
      </c>
      <c r="AH62" s="43">
        <f t="shared" si="88"/>
        <v>0</v>
      </c>
      <c r="AI62" s="43">
        <f t="shared" si="89"/>
        <v>250.69770000000003</v>
      </c>
      <c r="AJ62" s="43">
        <f t="shared" si="90"/>
        <v>33030</v>
      </c>
      <c r="AK62" s="43">
        <f>(0)</f>
        <v>0</v>
      </c>
      <c r="AL62" s="43">
        <f t="shared" si="91"/>
        <v>33030</v>
      </c>
      <c r="AM62" s="43">
        <f t="shared" si="92"/>
        <v>-4624.2000000000007</v>
      </c>
      <c r="AN62" s="43">
        <f t="shared" si="93"/>
        <v>-330.3</v>
      </c>
      <c r="AO62" s="67">
        <v>0.4</v>
      </c>
      <c r="AP62" s="69">
        <f>$AQ$61</f>
        <v>5300000</v>
      </c>
      <c r="AQ62" s="43">
        <v>999999999</v>
      </c>
      <c r="AR62" s="43">
        <f>(AQ61-AP61)*AO61+AR61</f>
        <v>1697500</v>
      </c>
      <c r="AS62" s="43">
        <f t="shared" si="94"/>
        <v>28075.5</v>
      </c>
      <c r="AT62" s="43">
        <f>(0)</f>
        <v>0</v>
      </c>
      <c r="AU62" s="43">
        <f t="shared" si="95"/>
        <v>28075.5</v>
      </c>
      <c r="AV62" s="43">
        <f>SUM(AU$58:$AU62)</f>
        <v>140377.5</v>
      </c>
      <c r="AW62" s="66">
        <f>IF(AV62&lt;=$AQ$58,$AO$58,
IF(AV62&gt;$AQ$60,
IF(AV62&gt;$AQ$61,$AO$62,$AO$61),
IF(AV62&lt;$AQ$59,$AO$59,$AO$60)))</f>
        <v>0.15</v>
      </c>
      <c r="AX62" s="54">
        <f t="shared" si="96"/>
        <v>0</v>
      </c>
      <c r="AY62" s="68">
        <f>IF(AX62=0,AW62,(VLOOKUP($AW62,$AO$58:$AR$62,2,0)-AV61)/AU62*AW61+(AV62-VLOOKUP($AW62,$AO$58:$AR$62,2,0))/AU62*AW62)</f>
        <v>0.15</v>
      </c>
      <c r="AZ62" s="43">
        <f t="shared" si="98"/>
        <v>4211.33</v>
      </c>
      <c r="BA62" s="68">
        <f t="shared" si="97"/>
        <v>0.84491000000000005</v>
      </c>
      <c r="BB62" s="43">
        <f t="shared" si="86"/>
        <v>33030</v>
      </c>
      <c r="BC62" s="43">
        <f t="shared" si="87"/>
        <v>28075.5</v>
      </c>
      <c r="BD62" s="42">
        <v>60</v>
      </c>
      <c r="BE62" s="46">
        <v>30</v>
      </c>
      <c r="BF62" s="65" t="s">
        <v>0</v>
      </c>
    </row>
    <row r="63" spans="27:58" ht="39.950000000000003" hidden="1" customHeight="1" x14ac:dyDescent="0.25">
      <c r="AE63" s="43">
        <f>($AC$8)</f>
        <v>33030</v>
      </c>
      <c r="AF63" s="43">
        <f>($AC$8)</f>
        <v>33030</v>
      </c>
      <c r="AG63" s="43">
        <f t="shared" si="85"/>
        <v>0</v>
      </c>
      <c r="AH63" s="43">
        <f t="shared" si="88"/>
        <v>0</v>
      </c>
      <c r="AI63" s="43">
        <f t="shared" si="89"/>
        <v>250.69770000000003</v>
      </c>
      <c r="AJ63" s="43">
        <f t="shared" si="90"/>
        <v>33030</v>
      </c>
      <c r="AK63" s="43">
        <f>(0)</f>
        <v>0</v>
      </c>
      <c r="AL63" s="43">
        <f t="shared" si="91"/>
        <v>33030</v>
      </c>
      <c r="AM63" s="43">
        <f t="shared" si="92"/>
        <v>-4624.2000000000007</v>
      </c>
      <c r="AN63" s="43">
        <f t="shared" si="93"/>
        <v>-330.3</v>
      </c>
      <c r="AS63" s="43">
        <f t="shared" si="94"/>
        <v>28075.5</v>
      </c>
      <c r="AT63" s="43">
        <f>(0)</f>
        <v>0</v>
      </c>
      <c r="AU63" s="43">
        <f t="shared" si="95"/>
        <v>28075.5</v>
      </c>
      <c r="AV63" s="43">
        <f>SUM(AU$58:$AU63)</f>
        <v>168453</v>
      </c>
      <c r="AW63" s="66">
        <f>IF(AV63&lt;=$AQ$58,$AO$58,
IF(AV63&gt;$AQ$60,
IF(AV63&gt;$AQ$61,$AO$62,$AO$61),
IF(AV63&lt;$AQ$59,$AO$59,$AO$60)))</f>
        <v>0.15</v>
      </c>
      <c r="AX63" s="54">
        <f t="shared" si="96"/>
        <v>0</v>
      </c>
      <c r="AY63" s="68">
        <f>IF(AX63=0,AW63,(VLOOKUP($AW63,$AO$58:$AR$62,2,0)-AV62)/AU63*AW62+(AV63-VLOOKUP($AW63,$AO$58:$AR$62,2,0))/AU63*AW63)</f>
        <v>0.15</v>
      </c>
      <c r="AZ63" s="43">
        <f t="shared" si="98"/>
        <v>4211.33</v>
      </c>
      <c r="BA63" s="68">
        <f t="shared" si="97"/>
        <v>0.84491000000000005</v>
      </c>
      <c r="BB63" s="43">
        <f t="shared" si="86"/>
        <v>33030</v>
      </c>
      <c r="BC63" s="43">
        <f t="shared" si="87"/>
        <v>28075.5</v>
      </c>
      <c r="BD63" s="42">
        <v>61</v>
      </c>
      <c r="BE63" s="46">
        <v>30.5</v>
      </c>
      <c r="BF63" s="65" t="s">
        <v>0</v>
      </c>
    </row>
    <row r="64" spans="27:58" ht="39.950000000000003" hidden="1" customHeight="1" x14ac:dyDescent="0.25">
      <c r="AE64" s="43">
        <f>($AD$8)</f>
        <v>33030</v>
      </c>
      <c r="AF64" s="43">
        <f>($AD$8)</f>
        <v>33030</v>
      </c>
      <c r="AG64" s="43">
        <f t="shared" si="85"/>
        <v>0</v>
      </c>
      <c r="AH64" s="43">
        <f t="shared" si="88"/>
        <v>0</v>
      </c>
      <c r="AI64" s="43">
        <f t="shared" si="89"/>
        <v>250.69770000000003</v>
      </c>
      <c r="AJ64" s="43">
        <f t="shared" si="90"/>
        <v>33030</v>
      </c>
      <c r="AK64" s="43">
        <f>(0)</f>
        <v>0</v>
      </c>
      <c r="AL64" s="43">
        <f t="shared" si="91"/>
        <v>33030</v>
      </c>
      <c r="AM64" s="43">
        <f t="shared" si="92"/>
        <v>-4624.2000000000007</v>
      </c>
      <c r="AN64" s="43">
        <f t="shared" si="93"/>
        <v>-330.3</v>
      </c>
      <c r="AS64" s="43">
        <f t="shared" si="94"/>
        <v>28075.5</v>
      </c>
      <c r="AT64" s="43">
        <f>(0)</f>
        <v>0</v>
      </c>
      <c r="AU64" s="43">
        <f t="shared" si="95"/>
        <v>28075.5</v>
      </c>
      <c r="AV64" s="43">
        <f>SUM(AU$58:$AU64)</f>
        <v>196528.5</v>
      </c>
      <c r="AW64" s="66">
        <f>IF(AV64&lt;=$AQ$58,$AO$58,
IF(AV64&gt;$AQ$60,
IF(AV64&gt;$AQ$61,$AO$62,$AO$61),
IF(AV64&lt;$AQ$59,$AO$59,$AO$60)))</f>
        <v>0.2</v>
      </c>
      <c r="AX64" s="54">
        <f t="shared" si="96"/>
        <v>1</v>
      </c>
      <c r="AY64" s="68">
        <f>IF(AX64=0,AW64,(VLOOKUP($AW64,$AO$58:$AR$62,2,0)-AV63)/AU64*AW63+(AV64-VLOOKUP($AW64,$AO$58:$AR$62,2,0))/AU64*AW64)</f>
        <v>0.16162668518815337</v>
      </c>
      <c r="AZ64" s="43">
        <f t="shared" si="98"/>
        <v>4537.75</v>
      </c>
      <c r="BA64" s="68">
        <f t="shared" si="97"/>
        <v>0.83502731759006965</v>
      </c>
      <c r="BB64" s="43">
        <f t="shared" si="86"/>
        <v>33030</v>
      </c>
      <c r="BC64" s="43">
        <f t="shared" si="87"/>
        <v>28075.5</v>
      </c>
      <c r="BD64" s="42">
        <v>62</v>
      </c>
      <c r="BE64" s="46">
        <v>31</v>
      </c>
      <c r="BF64" s="65" t="s">
        <v>0</v>
      </c>
    </row>
    <row r="65" spans="31:58" ht="39.950000000000003" hidden="1" customHeight="1" x14ac:dyDescent="0.25">
      <c r="AE65" s="43">
        <f>($AD$8)</f>
        <v>33030</v>
      </c>
      <c r="AF65" s="43">
        <f>($AD$8)</f>
        <v>33030</v>
      </c>
      <c r="AG65" s="43">
        <f t="shared" si="85"/>
        <v>0</v>
      </c>
      <c r="AH65" s="43">
        <f t="shared" si="88"/>
        <v>0</v>
      </c>
      <c r="AI65" s="43">
        <f t="shared" si="89"/>
        <v>250.69770000000003</v>
      </c>
      <c r="AJ65" s="43">
        <f t="shared" si="90"/>
        <v>33030</v>
      </c>
      <c r="AK65" s="43">
        <f>(0)</f>
        <v>0</v>
      </c>
      <c r="AL65" s="43">
        <f t="shared" si="91"/>
        <v>33030</v>
      </c>
      <c r="AM65" s="43">
        <f t="shared" si="92"/>
        <v>-4624.2000000000007</v>
      </c>
      <c r="AN65" s="43">
        <f t="shared" si="93"/>
        <v>-330.3</v>
      </c>
      <c r="AS65" s="43">
        <f t="shared" si="94"/>
        <v>28075.5</v>
      </c>
      <c r="AT65" s="43">
        <f>(0)</f>
        <v>0</v>
      </c>
      <c r="AU65" s="43">
        <f t="shared" si="95"/>
        <v>28075.5</v>
      </c>
      <c r="AV65" s="43">
        <f>SUM(AU$58:$AU65)</f>
        <v>224604</v>
      </c>
      <c r="AW65" s="66">
        <f>IF(AV65&lt;=$AQ$58,$AO$58,
IF(AV65&gt;$AQ$60,
IF(AV65&gt;$AQ$61,$AO$62,$AO$61),
IF(AV65&lt;$AQ$59,$AO$59,$AO$60)))</f>
        <v>0.2</v>
      </c>
      <c r="AX65" s="54">
        <f t="shared" si="96"/>
        <v>0</v>
      </c>
      <c r="AY65" s="68">
        <f>IF(AX65=0,AW65,(VLOOKUP($AW65,$AO$58:$AR$62,2,0)-AV64)/AU65*AW64+(AV65-VLOOKUP($AW65,$AO$58:$AR$62,2,0))/AU65*AW65)</f>
        <v>0.2</v>
      </c>
      <c r="AZ65" s="43">
        <f t="shared" si="98"/>
        <v>5615.1</v>
      </c>
      <c r="BA65" s="68">
        <f t="shared" si="97"/>
        <v>0.80240999999999996</v>
      </c>
      <c r="BB65" s="43">
        <f t="shared" si="86"/>
        <v>33030</v>
      </c>
      <c r="BC65" s="43">
        <f t="shared" si="87"/>
        <v>28075.5</v>
      </c>
      <c r="BD65" s="42">
        <v>63</v>
      </c>
      <c r="BE65" s="46">
        <v>31.5</v>
      </c>
      <c r="BF65" s="65" t="s">
        <v>0</v>
      </c>
    </row>
    <row r="66" spans="31:58" ht="39.950000000000003" hidden="1" customHeight="1" x14ac:dyDescent="0.25">
      <c r="AE66" s="43">
        <f>($AD$8)</f>
        <v>33030</v>
      </c>
      <c r="AF66" s="43">
        <f>($AD$8)</f>
        <v>33030</v>
      </c>
      <c r="AG66" s="43">
        <f t="shared" si="85"/>
        <v>0</v>
      </c>
      <c r="AH66" s="43">
        <f t="shared" si="88"/>
        <v>0</v>
      </c>
      <c r="AI66" s="43">
        <f t="shared" si="89"/>
        <v>250.69770000000003</v>
      </c>
      <c r="AJ66" s="43">
        <f t="shared" si="90"/>
        <v>33030</v>
      </c>
      <c r="AK66" s="43">
        <f>(0)</f>
        <v>0</v>
      </c>
      <c r="AL66" s="43">
        <f t="shared" si="91"/>
        <v>33030</v>
      </c>
      <c r="AM66" s="43">
        <f t="shared" si="92"/>
        <v>-4624.2000000000007</v>
      </c>
      <c r="AN66" s="43">
        <f t="shared" si="93"/>
        <v>-330.3</v>
      </c>
      <c r="AS66" s="43">
        <f t="shared" si="94"/>
        <v>28075.5</v>
      </c>
      <c r="AT66" s="43">
        <f>(0)</f>
        <v>0</v>
      </c>
      <c r="AU66" s="43">
        <f t="shared" si="95"/>
        <v>28075.5</v>
      </c>
      <c r="AV66" s="43">
        <f>SUM(AU$58:$AU66)</f>
        <v>252679.5</v>
      </c>
      <c r="AW66" s="66">
        <f>IF(AV66&lt;=$AQ$58,$AO$58,
IF(AV66&gt;$AQ$60,
IF(AV66&gt;$AQ$61,$AO$62,$AO$61),
IF(AV66&lt;$AQ$59,$AO$59,$AO$60)))</f>
        <v>0.2</v>
      </c>
      <c r="AX66" s="54">
        <f t="shared" si="96"/>
        <v>0</v>
      </c>
      <c r="AY66" s="68">
        <f>IF(AX66=0,AW66,(VLOOKUP($AW66,$AO$58:$AR$62,2,0)-AV65)/AU66*AW65+(AV66-VLOOKUP($AW66,$AO$58:$AR$62,2,0))/AU66*AW66)</f>
        <v>0.2</v>
      </c>
      <c r="AZ66" s="43">
        <f t="shared" si="98"/>
        <v>5615.1</v>
      </c>
      <c r="BA66" s="68">
        <f t="shared" si="97"/>
        <v>0.80240999999999996</v>
      </c>
      <c r="BB66" s="43">
        <f t="shared" si="86"/>
        <v>33030</v>
      </c>
      <c r="BC66" s="43">
        <f t="shared" si="87"/>
        <v>28075.5</v>
      </c>
      <c r="BD66" s="42">
        <v>64</v>
      </c>
      <c r="BE66" s="46">
        <v>32</v>
      </c>
      <c r="BF66" s="65" t="s">
        <v>0</v>
      </c>
    </row>
    <row r="67" spans="31:58" ht="39.950000000000003" hidden="1" customHeight="1" x14ac:dyDescent="0.25">
      <c r="AE67" s="43">
        <f>($AD$8)</f>
        <v>33030</v>
      </c>
      <c r="AF67" s="43">
        <f>($AD$8)</f>
        <v>33030</v>
      </c>
      <c r="AG67" s="43">
        <f t="shared" si="85"/>
        <v>0</v>
      </c>
      <c r="AH67" s="43">
        <f t="shared" si="88"/>
        <v>0</v>
      </c>
      <c r="AI67" s="43">
        <f t="shared" si="89"/>
        <v>250.69770000000003</v>
      </c>
      <c r="AJ67" s="43">
        <f t="shared" si="90"/>
        <v>33030</v>
      </c>
      <c r="AK67" s="43">
        <f>(0)</f>
        <v>0</v>
      </c>
      <c r="AL67" s="43">
        <f t="shared" si="91"/>
        <v>33030</v>
      </c>
      <c r="AM67" s="43">
        <f t="shared" si="92"/>
        <v>-4624.2000000000007</v>
      </c>
      <c r="AN67" s="43">
        <f t="shared" si="93"/>
        <v>-330.3</v>
      </c>
      <c r="AS67" s="43">
        <f t="shared" si="94"/>
        <v>28075.5</v>
      </c>
      <c r="AT67" s="43">
        <f>(0)</f>
        <v>0</v>
      </c>
      <c r="AU67" s="43">
        <f t="shared" si="95"/>
        <v>28075.5</v>
      </c>
      <c r="AV67" s="43">
        <f>SUM(AU$58:$AU67)</f>
        <v>280755</v>
      </c>
      <c r="AW67" s="66">
        <f>IF(AV67&lt;=$AQ$58,$AO$58,
IF(AV67&gt;$AQ$60,
IF(AV67&gt;$AQ$61,$AO$62,$AO$61),
IF(AV67&lt;$AQ$59,$AO$59,$AO$60)))</f>
        <v>0.2</v>
      </c>
      <c r="AX67" s="54">
        <f t="shared" si="96"/>
        <v>0</v>
      </c>
      <c r="AY67" s="68">
        <f>IF(AX67=0,AW67,(VLOOKUP($AW67,$AO$58:$AR$62,2,0)-AV66)/AU67*AW66+(AV67-VLOOKUP($AW67,$AO$58:$AR$62,2,0))/AU67*AW67)</f>
        <v>0.2</v>
      </c>
      <c r="AZ67" s="43">
        <f t="shared" si="98"/>
        <v>5615.1</v>
      </c>
      <c r="BA67" s="68">
        <f t="shared" si="97"/>
        <v>0.80240999999999996</v>
      </c>
      <c r="BB67" s="43">
        <f t="shared" si="86"/>
        <v>33030</v>
      </c>
      <c r="BC67" s="43">
        <f t="shared" si="87"/>
        <v>28075.5</v>
      </c>
      <c r="BD67" s="42">
        <v>65</v>
      </c>
      <c r="BE67" s="46">
        <v>32.5</v>
      </c>
      <c r="BF67" s="65" t="s">
        <v>0</v>
      </c>
    </row>
    <row r="68" spans="31:58" ht="39.950000000000003" hidden="1" customHeight="1" x14ac:dyDescent="0.25">
      <c r="AE68" s="43">
        <f>($AD$8)</f>
        <v>33030</v>
      </c>
      <c r="AF68" s="43">
        <f>($AD$8)</f>
        <v>33030</v>
      </c>
      <c r="AG68" s="43">
        <f t="shared" si="85"/>
        <v>0</v>
      </c>
      <c r="AH68" s="43">
        <f t="shared" si="88"/>
        <v>0</v>
      </c>
      <c r="AI68" s="43">
        <f t="shared" si="89"/>
        <v>250.69770000000003</v>
      </c>
      <c r="AJ68" s="43">
        <f t="shared" si="90"/>
        <v>33030</v>
      </c>
      <c r="AK68" s="43">
        <f>(0)</f>
        <v>0</v>
      </c>
      <c r="AL68" s="43">
        <f t="shared" si="91"/>
        <v>33030</v>
      </c>
      <c r="AM68" s="43">
        <f t="shared" si="92"/>
        <v>-4624.2000000000007</v>
      </c>
      <c r="AN68" s="43">
        <f t="shared" si="93"/>
        <v>-330.3</v>
      </c>
      <c r="AS68" s="43">
        <f t="shared" si="94"/>
        <v>28075.5</v>
      </c>
      <c r="AT68" s="43">
        <f>(0)</f>
        <v>0</v>
      </c>
      <c r="AU68" s="43">
        <f t="shared" si="95"/>
        <v>28075.5</v>
      </c>
      <c r="AV68" s="43">
        <f>SUM(AU$58:$AU68)</f>
        <v>308830.5</v>
      </c>
      <c r="AW68" s="66">
        <f>IF(AV68&lt;=$AQ$58,$AO$58,
IF(AV68&gt;$AQ$60,
IF(AV68&gt;$AQ$61,$AO$62,$AO$61),
IF(AV68&lt;$AQ$59,$AO$59,$AO$60)))</f>
        <v>0.2</v>
      </c>
      <c r="AX68" s="54">
        <f t="shared" si="96"/>
        <v>0</v>
      </c>
      <c r="AY68" s="68">
        <f>IF(AX68=0,AW68,(VLOOKUP($AW68,$AO$58:$AR$62,2,0)-AV67)/AU68*AW67+(AV68-VLOOKUP($AW68,$AO$58:$AR$62,2,0))/AU68*AW68)</f>
        <v>0.2</v>
      </c>
      <c r="AZ68" s="43">
        <f t="shared" si="98"/>
        <v>5615.1</v>
      </c>
      <c r="BA68" s="68">
        <f t="shared" si="97"/>
        <v>0.80240999999999996</v>
      </c>
      <c r="BB68" s="43">
        <f t="shared" si="86"/>
        <v>33030</v>
      </c>
      <c r="BC68" s="43">
        <f t="shared" si="87"/>
        <v>28075.5</v>
      </c>
      <c r="BD68" s="42">
        <v>66</v>
      </c>
      <c r="BE68" s="46">
        <v>33</v>
      </c>
      <c r="BF68" s="65" t="s">
        <v>0</v>
      </c>
    </row>
    <row r="69" spans="31:58" ht="39.950000000000003" hidden="1" customHeight="1" x14ac:dyDescent="0.25">
      <c r="AE69" s="43">
        <f>($AD$8)</f>
        <v>33030</v>
      </c>
      <c r="AF69" s="43">
        <f>($AD$8)</f>
        <v>33030</v>
      </c>
      <c r="AG69" s="43">
        <f t="shared" si="85"/>
        <v>0</v>
      </c>
      <c r="AH69" s="43">
        <f t="shared" si="88"/>
        <v>0</v>
      </c>
      <c r="AI69" s="43">
        <f t="shared" si="89"/>
        <v>250.69770000000003</v>
      </c>
      <c r="AJ69" s="43">
        <f t="shared" si="90"/>
        <v>33030</v>
      </c>
      <c r="AK69" s="43">
        <f>(0)</f>
        <v>0</v>
      </c>
      <c r="AL69" s="43">
        <f t="shared" si="91"/>
        <v>33030</v>
      </c>
      <c r="AM69" s="43">
        <f t="shared" si="92"/>
        <v>-4624.2000000000007</v>
      </c>
      <c r="AN69" s="43">
        <f t="shared" si="93"/>
        <v>-330.3</v>
      </c>
      <c r="AS69" s="43">
        <f t="shared" si="94"/>
        <v>28075.5</v>
      </c>
      <c r="AT69" s="43">
        <f>(0)</f>
        <v>0</v>
      </c>
      <c r="AU69" s="43">
        <f t="shared" si="95"/>
        <v>28075.5</v>
      </c>
      <c r="AV69" s="43">
        <f>SUM(AU$58:$AU69)</f>
        <v>336906</v>
      </c>
      <c r="AW69" s="66">
        <f>IF(AV69&lt;=$AQ$58,$AO$58,
IF(AV69&gt;$AQ$60,
IF(AV69&gt;$AQ$61,$AO$62,$AO$61),
IF(AV69&lt;$AQ$59,$AO$59,$AO$60)))</f>
        <v>0.2</v>
      </c>
      <c r="AX69" s="54">
        <f t="shared" si="96"/>
        <v>0</v>
      </c>
      <c r="AY69" s="68">
        <f>IF(AX69=0,AW69,(VLOOKUP($AW69,$AO$58:$AR$62,2,0)-AV68)/AU69*AW68+(AV69-VLOOKUP($AW69,$AO$58:$AR$62,2,0))/AU69*AW69)</f>
        <v>0.2</v>
      </c>
      <c r="AZ69" s="43">
        <f t="shared" si="98"/>
        <v>5615.1</v>
      </c>
      <c r="BA69" s="68">
        <f t="shared" si="97"/>
        <v>0.80240999999999996</v>
      </c>
      <c r="BB69" s="43">
        <f t="shared" si="86"/>
        <v>33030</v>
      </c>
      <c r="BC69" s="43">
        <f t="shared" si="87"/>
        <v>28075.5</v>
      </c>
      <c r="BD69" s="42">
        <v>67</v>
      </c>
      <c r="BE69" s="46">
        <v>33.5</v>
      </c>
      <c r="BF69" s="65" t="s">
        <v>0</v>
      </c>
    </row>
    <row r="70" spans="31:58" ht="39.950000000000003" hidden="1" customHeight="1" x14ac:dyDescent="0.25">
      <c r="AE70" s="43">
        <f t="shared" ref="AE70" si="99">(AE58+AE59+AE60+AE61+AE62+AE63+AE64+AE65+AE66+AE67+AE68+AE69)</f>
        <v>396360</v>
      </c>
      <c r="AF70" s="43">
        <f t="shared" ref="AF70:AG70" si="100">(AF58+AF59+AF60+AF61+AF62+AF63+AF64+AF65+AF66+AF67+AF68+AF69)</f>
        <v>396360</v>
      </c>
      <c r="AG70" s="43">
        <f t="shared" si="100"/>
        <v>0</v>
      </c>
      <c r="AH70" s="43">
        <f t="shared" ref="AH70:AK70" si="101">(AH58+AH59+AH60+AH61+AH62+AH63+AH64+AH65+AH66+AH67+AH68+AH69)</f>
        <v>0</v>
      </c>
      <c r="AI70" s="43">
        <f t="shared" si="101"/>
        <v>3008.3724000000007</v>
      </c>
      <c r="AJ70" s="43">
        <f t="shared" si="101"/>
        <v>396360</v>
      </c>
      <c r="AK70" s="43">
        <f t="shared" si="101"/>
        <v>0</v>
      </c>
      <c r="AL70" s="43">
        <f t="shared" ref="AL70" si="102">(AL58+AL59+AL60+AL61+AL62+AL63+AL64+AL65+AL66+AL67+AL68+AL69)</f>
        <v>396360</v>
      </c>
      <c r="AM70" s="43">
        <f t="shared" ref="AM70" si="103">(AM58+AM59+AM60+AM61+AM62+AM63+AM64+AM65+AM66+AM67+AM68+AM69)</f>
        <v>-55490.399999999994</v>
      </c>
      <c r="AN70" s="43">
        <f t="shared" ref="AN70" si="104">(AN58+AN59+AN60+AN61+AN62+AN63+AN64+AN65+AN66+AN67+AN68+AN69)</f>
        <v>-3963.6000000000008</v>
      </c>
      <c r="AS70" s="43">
        <f t="shared" ref="AS70:AU70" si="105">(AS58+AS59+AS60+AS61+AS62+AS63+AS64+AS65+AS66+AS67+AS68+AS69)</f>
        <v>336906</v>
      </c>
      <c r="AT70" s="43">
        <f t="shared" si="105"/>
        <v>0</v>
      </c>
      <c r="AU70" s="43">
        <f t="shared" si="105"/>
        <v>336906</v>
      </c>
      <c r="AV70" s="48" t="s">
        <v>0</v>
      </c>
      <c r="AW70" s="42" t="s">
        <v>0</v>
      </c>
      <c r="AX70" s="42" t="s">
        <v>0</v>
      </c>
      <c r="AY70" s="42" t="s">
        <v>0</v>
      </c>
      <c r="AZ70" s="43">
        <f t="shared" ref="AZ70" si="106">(AZ58+AZ59+AZ60+AZ61+AZ62+AZ63+AZ64+AZ65+AZ66+AZ67+AZ68+AZ69)</f>
        <v>57881.229999999996</v>
      </c>
      <c r="BA70" s="42" t="s">
        <v>0</v>
      </c>
      <c r="BB70" s="43">
        <f t="shared" ref="BB70" si="107">(BB58+BB59+BB60+BB61+BB62+BB63+BB64+BB65+BB66+BB67+BB68+BB69)</f>
        <v>396360</v>
      </c>
      <c r="BC70" s="43">
        <f t="shared" ref="BC70" si="108">(BC58+BC59+BC60+BC61+BC62+BC63+BC64+BC65+BC66+BC67+BC68+BC69)</f>
        <v>336906</v>
      </c>
      <c r="BD70" s="42">
        <v>68</v>
      </c>
      <c r="BE70" s="46">
        <v>34</v>
      </c>
      <c r="BF70" s="65" t="s">
        <v>0</v>
      </c>
    </row>
    <row r="71" spans="31:58" ht="39.950000000000003" hidden="1" customHeight="1" x14ac:dyDescent="0.25">
      <c r="AE71" s="43">
        <f t="shared" ref="AE71" si="109">(AE70/12)</f>
        <v>33030</v>
      </c>
      <c r="AF71" s="43">
        <f t="shared" ref="AF71:AG71" si="110">(AF70/12)</f>
        <v>33030</v>
      </c>
      <c r="AG71" s="43">
        <f t="shared" si="110"/>
        <v>0</v>
      </c>
      <c r="AH71" s="43">
        <f t="shared" ref="AH71:AK71" si="111">(AH70/12)</f>
        <v>0</v>
      </c>
      <c r="AI71" s="43">
        <f t="shared" si="111"/>
        <v>250.69770000000005</v>
      </c>
      <c r="AJ71" s="43">
        <f t="shared" si="111"/>
        <v>33030</v>
      </c>
      <c r="AK71" s="43">
        <f t="shared" si="111"/>
        <v>0</v>
      </c>
      <c r="AL71" s="43">
        <f t="shared" ref="AL71" si="112">(AL70/12)</f>
        <v>33030</v>
      </c>
      <c r="AM71" s="43">
        <f t="shared" ref="AM71" si="113">(AM70/12)</f>
        <v>-4624.2</v>
      </c>
      <c r="AN71" s="43">
        <f t="shared" ref="AN71" si="114">(AN70/12)</f>
        <v>-330.30000000000007</v>
      </c>
      <c r="AS71" s="43">
        <f t="shared" ref="AS71:AU71" si="115">(AS70/12)</f>
        <v>28075.5</v>
      </c>
      <c r="AT71" s="43">
        <f t="shared" si="115"/>
        <v>0</v>
      </c>
      <c r="AU71" s="43">
        <f t="shared" si="115"/>
        <v>28075.5</v>
      </c>
      <c r="AV71" s="48" t="s">
        <v>0</v>
      </c>
      <c r="AW71" s="48" t="s">
        <v>0</v>
      </c>
      <c r="AX71" s="48" t="s">
        <v>0</v>
      </c>
      <c r="AY71" s="48" t="s">
        <v>0</v>
      </c>
      <c r="AZ71" s="43">
        <f t="shared" ref="AZ71" si="116">(AZ70/12)</f>
        <v>4823.435833333333</v>
      </c>
      <c r="BA71" s="48" t="s">
        <v>0</v>
      </c>
      <c r="BB71" s="43">
        <f t="shared" ref="BB71" si="117">(BB70/12)</f>
        <v>33030</v>
      </c>
      <c r="BC71" s="43">
        <f t="shared" ref="BC71" si="118">(BC70/12)</f>
        <v>28075.5</v>
      </c>
      <c r="BD71" s="42">
        <v>69</v>
      </c>
      <c r="BE71" s="46">
        <v>34.5</v>
      </c>
      <c r="BF71" s="65" t="s">
        <v>0</v>
      </c>
    </row>
    <row r="72" spans="31:58" ht="39.950000000000003" hidden="1" customHeight="1" x14ac:dyDescent="0.25">
      <c r="AQ72" s="43">
        <f>(0)</f>
        <v>0</v>
      </c>
      <c r="AR72" s="66">
        <f>(0%)</f>
        <v>0</v>
      </c>
      <c r="BD72" s="42">
        <v>70</v>
      </c>
      <c r="BE72" s="46">
        <v>35</v>
      </c>
      <c r="BF72" s="65" t="s">
        <v>0</v>
      </c>
    </row>
    <row r="73" spans="31:58" ht="39.950000000000003" hidden="1" customHeight="1" x14ac:dyDescent="0.25">
      <c r="AE73" s="43">
        <f ca="1">(AN15+AP15+AR15+AT15+AV15+AX15+AF1+AV1+AE29+AH29+AK29+AO29+AE43)</f>
        <v>80169.760483417485</v>
      </c>
      <c r="AF73" s="43">
        <f>(AH1+AF58)</f>
        <v>39030</v>
      </c>
      <c r="AG73" s="43">
        <f t="shared" ref="AG73" ca="1" si="119">(AE73-AF73)</f>
        <v>41139.760483417485</v>
      </c>
      <c r="AH73" s="43">
        <f t="shared" ref="AH73" ca="1" si="120">(AG73*0.00759*-1)</f>
        <v>-312.25078206913872</v>
      </c>
      <c r="AI73" s="43">
        <f t="shared" ref="AI73" ca="1" si="121">(AE73)</f>
        <v>80169.760483417485</v>
      </c>
      <c r="AJ73" s="43">
        <f>(AM1+AM29+AQ29+AF43)</f>
        <v>3160</v>
      </c>
      <c r="AK73" s="43">
        <f ca="1">IF(AI73-AJ73&gt;=AE58*7.5,AE58*7.5,AI73-AJ73)</f>
        <v>77009.760483417485</v>
      </c>
      <c r="AL73" s="43">
        <f t="shared" ref="AL73" ca="1" si="122">(AK73*0.14*-1)</f>
        <v>-10781.366467678448</v>
      </c>
      <c r="AM73" s="43">
        <f t="shared" ref="AM73" ca="1" si="123">(AK73*0.01*-1)</f>
        <v>-770.09760483417483</v>
      </c>
      <c r="AN73" s="43">
        <f t="shared" ref="AN73" ca="1" si="124">(AE73+AL73+AM73)</f>
        <v>68618.296410904863</v>
      </c>
      <c r="AO73" s="43">
        <f>(AR1+AN29+AR29+AJ43)</f>
        <v>8446.9599999999991</v>
      </c>
      <c r="AP73" s="43">
        <f t="shared" ref="AP73" ca="1" si="125">(AN73-AO73)</f>
        <v>60171.336410904863</v>
      </c>
      <c r="AQ73" s="43">
        <f ca="1">SUM($AP$73:AP73)</f>
        <v>60171.336410904863</v>
      </c>
      <c r="AR73" s="66">
        <f ca="1">IF(AQ73&lt;=$AQ$58,$AO$58,
IF(AQ73&gt;$AQ$60,
IF(AQ73&gt;$AQ$61,$AO$62,$AO$61),
IF(AQ73&lt;$AQ$59,$AO$59,$AO$60)))</f>
        <v>0.15</v>
      </c>
      <c r="AS73" s="54">
        <f ca="1">IF(AR73-AR72=0,0,1)</f>
        <v>1</v>
      </c>
      <c r="AT73" s="68">
        <f ca="1">(IF(AS73=0,AR73,(VLOOKUP($AR73,$AO$58:$AR$62,2,0)-AQ72)/AP73*AR72+(AQ73-VLOOKUP($AR73,$AO$58:$AR$62,2,0))/AP73*AR73))</f>
        <v>0.15</v>
      </c>
      <c r="AU73" s="43">
        <f ca="1">(ROUND(AP73*AT73,2)*(-1)+VLOOKUP(AR73,$AO$58:$AR$62,4,0)*(-1))</f>
        <v>-9025.7000000000007</v>
      </c>
      <c r="AV73" s="43">
        <f ca="1">(AU73+AZ58)</f>
        <v>-4814.3700000000008</v>
      </c>
      <c r="AW73" s="68">
        <f t="shared" ref="AW73:AW84" ca="1" si="126">(100+(100*0.00759*-1)+(100)*AT73*-1)/100</f>
        <v>0.84240999999999999</v>
      </c>
      <c r="AX73" s="68">
        <f>(100+(100*0.00759*-1)+(100*0.14*-1)+(100*0.01*-1))/100</f>
        <v>0.84240999999999999</v>
      </c>
      <c r="AY73" s="68">
        <f t="shared" ref="AY73:AY84" ca="1" si="127">(100+(100*0.00759*-1)+(100*0.14*-1)+(100*0.01*-1)+(100+100*0.14*-1+100*0.01*-1)*AT73*-1)/100</f>
        <v>0.71491000000000005</v>
      </c>
      <c r="BD73" s="42">
        <v>71</v>
      </c>
      <c r="BE73" s="46">
        <v>35.5</v>
      </c>
      <c r="BF73" s="65" t="s">
        <v>0</v>
      </c>
    </row>
    <row r="74" spans="31:58" ht="39.950000000000003" hidden="1" customHeight="1" x14ac:dyDescent="0.25">
      <c r="AE74" s="43">
        <f ca="1">(AN16+AP16+AR16+AT16+AV16+AX16+AF2+AV2+AE30+AH30+AK30+AO30+AE44)</f>
        <v>74593.578091088391</v>
      </c>
      <c r="AF74" s="43">
        <f>(AH2+AF59)</f>
        <v>39030</v>
      </c>
      <c r="AG74" s="43">
        <f t="shared" ref="AG74:AG84" ca="1" si="128">(AE74-AF74)</f>
        <v>35563.578091088391</v>
      </c>
      <c r="AH74" s="43">
        <f t="shared" ref="AH74:AH84" ca="1" si="129">(AG74*0.00759*-1)</f>
        <v>-269.92755771136092</v>
      </c>
      <c r="AI74" s="43">
        <f t="shared" ref="AI74:AI84" ca="1" si="130">(AE74)</f>
        <v>74593.578091088391</v>
      </c>
      <c r="AJ74" s="43">
        <f>(AM2+AM30+AQ30+AF44)</f>
        <v>3160</v>
      </c>
      <c r="AK74" s="43">
        <f ca="1">IF(AI74-AJ74&gt;=AE59*7.5,AE59*7.5,AI74-AJ74)</f>
        <v>71433.578091088391</v>
      </c>
      <c r="AL74" s="43">
        <f t="shared" ref="AL74:AL84" ca="1" si="131">(AK74*0.14*-1)</f>
        <v>-10000.700932752376</v>
      </c>
      <c r="AM74" s="43">
        <f t="shared" ref="AM74:AM84" ca="1" si="132">(AK74*0.01*-1)</f>
        <v>-714.33578091088395</v>
      </c>
      <c r="AN74" s="43">
        <f t="shared" ref="AN74:AN84" ca="1" si="133">(AE74+AL74+AM74)</f>
        <v>63878.541377425128</v>
      </c>
      <c r="AO74" s="43">
        <f>(AR2+AN30+AR30+AJ44)</f>
        <v>8446.9599999999991</v>
      </c>
      <c r="AP74" s="43">
        <f t="shared" ref="AP74:AP84" ca="1" si="134">(AN74-AO74)</f>
        <v>55431.581377425129</v>
      </c>
      <c r="AQ74" s="43">
        <f ca="1">SUM($AP$73:AP74)</f>
        <v>115602.91778833</v>
      </c>
      <c r="AR74" s="66">
        <f ca="1">IF(AQ74&lt;=$AQ$58,$AO$58,
IF(AQ74&gt;$AQ$60,
IF(AQ74&gt;$AQ$61,$AO$62,$AO$61),
IF(AQ74&lt;$AQ$59,$AO$59,$AO$60)))</f>
        <v>0.15</v>
      </c>
      <c r="AS74" s="54">
        <f t="shared" ref="AS74:AS84" ca="1" si="135">IF(AR74-AR73=0,0,1)</f>
        <v>0</v>
      </c>
      <c r="AT74" s="68">
        <f ca="1">(IF(AS74=0,AR74,(VLOOKUP($AR74,$AO$58:$AR$62,2,0)-AQ73)/AP74*AR73+(AQ74-VLOOKUP($AR74,$AO$58:$AR$62,2,0))/AP74*AR74))</f>
        <v>0.15</v>
      </c>
      <c r="AU74" s="43">
        <f ca="1">(ROUND(AP74*AT74,2)*(-1))</f>
        <v>-8314.74</v>
      </c>
      <c r="AV74" s="43">
        <f ca="1">(AU74+AZ59)</f>
        <v>-4103.41</v>
      </c>
      <c r="AW74" s="68">
        <f t="shared" ca="1" si="126"/>
        <v>0.84240999999999999</v>
      </c>
      <c r="AX74" s="68">
        <f t="shared" ref="AX74:AX84" si="136">(100+(100*0.00759*-1)+(100*0.14*-1)+(100*0.01*-1))/100</f>
        <v>0.84240999999999999</v>
      </c>
      <c r="AY74" s="68">
        <f t="shared" ca="1" si="127"/>
        <v>0.71491000000000005</v>
      </c>
      <c r="BD74" s="42">
        <v>72</v>
      </c>
      <c r="BE74" s="46">
        <v>36</v>
      </c>
      <c r="BF74" s="65" t="s">
        <v>0</v>
      </c>
    </row>
    <row r="75" spans="31:58" ht="39.950000000000003" hidden="1" customHeight="1" x14ac:dyDescent="0.25">
      <c r="AE75" s="43">
        <f ca="1">(AN17+AP17+AR17+AT17+AV17+AX17+AF3+AV3+AE31+AH31+AK31+AO31+AE45)</f>
        <v>112708.96549672063</v>
      </c>
      <c r="AF75" s="43">
        <f>(AH3+AF60)</f>
        <v>39030</v>
      </c>
      <c r="AG75" s="43">
        <f t="shared" ca="1" si="128"/>
        <v>73678.96549672063</v>
      </c>
      <c r="AH75" s="43">
        <f t="shared" ca="1" si="129"/>
        <v>-559.22334812010956</v>
      </c>
      <c r="AI75" s="43">
        <f t="shared" ca="1" si="130"/>
        <v>112708.96549672063</v>
      </c>
      <c r="AJ75" s="43">
        <f>(AM3+AM31+AQ31+AF45)</f>
        <v>3160</v>
      </c>
      <c r="AK75" s="43">
        <f ca="1">IF(AI75-AJ75&gt;=AE60*7.5,AE60*7.5,AI75-AJ75)</f>
        <v>109548.96549672063</v>
      </c>
      <c r="AL75" s="43">
        <f t="shared" ca="1" si="131"/>
        <v>-15336.85516954089</v>
      </c>
      <c r="AM75" s="43">
        <f t="shared" ca="1" si="132"/>
        <v>-1095.4896549672064</v>
      </c>
      <c r="AN75" s="43">
        <f t="shared" ca="1" si="133"/>
        <v>96276.620672212535</v>
      </c>
      <c r="AO75" s="43">
        <f>(AR3+AN31+AR31+AJ45)</f>
        <v>8446.9599999999991</v>
      </c>
      <c r="AP75" s="43">
        <f t="shared" ca="1" si="134"/>
        <v>87829.660672212543</v>
      </c>
      <c r="AQ75" s="43">
        <f ca="1">SUM($AP$73:AP75)</f>
        <v>203432.57846054254</v>
      </c>
      <c r="AR75" s="66">
        <f ca="1">IF(AQ75&lt;=$AQ$58,$AO$58,
IF(AQ75&gt;$AQ$60,
IF(AQ75&gt;$AQ$61,$AO$62,$AO$61),
IF(AQ75&lt;$AQ$59,$AO$59,$AO$60)))</f>
        <v>0.2</v>
      </c>
      <c r="AS75" s="54">
        <f t="shared" ca="1" si="135"/>
        <v>1</v>
      </c>
      <c r="AT75" s="68">
        <f ca="1">(IF(AS75=0,AR75,(VLOOKUP($AR75,$AO$58:$AR$62,2,0)-AQ74)/AP75*AR74+(AQ75-VLOOKUP($AR75,$AO$58:$AR$62,2,0))/AP75*AR75))</f>
        <v>0.15764694885402894</v>
      </c>
      <c r="AU75" s="43">
        <f t="shared" ref="AU75:AU84" ca="1" si="137">(ROUND(AP75*AT75,2)*(-1))</f>
        <v>-13846.08</v>
      </c>
      <c r="AV75" s="43">
        <f ca="1">(AU75+AZ60)</f>
        <v>-9634.75</v>
      </c>
      <c r="AW75" s="68">
        <f t="shared" ca="1" si="126"/>
        <v>0.83476305114597116</v>
      </c>
      <c r="AX75" s="68">
        <f t="shared" si="136"/>
        <v>0.84240999999999999</v>
      </c>
      <c r="AY75" s="68">
        <f t="shared" ca="1" si="127"/>
        <v>0.70841009347407535</v>
      </c>
      <c r="BD75" s="42">
        <v>73</v>
      </c>
      <c r="BE75" s="46">
        <v>36.5</v>
      </c>
      <c r="BF75" s="65" t="s">
        <v>0</v>
      </c>
    </row>
    <row r="76" spans="31:58" ht="39.950000000000003" hidden="1" customHeight="1" x14ac:dyDescent="0.25">
      <c r="AE76" s="43">
        <f ca="1">(AN18+AP18+AR18+AT18+AV18+AX18+AF4+AV4+AE32+AH32+AK32+AO32+AE46)</f>
        <v>79115.495616513741</v>
      </c>
      <c r="AF76" s="43">
        <f>(AH4+AF61)</f>
        <v>39030</v>
      </c>
      <c r="AG76" s="43">
        <f t="shared" ca="1" si="128"/>
        <v>40085.495616513741</v>
      </c>
      <c r="AH76" s="43">
        <f t="shared" ca="1" si="129"/>
        <v>-304.24891172933928</v>
      </c>
      <c r="AI76" s="43">
        <f t="shared" ca="1" si="130"/>
        <v>79115.495616513741</v>
      </c>
      <c r="AJ76" s="43">
        <f>(AM4+AM32+AQ32+AF46)</f>
        <v>3160</v>
      </c>
      <c r="AK76" s="43">
        <f ca="1">IF(AI76-AJ76&gt;=AE61*7.5,AE61*7.5,AI76-AJ76)</f>
        <v>75955.495616513741</v>
      </c>
      <c r="AL76" s="43">
        <f t="shared" ca="1" si="131"/>
        <v>-10633.769386311924</v>
      </c>
      <c r="AM76" s="43">
        <f t="shared" ca="1" si="132"/>
        <v>-759.55495616513747</v>
      </c>
      <c r="AN76" s="43">
        <f t="shared" ca="1" si="133"/>
        <v>67722.171274036678</v>
      </c>
      <c r="AO76" s="43">
        <f>(AR4+AN32+AR32+AJ46)</f>
        <v>8446.9599999999991</v>
      </c>
      <c r="AP76" s="43">
        <f t="shared" ca="1" si="134"/>
        <v>59275.211274036679</v>
      </c>
      <c r="AQ76" s="43">
        <f ca="1">SUM($AP$73:AP76)</f>
        <v>262707.78973457922</v>
      </c>
      <c r="AR76" s="66">
        <f ca="1">IF(AQ76&lt;=$AQ$58,$AO$58,
IF(AQ76&gt;$AQ$60,
IF(AQ76&gt;$AQ$61,$AO$62,$AO$61),
IF(AQ76&lt;$AQ$59,$AO$59,$AO$60)))</f>
        <v>0.2</v>
      </c>
      <c r="AS76" s="54">
        <f t="shared" ca="1" si="135"/>
        <v>0</v>
      </c>
      <c r="AT76" s="68">
        <f ca="1">(IF(AS76=0,AR76,(VLOOKUP($AR76,$AO$58:$AR$62,2,0)-AQ75)/AP76*AR75+(AQ76-VLOOKUP($AR76,$AO$58:$AR$62,2,0))/AP76*AR76))</f>
        <v>0.2</v>
      </c>
      <c r="AU76" s="43">
        <f t="shared" ca="1" si="137"/>
        <v>-11855.04</v>
      </c>
      <c r="AV76" s="43">
        <f ca="1">(AU76+AZ61)</f>
        <v>-7643.7100000000009</v>
      </c>
      <c r="AW76" s="68">
        <f t="shared" ca="1" si="126"/>
        <v>0.79240999999999995</v>
      </c>
      <c r="AX76" s="68">
        <f t="shared" si="136"/>
        <v>0.84240999999999999</v>
      </c>
      <c r="AY76" s="68">
        <f t="shared" ca="1" si="127"/>
        <v>0.67240999999999995</v>
      </c>
      <c r="BD76" s="42">
        <v>74</v>
      </c>
      <c r="BE76" s="46">
        <v>37</v>
      </c>
      <c r="BF76" s="65" t="s">
        <v>0</v>
      </c>
    </row>
    <row r="77" spans="31:58" ht="39.950000000000003" hidden="1" customHeight="1" x14ac:dyDescent="0.25">
      <c r="AE77" s="43">
        <f ca="1">(AN19+AP19+AR19+AT19+AV19+AX19+AF5+AV5+AE33+AH33+AK33+AO33+AE47)</f>
        <v>81230.665616513739</v>
      </c>
      <c r="AF77" s="43">
        <f>(AH5+AF62)</f>
        <v>39030</v>
      </c>
      <c r="AG77" s="43">
        <f t="shared" ca="1" si="128"/>
        <v>42200.665616513739</v>
      </c>
      <c r="AH77" s="43">
        <f t="shared" ca="1" si="129"/>
        <v>-320.30305202933931</v>
      </c>
      <c r="AI77" s="43">
        <f t="shared" ca="1" si="130"/>
        <v>81230.665616513739</v>
      </c>
      <c r="AJ77" s="43">
        <f>(AM5+AM33+AQ33+AF47)</f>
        <v>3160</v>
      </c>
      <c r="AK77" s="43">
        <f ca="1">IF(AI77-AJ77&gt;=AE62*7.5,AE62*7.5,AI77-AJ77)</f>
        <v>78070.665616513739</v>
      </c>
      <c r="AL77" s="43">
        <f t="shared" ca="1" si="131"/>
        <v>-10929.893186311925</v>
      </c>
      <c r="AM77" s="43">
        <f t="shared" ca="1" si="132"/>
        <v>-780.70665616513736</v>
      </c>
      <c r="AN77" s="43">
        <f t="shared" ca="1" si="133"/>
        <v>69520.065774036673</v>
      </c>
      <c r="AO77" s="43">
        <f>(AR5+AN33+AR33+AJ47)</f>
        <v>8446.9599999999991</v>
      </c>
      <c r="AP77" s="43">
        <f t="shared" ca="1" si="134"/>
        <v>61073.105774036674</v>
      </c>
      <c r="AQ77" s="43">
        <f ca="1">SUM($AP$73:AP77)</f>
        <v>323780.89550861588</v>
      </c>
      <c r="AR77" s="66">
        <f ca="1">IF(AQ77&lt;=$AQ$58,$AO$58,
IF(AQ77&gt;$AQ$60,
IF(AQ77&gt;$AQ$61,$AO$62,$AO$61),
IF(AQ77&lt;$AQ$59,$AO$59,$AO$60)))</f>
        <v>0.2</v>
      </c>
      <c r="AS77" s="54">
        <f t="shared" ca="1" si="135"/>
        <v>0</v>
      </c>
      <c r="AT77" s="68">
        <f ca="1">(IF(AS77=0,AR77,(VLOOKUP($AR77,$AO$58:$AR$62,2,0)-AQ76)/AP77*AR76+(AQ77-VLOOKUP($AR77,$AO$58:$AR$62,2,0))/AP77*AR77))</f>
        <v>0.2</v>
      </c>
      <c r="AU77" s="43">
        <f t="shared" ca="1" si="137"/>
        <v>-12214.62</v>
      </c>
      <c r="AV77" s="43">
        <f ca="1">(AU77+AZ62)</f>
        <v>-8003.2900000000009</v>
      </c>
      <c r="AW77" s="68">
        <f t="shared" ca="1" si="126"/>
        <v>0.79240999999999995</v>
      </c>
      <c r="AX77" s="68">
        <f t="shared" si="136"/>
        <v>0.84240999999999999</v>
      </c>
      <c r="AY77" s="68">
        <f t="shared" ca="1" si="127"/>
        <v>0.67240999999999995</v>
      </c>
      <c r="BD77" s="42">
        <v>75</v>
      </c>
      <c r="BE77" s="46">
        <v>37.5</v>
      </c>
      <c r="BF77" s="65" t="s">
        <v>0</v>
      </c>
    </row>
    <row r="78" spans="31:58" ht="39.950000000000003" hidden="1" customHeight="1" x14ac:dyDescent="0.25">
      <c r="AE78" s="43">
        <f ca="1">(AN20+AP20+AR20+AT20+AV20+AX20+AF6+AV6+AE34+AH34+AK34+AO34+AE48)</f>
        <v>110894.21433953916</v>
      </c>
      <c r="AF78" s="43">
        <f>(AH6+AF63)</f>
        <v>39030</v>
      </c>
      <c r="AG78" s="43">
        <f t="shared" ca="1" si="128"/>
        <v>71864.214339539161</v>
      </c>
      <c r="AH78" s="43">
        <f t="shared" ca="1" si="129"/>
        <v>-545.44938683710222</v>
      </c>
      <c r="AI78" s="43">
        <f t="shared" ca="1" si="130"/>
        <v>110894.21433953916</v>
      </c>
      <c r="AJ78" s="43">
        <f>(AM6+AM34+AQ34+AF48)</f>
        <v>3160</v>
      </c>
      <c r="AK78" s="43">
        <f ca="1">IF(AI78-AJ78&gt;=AE63*7.5,AE63*7.5,AI78-AJ78)</f>
        <v>107734.21433953916</v>
      </c>
      <c r="AL78" s="43">
        <f t="shared" ca="1" si="131"/>
        <v>-15082.790007535485</v>
      </c>
      <c r="AM78" s="43">
        <f t="shared" ca="1" si="132"/>
        <v>-1077.3421433953915</v>
      </c>
      <c r="AN78" s="43">
        <f t="shared" ca="1" si="133"/>
        <v>94734.082188608285</v>
      </c>
      <c r="AO78" s="43">
        <f>(AR6+AN34+AR34+AJ48)</f>
        <v>8446.9599999999991</v>
      </c>
      <c r="AP78" s="43">
        <f t="shared" ca="1" si="134"/>
        <v>86287.122188608279</v>
      </c>
      <c r="AQ78" s="43">
        <f ca="1">SUM($AP$73:AP78)</f>
        <v>410068.01769722416</v>
      </c>
      <c r="AR78" s="66">
        <f ca="1">IF(AQ78&lt;=$AQ$58,$AO$58,
IF(AQ78&gt;$AQ$60,
IF(AQ78&gt;$AQ$61,$AO$62,$AO$61),
IF(AQ78&lt;$AQ$59,$AO$59,$AO$60)))</f>
        <v>0.27</v>
      </c>
      <c r="AS78" s="54">
        <f t="shared" ca="1" si="135"/>
        <v>1</v>
      </c>
      <c r="AT78" s="68">
        <f ca="1">(IF(AS78=0,AR78,(VLOOKUP($AR78,$AO$58:$AR$62,2,0)-AQ77)/AP78*AR77+(AQ78-VLOOKUP($AR78,$AO$58:$AR$62,2,0))/AP78*AR78))</f>
        <v>0.2081676294321789</v>
      </c>
      <c r="AU78" s="43">
        <f t="shared" ca="1" si="137"/>
        <v>-17962.189999999999</v>
      </c>
      <c r="AV78" s="43">
        <f ca="1">(AU78+AZ63)</f>
        <v>-13750.859999999999</v>
      </c>
      <c r="AW78" s="68">
        <f t="shared" ca="1" si="126"/>
        <v>0.7842423705678212</v>
      </c>
      <c r="AX78" s="68">
        <f t="shared" si="136"/>
        <v>0.84240999999999999</v>
      </c>
      <c r="AY78" s="68">
        <f t="shared" ca="1" si="127"/>
        <v>0.665467514982648</v>
      </c>
      <c r="BD78" s="42">
        <v>76</v>
      </c>
      <c r="BE78" s="46">
        <v>38</v>
      </c>
      <c r="BF78" s="65" t="s">
        <v>0</v>
      </c>
    </row>
    <row r="79" spans="31:58" ht="39.950000000000003" hidden="1" customHeight="1" x14ac:dyDescent="0.25">
      <c r="AE79" s="43">
        <f ca="1">(AN21+AP21+AR21+AT21+AV21+AX21+AF7+AV7+AE35+AH35+AK35+AO35+AE49)</f>
        <v>81706.807895449572</v>
      </c>
      <c r="AF79" s="43">
        <f>(AH7+AF64)</f>
        <v>39030</v>
      </c>
      <c r="AG79" s="43">
        <f t="shared" ca="1" si="128"/>
        <v>42676.807895449572</v>
      </c>
      <c r="AH79" s="43">
        <f t="shared" ca="1" si="129"/>
        <v>-323.91697192646228</v>
      </c>
      <c r="AI79" s="43">
        <f t="shared" ca="1" si="130"/>
        <v>81706.807895449572</v>
      </c>
      <c r="AJ79" s="43">
        <f>(AM7+AM35+AQ35+AF49)</f>
        <v>3160</v>
      </c>
      <c r="AK79" s="43">
        <f ca="1">IF(AI79-AJ79&gt;=AE64*7.5,AE64*7.5,AI79-AJ79)</f>
        <v>78546.807895449572</v>
      </c>
      <c r="AL79" s="43">
        <f t="shared" ca="1" si="131"/>
        <v>-10996.553105362942</v>
      </c>
      <c r="AM79" s="43">
        <f t="shared" ca="1" si="132"/>
        <v>-785.4680789544957</v>
      </c>
      <c r="AN79" s="43">
        <f t="shared" ca="1" si="133"/>
        <v>69924.786711132139</v>
      </c>
      <c r="AO79" s="43">
        <f>(AR7+AN35+AR35+AJ49)</f>
        <v>8115.17</v>
      </c>
      <c r="AP79" s="43">
        <f t="shared" ca="1" si="134"/>
        <v>61809.616711132141</v>
      </c>
      <c r="AQ79" s="43">
        <f ca="1">SUM($AP$73:AP79)</f>
        <v>471877.63440835627</v>
      </c>
      <c r="AR79" s="66">
        <f ca="1">IF(AQ79&lt;=$AQ$58,$AO$58,
IF(AQ79&gt;$AQ$60,
IF(AQ79&gt;$AQ$61,$AO$62,$AO$61),
IF(AQ79&lt;$AQ$59,$AO$59,$AO$60)))</f>
        <v>0.27</v>
      </c>
      <c r="AS79" s="54">
        <f t="shared" ca="1" si="135"/>
        <v>0</v>
      </c>
      <c r="AT79" s="68">
        <f ca="1">(IF(AS79=0,AR79,(VLOOKUP($AR79,$AO$58:$AR$62,2,0)-AQ78)/AP79*AR78+(AQ79-VLOOKUP($AR79,$AO$58:$AR$62,2,0))/AP79*AR79))</f>
        <v>0.27</v>
      </c>
      <c r="AU79" s="43">
        <f t="shared" ca="1" si="137"/>
        <v>-16688.599999999999</v>
      </c>
      <c r="AV79" s="43">
        <f ca="1">(AU79+AZ64)</f>
        <v>-12150.849999999999</v>
      </c>
      <c r="AW79" s="68">
        <f t="shared" ca="1" si="126"/>
        <v>0.72241</v>
      </c>
      <c r="AX79" s="68">
        <f t="shared" si="136"/>
        <v>0.84240999999999999</v>
      </c>
      <c r="AY79" s="68">
        <f t="shared" ca="1" si="127"/>
        <v>0.61290999999999995</v>
      </c>
      <c r="BD79" s="42">
        <v>77</v>
      </c>
      <c r="BE79" s="46">
        <v>38.5</v>
      </c>
      <c r="BF79" s="65" t="s">
        <v>0</v>
      </c>
    </row>
    <row r="80" spans="31:58" ht="39.950000000000003" hidden="1" customHeight="1" x14ac:dyDescent="0.25">
      <c r="AE80" s="43">
        <f ca="1">(AN22+AP22+AR22+AT22+AV22+AX22+AF8+AV8+AE36+AH36+AK36+AO36+AE50)</f>
        <v>81706.807895449572</v>
      </c>
      <c r="AF80" s="43">
        <f>(AH8+AF65)</f>
        <v>39030</v>
      </c>
      <c r="AG80" s="43">
        <f t="shared" ca="1" si="128"/>
        <v>42676.807895449572</v>
      </c>
      <c r="AH80" s="43">
        <f t="shared" ca="1" si="129"/>
        <v>-323.91697192646228</v>
      </c>
      <c r="AI80" s="43">
        <f t="shared" ca="1" si="130"/>
        <v>81706.807895449572</v>
      </c>
      <c r="AJ80" s="43">
        <f>(AM8+AM36+AQ36+AF50)</f>
        <v>3160</v>
      </c>
      <c r="AK80" s="43">
        <f ca="1">IF(AI80-AJ80&gt;=AE65*7.5,AE65*7.5,AI80-AJ80)</f>
        <v>78546.807895449572</v>
      </c>
      <c r="AL80" s="43">
        <f t="shared" ca="1" si="131"/>
        <v>-10996.553105362942</v>
      </c>
      <c r="AM80" s="43">
        <f t="shared" ca="1" si="132"/>
        <v>-785.4680789544957</v>
      </c>
      <c r="AN80" s="43">
        <f t="shared" ca="1" si="133"/>
        <v>69924.786711132139</v>
      </c>
      <c r="AO80" s="43">
        <f>(AR8+AN36+AR36+AJ50)</f>
        <v>8115.17</v>
      </c>
      <c r="AP80" s="43">
        <f t="shared" ca="1" si="134"/>
        <v>61809.616711132141</v>
      </c>
      <c r="AQ80" s="43">
        <f ca="1">SUM($AP$73:AP80)</f>
        <v>533687.25111948838</v>
      </c>
      <c r="AR80" s="66">
        <f ca="1">IF(AQ80&lt;=$AQ$58,$AO$58,
IF(AQ80&gt;$AQ$60,
IF(AQ80&gt;$AQ$61,$AO$62,$AO$61),
IF(AQ80&lt;$AQ$59,$AO$59,$AO$60)))</f>
        <v>0.27</v>
      </c>
      <c r="AS80" s="54">
        <f t="shared" ca="1" si="135"/>
        <v>0</v>
      </c>
      <c r="AT80" s="68">
        <f ca="1">(IF(AS80=0,AR80,(VLOOKUP($AR80,$AO$58:$AR$62,2,0)-AQ79)/AP80*AR79+(AQ80-VLOOKUP($AR80,$AO$58:$AR$62,2,0))/AP80*AR80))</f>
        <v>0.27</v>
      </c>
      <c r="AU80" s="43">
        <f t="shared" ca="1" si="137"/>
        <v>-16688.599999999999</v>
      </c>
      <c r="AV80" s="43">
        <f ca="1">(AU80+AZ65)</f>
        <v>-11073.499999999998</v>
      </c>
      <c r="AW80" s="68">
        <f t="shared" ca="1" si="126"/>
        <v>0.72241</v>
      </c>
      <c r="AX80" s="68">
        <f t="shared" si="136"/>
        <v>0.84240999999999999</v>
      </c>
      <c r="AY80" s="68">
        <f t="shared" ca="1" si="127"/>
        <v>0.61290999999999995</v>
      </c>
      <c r="BD80" s="42">
        <v>78</v>
      </c>
      <c r="BE80" s="46">
        <v>39</v>
      </c>
      <c r="BF80" s="65" t="s">
        <v>0</v>
      </c>
    </row>
    <row r="81" spans="31:58" ht="39.950000000000003" hidden="1" customHeight="1" x14ac:dyDescent="0.25">
      <c r="AE81" s="43">
        <f ca="1">(AN23+AP23+AR23+AT23+AV23+AX23+AF9+AV9+AE37+AH37+AK37+AO37+AE51)</f>
        <v>111319.18789544958</v>
      </c>
      <c r="AF81" s="43">
        <f>(AH9+AF66)</f>
        <v>39030</v>
      </c>
      <c r="AG81" s="43">
        <f t="shared" ca="1" si="128"/>
        <v>72289.187895449577</v>
      </c>
      <c r="AH81" s="43">
        <f t="shared" ca="1" si="129"/>
        <v>-548.67493612646228</v>
      </c>
      <c r="AI81" s="43">
        <f t="shared" ca="1" si="130"/>
        <v>111319.18789544958</v>
      </c>
      <c r="AJ81" s="43">
        <f>(AM9+AM37+AQ37+AF51)</f>
        <v>3160</v>
      </c>
      <c r="AK81" s="43">
        <f ca="1">IF(AI81-AJ81&gt;=AE66*7.5,AE66*7.5,AI81-AJ81)</f>
        <v>108159.18789544958</v>
      </c>
      <c r="AL81" s="43">
        <f t="shared" ca="1" si="131"/>
        <v>-15142.286305362943</v>
      </c>
      <c r="AM81" s="43">
        <f t="shared" ca="1" si="132"/>
        <v>-1081.5918789544958</v>
      </c>
      <c r="AN81" s="43">
        <f t="shared" ca="1" si="133"/>
        <v>95095.30971113214</v>
      </c>
      <c r="AO81" s="43">
        <f>(AR9+AN37+AR37+AJ51)</f>
        <v>8115.17</v>
      </c>
      <c r="AP81" s="43">
        <f t="shared" ca="1" si="134"/>
        <v>86980.139711132142</v>
      </c>
      <c r="AQ81" s="43">
        <f ca="1">SUM($AP$73:AP81)</f>
        <v>620667.39083062054</v>
      </c>
      <c r="AR81" s="66">
        <f ca="1">IF(AQ81&lt;=$AQ$58,$AO$58,
IF(AQ81&gt;$AQ$60,
IF(AQ81&gt;$AQ$61,$AO$62,$AO$61),
IF(AQ81&lt;$AQ$59,$AO$59,$AO$60)))</f>
        <v>0.27</v>
      </c>
      <c r="AS81" s="54">
        <f t="shared" ca="1" si="135"/>
        <v>0</v>
      </c>
      <c r="AT81" s="68">
        <f ca="1">(IF(AS81=0,AR81,(VLOOKUP($AR81,$AO$58:$AR$62,2,0)-AQ80)/AP81*AR80+(AQ81-VLOOKUP($AR81,$AO$58:$AR$62,2,0))/AP81*AR81))</f>
        <v>0.27</v>
      </c>
      <c r="AU81" s="43">
        <f t="shared" ca="1" si="137"/>
        <v>-23484.639999999999</v>
      </c>
      <c r="AV81" s="43">
        <f ca="1">(AU81+AZ66)</f>
        <v>-17869.54</v>
      </c>
      <c r="AW81" s="68">
        <f t="shared" ca="1" si="126"/>
        <v>0.72241</v>
      </c>
      <c r="AX81" s="68">
        <f t="shared" si="136"/>
        <v>0.84240999999999999</v>
      </c>
      <c r="AY81" s="68">
        <f t="shared" ca="1" si="127"/>
        <v>0.61290999999999995</v>
      </c>
      <c r="BD81" s="42">
        <v>79</v>
      </c>
      <c r="BE81" s="46">
        <v>39.5</v>
      </c>
      <c r="BF81" s="65" t="s">
        <v>0</v>
      </c>
    </row>
    <row r="82" spans="31:58" ht="39.950000000000003" hidden="1" customHeight="1" x14ac:dyDescent="0.25">
      <c r="AE82" s="43">
        <f ca="1">(AN24+AP24+AR24+AT24+AV24+AX24+AF10+AV10+AE38+AH38+AK38+AO38+AE52)</f>
        <v>81706.807895449572</v>
      </c>
      <c r="AF82" s="43">
        <f>(AH10+AF67)</f>
        <v>39030</v>
      </c>
      <c r="AG82" s="43">
        <f t="shared" ca="1" si="128"/>
        <v>42676.807895449572</v>
      </c>
      <c r="AH82" s="43">
        <f t="shared" ca="1" si="129"/>
        <v>-323.91697192646228</v>
      </c>
      <c r="AI82" s="43">
        <f t="shared" ca="1" si="130"/>
        <v>81706.807895449572</v>
      </c>
      <c r="AJ82" s="43">
        <f>(AM10+AM38+AQ38+AF52)</f>
        <v>3160</v>
      </c>
      <c r="AK82" s="43">
        <f ca="1">IF(AI82-AJ82&gt;=AE67*7.5,AE67*7.5,AI82-AJ82)</f>
        <v>78546.807895449572</v>
      </c>
      <c r="AL82" s="43">
        <f t="shared" ca="1" si="131"/>
        <v>-10996.553105362942</v>
      </c>
      <c r="AM82" s="43">
        <f t="shared" ca="1" si="132"/>
        <v>-785.4680789544957</v>
      </c>
      <c r="AN82" s="43">
        <f t="shared" ca="1" si="133"/>
        <v>69924.786711132139</v>
      </c>
      <c r="AO82" s="43">
        <f>(AR10+AN38+AR38+AJ52)</f>
        <v>8115.17</v>
      </c>
      <c r="AP82" s="43">
        <f t="shared" ca="1" si="134"/>
        <v>61809.616711132141</v>
      </c>
      <c r="AQ82" s="43">
        <f ca="1">SUM($AP$73:AP82)</f>
        <v>682477.00754175265</v>
      </c>
      <c r="AR82" s="66">
        <f ca="1">IF(AQ82&lt;=$AQ$58,$AO$58,
IF(AQ82&gt;$AQ$60,
IF(AQ82&gt;$AQ$61,$AO$62,$AO$61),
IF(AQ82&lt;$AQ$59,$AO$59,$AO$60)))</f>
        <v>0.27</v>
      </c>
      <c r="AS82" s="54">
        <f t="shared" ca="1" si="135"/>
        <v>0</v>
      </c>
      <c r="AT82" s="68">
        <f ca="1">(IF(AS82=0,AR82,(VLOOKUP($AR82,$AO$58:$AR$62,2,0)-AQ81)/AP82*AR81+(AQ82-VLOOKUP($AR82,$AO$58:$AR$62,2,0))/AP82*AR82))</f>
        <v>0.27</v>
      </c>
      <c r="AU82" s="43">
        <f t="shared" ca="1" si="137"/>
        <v>-16688.599999999999</v>
      </c>
      <c r="AV82" s="43">
        <f ca="1">(AU82+AZ67)</f>
        <v>-11073.499999999998</v>
      </c>
      <c r="AW82" s="68">
        <f t="shared" ca="1" si="126"/>
        <v>0.72241</v>
      </c>
      <c r="AX82" s="68">
        <f t="shared" si="136"/>
        <v>0.84240999999999999</v>
      </c>
      <c r="AY82" s="68">
        <f t="shared" ca="1" si="127"/>
        <v>0.61290999999999995</v>
      </c>
      <c r="BD82" s="42">
        <v>80</v>
      </c>
      <c r="BE82" s="46">
        <v>40</v>
      </c>
      <c r="BF82" s="65" t="s">
        <v>0</v>
      </c>
    </row>
    <row r="83" spans="31:58" ht="39.950000000000003" hidden="1" customHeight="1" x14ac:dyDescent="0.25">
      <c r="AE83" s="43">
        <f ca="1">(AN25+AP25+AR25+AT25+AV25+AX25+AF11+AV11+AE39+AH39+AK39+AO39+AE53)</f>
        <v>79591.637895449574</v>
      </c>
      <c r="AF83" s="43">
        <f>(AH11+AF68)</f>
        <v>39030</v>
      </c>
      <c r="AG83" s="43">
        <f t="shared" ca="1" si="128"/>
        <v>40561.637895449574</v>
      </c>
      <c r="AH83" s="43">
        <f t="shared" ca="1" si="129"/>
        <v>-307.86283162646231</v>
      </c>
      <c r="AI83" s="43">
        <f t="shared" ca="1" si="130"/>
        <v>79591.637895449574</v>
      </c>
      <c r="AJ83" s="43">
        <f>(AM11+AM39+AQ39+AF53)</f>
        <v>3160</v>
      </c>
      <c r="AK83" s="43">
        <f ca="1">IF(AI83-AJ83&gt;=AE68*7.5,AE68*7.5,AI83-AJ83)</f>
        <v>76431.637895449574</v>
      </c>
      <c r="AL83" s="43">
        <f t="shared" ca="1" si="131"/>
        <v>-10700.429305362941</v>
      </c>
      <c r="AM83" s="43">
        <f t="shared" ca="1" si="132"/>
        <v>-764.3163789544958</v>
      </c>
      <c r="AN83" s="43">
        <f t="shared" ca="1" si="133"/>
        <v>68126.892211132144</v>
      </c>
      <c r="AO83" s="43">
        <f>(AR11+AN39+AR39+AJ53)</f>
        <v>8446.9599999999991</v>
      </c>
      <c r="AP83" s="43">
        <f t="shared" ca="1" si="134"/>
        <v>59679.932211132145</v>
      </c>
      <c r="AQ83" s="43">
        <f ca="1">SUM($AP$73:AP83)</f>
        <v>742156.93975288479</v>
      </c>
      <c r="AR83" s="66">
        <f ca="1">IF(AQ83&lt;=$AQ$58,$AO$58,
IF(AQ83&gt;$AQ$60,
IF(AQ83&gt;$AQ$61,$AO$62,$AO$61),
IF(AQ83&lt;$AQ$59,$AO$59,$AO$60)))</f>
        <v>0.27</v>
      </c>
      <c r="AS83" s="54">
        <f t="shared" ca="1" si="135"/>
        <v>0</v>
      </c>
      <c r="AT83" s="68">
        <f ca="1">(IF(AS83=0,AR83,(VLOOKUP($AR83,$AO$58:$AR$62,2,0)-AQ82)/AP83*AR82+(AQ83-VLOOKUP($AR83,$AO$58:$AR$62,2,0))/AP83*AR83))</f>
        <v>0.27</v>
      </c>
      <c r="AU83" s="43">
        <f t="shared" ca="1" si="137"/>
        <v>-16113.58</v>
      </c>
      <c r="AV83" s="43">
        <f ca="1">(AU83+AZ68)</f>
        <v>-10498.48</v>
      </c>
      <c r="AW83" s="68">
        <f t="shared" ca="1" si="126"/>
        <v>0.72241</v>
      </c>
      <c r="AX83" s="68">
        <f t="shared" si="136"/>
        <v>0.84240999999999999</v>
      </c>
      <c r="AY83" s="68">
        <f t="shared" ca="1" si="127"/>
        <v>0.61290999999999995</v>
      </c>
      <c r="BD83" s="42">
        <v>81</v>
      </c>
      <c r="BE83" s="46">
        <v>40.5</v>
      </c>
      <c r="BF83" s="65" t="s">
        <v>0</v>
      </c>
    </row>
    <row r="84" spans="31:58" ht="39.950000000000003" hidden="1" customHeight="1" x14ac:dyDescent="0.25">
      <c r="AE84" s="43">
        <f ca="1">(AN26+AP26+AR26+AT26+AV26+AX26+AF12+AV12+AE40+AH40+AK40+AO40+AE54)</f>
        <v>113434.35789544958</v>
      </c>
      <c r="AF84" s="43">
        <f>(AH12+AF69)</f>
        <v>39030</v>
      </c>
      <c r="AG84" s="43">
        <f t="shared" ca="1" si="128"/>
        <v>74404.357895449575</v>
      </c>
      <c r="AH84" s="43">
        <f t="shared" ca="1" si="129"/>
        <v>-564.72907642646226</v>
      </c>
      <c r="AI84" s="43">
        <f t="shared" ca="1" si="130"/>
        <v>113434.35789544958</v>
      </c>
      <c r="AJ84" s="43">
        <f>(AM12+AM40+AQ40+AF54)</f>
        <v>3160</v>
      </c>
      <c r="AK84" s="43">
        <f ca="1">IF(AI84-AJ84&gt;=AE69*7.5,AE69*7.5,AI84-AJ84)</f>
        <v>110274.35789544958</v>
      </c>
      <c r="AL84" s="43">
        <f t="shared" ca="1" si="131"/>
        <v>-15438.410105362942</v>
      </c>
      <c r="AM84" s="43">
        <f t="shared" ca="1" si="132"/>
        <v>-1102.7435789544959</v>
      </c>
      <c r="AN84" s="43">
        <f t="shared" ca="1" si="133"/>
        <v>96893.204211132135</v>
      </c>
      <c r="AO84" s="43">
        <f>(AR12+AN40+AR40+AJ54)</f>
        <v>8446.9599999999991</v>
      </c>
      <c r="AP84" s="43">
        <f t="shared" ca="1" si="134"/>
        <v>88446.244211132143</v>
      </c>
      <c r="AQ84" s="43">
        <f ca="1">SUM($AP$73:AP84)</f>
        <v>830603.18396401696</v>
      </c>
      <c r="AR84" s="66">
        <f ca="1">IF(AQ84&lt;=$AQ$58,$AO$58,
IF(AQ84&gt;$AQ$60,
IF(AQ84&gt;$AQ$61,$AO$62,$AO$61),
IF(AQ84&lt;$AQ$59,$AO$59,$AO$60)))</f>
        <v>0.27</v>
      </c>
      <c r="AS84" s="54">
        <f t="shared" ca="1" si="135"/>
        <v>0</v>
      </c>
      <c r="AT84" s="68">
        <f ca="1">(IF(AS84=0,AR84,(VLOOKUP($AR84,$AO$58:$AR$62,2,0)-AQ83)/AP84*AR83+(AQ84-VLOOKUP($AR84,$AO$58:$AR$62,2,0))/AP84*AR84))</f>
        <v>0.27</v>
      </c>
      <c r="AU84" s="43">
        <f t="shared" ca="1" si="137"/>
        <v>-23880.49</v>
      </c>
      <c r="AV84" s="43">
        <f ca="1">(AU84+AZ69)</f>
        <v>-18265.39</v>
      </c>
      <c r="AW84" s="68">
        <f t="shared" ca="1" si="126"/>
        <v>0.72241</v>
      </c>
      <c r="AX84" s="68">
        <f t="shared" si="136"/>
        <v>0.84240999999999999</v>
      </c>
      <c r="AY84" s="68">
        <f t="shared" ca="1" si="127"/>
        <v>0.61290999999999995</v>
      </c>
      <c r="BD84" s="42">
        <v>82</v>
      </c>
      <c r="BE84" s="46">
        <v>41</v>
      </c>
      <c r="BF84" s="65" t="s">
        <v>0</v>
      </c>
    </row>
    <row r="85" spans="31:58" ht="39.950000000000003" hidden="1" customHeight="1" x14ac:dyDescent="0.25">
      <c r="AE85" s="43">
        <f t="shared" ref="AE85:AK85" ca="1" si="138">(AE73+AE74+AE75+AE76+AE77+AE78+AE79+AE80+AE81+AE82+AE83+AE84)</f>
        <v>1088178.2870164905</v>
      </c>
      <c r="AF85" s="43">
        <f t="shared" si="138"/>
        <v>468360</v>
      </c>
      <c r="AG85" s="43">
        <f ca="1">(AG73+AG74+AG75+AG76+AG77+AG78+AG79+AG80+AG81+AG82+AG83+AG84)</f>
        <v>619818.28701649059</v>
      </c>
      <c r="AH85" s="43">
        <f t="shared" ca="1" si="138"/>
        <v>-4704.420798455164</v>
      </c>
      <c r="AI85" s="43">
        <f t="shared" ca="1" si="138"/>
        <v>1088178.2870164905</v>
      </c>
      <c r="AJ85" s="43">
        <f t="shared" si="138"/>
        <v>37920</v>
      </c>
      <c r="AK85" s="43">
        <f t="shared" ca="1" si="138"/>
        <v>1050258.2870164905</v>
      </c>
      <c r="AL85" s="43">
        <f t="shared" ref="AL85" ca="1" si="139">(AL73+AL74+AL75+AL76+AL77+AL78+AL79+AL80+AL81+AL82+AL83+AL84)</f>
        <v>-147036.1601823087</v>
      </c>
      <c r="AM85" s="43">
        <f t="shared" ref="AM85:AO85" ca="1" si="140">(AM73+AM74+AM75+AM76+AM77+AM78+AM79+AM80+AM81+AM82+AM83+AM84)</f>
        <v>-10502.582870164906</v>
      </c>
      <c r="AN85" s="43">
        <f t="shared" ca="1" si="140"/>
        <v>930639.54396401707</v>
      </c>
      <c r="AO85" s="43">
        <f t="shared" si="140"/>
        <v>100036.35999999999</v>
      </c>
      <c r="AP85" s="43">
        <f t="shared" ref="AP85" ca="1" si="141">(AP73+AP74+AP75+AP76+AP77+AP78+AP79+AP80+AP81+AP82+AP83+AP84)</f>
        <v>830603.18396401696</v>
      </c>
      <c r="AQ85" s="48" t="s">
        <v>0</v>
      </c>
      <c r="AR85" s="42" t="s">
        <v>0</v>
      </c>
      <c r="AS85" s="42" t="s">
        <v>0</v>
      </c>
      <c r="AT85" s="45">
        <f t="shared" ref="AT85:AU85" ca="1" si="142">(AT73+AT74+AT75+AT76+AT77+AT78+AT79+AT80+AT81+AT82+AT83+AT84)</f>
        <v>2.685814578286208</v>
      </c>
      <c r="AU85" s="43">
        <f t="shared" ca="1" si="142"/>
        <v>-186762.87999999998</v>
      </c>
      <c r="AV85" s="43">
        <f t="shared" ref="AV85" ca="1" si="143">(AV73+AV74+AV75+AV76+AV77+AV78+AV79+AV80+AV81+AV82+AV83+AV84)</f>
        <v>-128881.65</v>
      </c>
      <c r="AW85" s="42" t="s">
        <v>0</v>
      </c>
      <c r="AX85" s="42" t="s">
        <v>0</v>
      </c>
      <c r="AY85" s="42" t="s">
        <v>0</v>
      </c>
      <c r="BD85" s="42">
        <v>83</v>
      </c>
      <c r="BE85" s="46">
        <v>41.5</v>
      </c>
      <c r="BF85" s="65" t="s">
        <v>0</v>
      </c>
    </row>
    <row r="86" spans="31:58" ht="39.950000000000003" hidden="1" customHeight="1" x14ac:dyDescent="0.25">
      <c r="AE86" s="43">
        <f t="shared" ref="AE86:AK86" ca="1" si="144">(AE85/12)</f>
        <v>90681.523918040868</v>
      </c>
      <c r="AF86" s="43">
        <f t="shared" si="144"/>
        <v>39030</v>
      </c>
      <c r="AG86" s="43">
        <f ca="1">(AG85/12)</f>
        <v>51651.523918040883</v>
      </c>
      <c r="AH86" s="43">
        <f t="shared" ca="1" si="144"/>
        <v>-392.03506653793033</v>
      </c>
      <c r="AI86" s="43">
        <f t="shared" ca="1" si="144"/>
        <v>90681.523918040868</v>
      </c>
      <c r="AJ86" s="43">
        <f t="shared" si="144"/>
        <v>3160</v>
      </c>
      <c r="AK86" s="43">
        <f t="shared" ca="1" si="144"/>
        <v>87521.523918040868</v>
      </c>
      <c r="AL86" s="43">
        <f t="shared" ref="AL86" ca="1" si="145">(AL85/12)</f>
        <v>-12253.013348525725</v>
      </c>
      <c r="AM86" s="43">
        <f t="shared" ref="AM86:AO86" ca="1" si="146">(AM85/12)</f>
        <v>-875.21523918040884</v>
      </c>
      <c r="AN86" s="43">
        <f t="shared" ca="1" si="146"/>
        <v>77553.29533033476</v>
      </c>
      <c r="AO86" s="43">
        <f t="shared" si="146"/>
        <v>8336.3633333333328</v>
      </c>
      <c r="AP86" s="43">
        <f t="shared" ref="AP86" ca="1" si="147">(AP85/12)</f>
        <v>69216.931997001418</v>
      </c>
      <c r="AQ86" s="48" t="s">
        <v>0</v>
      </c>
      <c r="AR86" s="48" t="s">
        <v>0</v>
      </c>
      <c r="AS86" s="48" t="s">
        <v>0</v>
      </c>
      <c r="AT86" s="45">
        <f t="shared" ref="AT86:AU86" ca="1" si="148">(AT85/12)</f>
        <v>0.22381788152385065</v>
      </c>
      <c r="AU86" s="43">
        <f t="shared" ca="1" si="148"/>
        <v>-15563.573333333332</v>
      </c>
      <c r="AV86" s="43">
        <f t="shared" ref="AV86" ca="1" si="149">(AV85/12)</f>
        <v>-10740.137499999999</v>
      </c>
      <c r="AW86" s="48" t="s">
        <v>0</v>
      </c>
      <c r="AX86" s="48" t="s">
        <v>0</v>
      </c>
      <c r="AY86" s="48" t="s">
        <v>0</v>
      </c>
      <c r="BD86" s="42">
        <v>84</v>
      </c>
      <c r="BE86" s="46">
        <v>42</v>
      </c>
      <c r="BF86" s="65" t="s">
        <v>0</v>
      </c>
    </row>
    <row r="87" spans="31:58" ht="39.950000000000003" hidden="1" customHeight="1" x14ac:dyDescent="0.25">
      <c r="BD87" s="42">
        <v>85</v>
      </c>
      <c r="BE87" s="46">
        <v>42.5</v>
      </c>
      <c r="BF87" s="65" t="s">
        <v>0</v>
      </c>
    </row>
    <row r="88" spans="31:58" ht="39.950000000000003" hidden="1" customHeight="1" x14ac:dyDescent="0.25">
      <c r="BD88" s="42">
        <v>86</v>
      </c>
      <c r="BE88" s="46">
        <v>43</v>
      </c>
      <c r="BF88" s="65" t="s">
        <v>0</v>
      </c>
    </row>
    <row r="89" spans="31:58" ht="39.950000000000003" hidden="1" customHeight="1" x14ac:dyDescent="0.25">
      <c r="BD89" s="42">
        <v>87</v>
      </c>
      <c r="BE89" s="46">
        <v>43.5</v>
      </c>
      <c r="BF89" s="65" t="s">
        <v>0</v>
      </c>
    </row>
    <row r="90" spans="31:58" ht="39.950000000000003" hidden="1" customHeight="1" x14ac:dyDescent="0.25">
      <c r="BD90" s="42">
        <v>88</v>
      </c>
      <c r="BE90" s="46">
        <v>44</v>
      </c>
      <c r="BF90" s="65" t="s">
        <v>0</v>
      </c>
    </row>
    <row r="91" spans="31:58" ht="39.950000000000003" hidden="1" customHeight="1" x14ac:dyDescent="0.25">
      <c r="BD91" s="42">
        <v>89</v>
      </c>
      <c r="BE91" s="46">
        <v>44.5</v>
      </c>
      <c r="BF91" s="65" t="s">
        <v>0</v>
      </c>
    </row>
    <row r="92" spans="31:58" ht="39.950000000000003" hidden="1" customHeight="1" x14ac:dyDescent="0.25">
      <c r="BD92" s="42">
        <v>90</v>
      </c>
      <c r="BE92" s="46">
        <v>45</v>
      </c>
      <c r="BF92" s="65" t="s">
        <v>0</v>
      </c>
    </row>
    <row r="93" spans="31:58" ht="39.950000000000003" hidden="1" customHeight="1" x14ac:dyDescent="0.25">
      <c r="BD93" s="42">
        <v>91</v>
      </c>
      <c r="BE93" s="46">
        <v>45.5</v>
      </c>
      <c r="BF93" s="65" t="s">
        <v>0</v>
      </c>
    </row>
    <row r="94" spans="31:58" ht="39.950000000000003" hidden="1" customHeight="1" x14ac:dyDescent="0.25">
      <c r="BD94" s="42">
        <v>92</v>
      </c>
      <c r="BE94" s="46">
        <v>46</v>
      </c>
      <c r="BF94" s="65" t="s">
        <v>0</v>
      </c>
    </row>
    <row r="95" spans="31:58" ht="39.950000000000003" hidden="1" customHeight="1" x14ac:dyDescent="0.25">
      <c r="BD95" s="42">
        <v>93</v>
      </c>
      <c r="BE95" s="46">
        <v>46.5</v>
      </c>
      <c r="BF95" s="65" t="s">
        <v>0</v>
      </c>
    </row>
    <row r="96" spans="31:58" ht="39.950000000000003" hidden="1" customHeight="1" x14ac:dyDescent="0.25">
      <c r="BD96" s="42">
        <v>94</v>
      </c>
      <c r="BE96" s="46">
        <v>47</v>
      </c>
      <c r="BF96" s="65" t="s">
        <v>0</v>
      </c>
    </row>
    <row r="97" spans="56:58" ht="39.950000000000003" hidden="1" customHeight="1" x14ac:dyDescent="0.25">
      <c r="BD97" s="42">
        <v>95</v>
      </c>
      <c r="BE97" s="46">
        <v>47.5</v>
      </c>
      <c r="BF97" s="65" t="s">
        <v>0</v>
      </c>
    </row>
    <row r="98" spans="56:58" ht="39.950000000000003" hidden="1" customHeight="1" x14ac:dyDescent="0.25">
      <c r="BD98" s="42">
        <v>96</v>
      </c>
      <c r="BE98" s="46">
        <v>48</v>
      </c>
      <c r="BF98" s="65" t="s">
        <v>0</v>
      </c>
    </row>
    <row r="99" spans="56:58" ht="39.950000000000003" hidden="1" customHeight="1" x14ac:dyDescent="0.25">
      <c r="BD99" s="42">
        <v>97</v>
      </c>
      <c r="BE99" s="46">
        <v>48.5</v>
      </c>
      <c r="BF99" s="65" t="s">
        <v>0</v>
      </c>
    </row>
    <row r="100" spans="56:58" ht="39.950000000000003" hidden="1" customHeight="1" x14ac:dyDescent="0.25">
      <c r="BD100" s="42">
        <v>98</v>
      </c>
      <c r="BE100" s="46">
        <v>49</v>
      </c>
      <c r="BF100" s="65" t="s">
        <v>0</v>
      </c>
    </row>
    <row r="101" spans="56:58" ht="39.950000000000003" hidden="1" customHeight="1" x14ac:dyDescent="0.25">
      <c r="BD101" s="42">
        <v>99</v>
      </c>
      <c r="BE101" s="46">
        <v>49.5</v>
      </c>
      <c r="BF101" s="65" t="s">
        <v>0</v>
      </c>
    </row>
    <row r="102" spans="56:58" ht="39.950000000000003" hidden="1" customHeight="1" x14ac:dyDescent="0.25">
      <c r="BD102" s="42">
        <v>100</v>
      </c>
      <c r="BE102" s="46">
        <v>50</v>
      </c>
      <c r="BF102" s="65" t="s">
        <v>0</v>
      </c>
    </row>
    <row r="103" spans="56:58" ht="39.950000000000003" hidden="1" customHeight="1" x14ac:dyDescent="0.25">
      <c r="BD103" s="42">
        <v>101</v>
      </c>
      <c r="BE103" s="46">
        <v>50.5</v>
      </c>
      <c r="BF103" s="65" t="s">
        <v>0</v>
      </c>
    </row>
    <row r="104" spans="56:58" ht="39.950000000000003" hidden="1" customHeight="1" x14ac:dyDescent="0.25">
      <c r="BD104" s="42">
        <v>102</v>
      </c>
      <c r="BE104" s="46">
        <v>51</v>
      </c>
      <c r="BF104" s="65" t="s">
        <v>0</v>
      </c>
    </row>
    <row r="105" spans="56:58" ht="39.950000000000003" hidden="1" customHeight="1" x14ac:dyDescent="0.25">
      <c r="BD105" s="42">
        <v>103</v>
      </c>
      <c r="BE105" s="46">
        <v>51.5</v>
      </c>
      <c r="BF105" s="65" t="s">
        <v>0</v>
      </c>
    </row>
    <row r="106" spans="56:58" ht="39.950000000000003" hidden="1" customHeight="1" x14ac:dyDescent="0.25">
      <c r="BD106" s="42">
        <v>104</v>
      </c>
      <c r="BE106" s="46">
        <v>52</v>
      </c>
      <c r="BF106" s="65" t="s">
        <v>0</v>
      </c>
    </row>
    <row r="107" spans="56:58" ht="39.950000000000003" hidden="1" customHeight="1" x14ac:dyDescent="0.25">
      <c r="BD107" s="42">
        <v>105</v>
      </c>
      <c r="BE107" s="46">
        <v>52.5</v>
      </c>
      <c r="BF107" s="65" t="s">
        <v>0</v>
      </c>
    </row>
    <row r="108" spans="56:58" ht="39.950000000000003" hidden="1" customHeight="1" x14ac:dyDescent="0.25">
      <c r="BD108" s="42">
        <v>106</v>
      </c>
      <c r="BE108" s="46">
        <v>53</v>
      </c>
      <c r="BF108" s="65" t="s">
        <v>0</v>
      </c>
    </row>
    <row r="109" spans="56:58" ht="39.950000000000003" hidden="1" customHeight="1" x14ac:dyDescent="0.25">
      <c r="BD109" s="42">
        <v>107</v>
      </c>
      <c r="BE109" s="46">
        <v>53.5</v>
      </c>
      <c r="BF109" s="65" t="s">
        <v>0</v>
      </c>
    </row>
    <row r="110" spans="56:58" ht="39.950000000000003" hidden="1" customHeight="1" x14ac:dyDescent="0.25">
      <c r="BD110" s="42">
        <v>108</v>
      </c>
      <c r="BE110" s="46">
        <v>54</v>
      </c>
      <c r="BF110" s="65" t="s">
        <v>0</v>
      </c>
    </row>
    <row r="111" spans="56:58" ht="39.950000000000003" hidden="1" customHeight="1" x14ac:dyDescent="0.25">
      <c r="BD111" s="42">
        <v>109</v>
      </c>
      <c r="BE111" s="46">
        <v>54.5</v>
      </c>
      <c r="BF111" s="65" t="s">
        <v>0</v>
      </c>
    </row>
    <row r="112" spans="56:58" ht="39.950000000000003" hidden="1" customHeight="1" x14ac:dyDescent="0.25">
      <c r="BD112" s="42">
        <v>110</v>
      </c>
      <c r="BE112" s="46">
        <v>55</v>
      </c>
      <c r="BF112" s="65" t="s">
        <v>0</v>
      </c>
    </row>
    <row r="113" spans="56:58" ht="39.950000000000003" hidden="1" customHeight="1" x14ac:dyDescent="0.25">
      <c r="BD113" s="42">
        <v>111</v>
      </c>
      <c r="BE113" s="46">
        <v>55.5</v>
      </c>
      <c r="BF113" s="65" t="s">
        <v>0</v>
      </c>
    </row>
    <row r="114" spans="56:58" ht="39.950000000000003" hidden="1" customHeight="1" x14ac:dyDescent="0.25">
      <c r="BD114" s="42">
        <v>112</v>
      </c>
      <c r="BE114" s="46">
        <v>56</v>
      </c>
      <c r="BF114" s="65" t="s">
        <v>0</v>
      </c>
    </row>
    <row r="115" spans="56:58" ht="39.950000000000003" hidden="1" customHeight="1" x14ac:dyDescent="0.25">
      <c r="BD115" s="42">
        <v>113</v>
      </c>
      <c r="BE115" s="46">
        <v>56.5</v>
      </c>
      <c r="BF115" s="65" t="s">
        <v>0</v>
      </c>
    </row>
    <row r="116" spans="56:58" ht="39.950000000000003" hidden="1" customHeight="1" x14ac:dyDescent="0.25">
      <c r="BD116" s="42">
        <v>114</v>
      </c>
      <c r="BE116" s="46">
        <v>57</v>
      </c>
      <c r="BF116" s="65" t="s">
        <v>0</v>
      </c>
    </row>
    <row r="117" spans="56:58" ht="39.950000000000003" hidden="1" customHeight="1" x14ac:dyDescent="0.25">
      <c r="BD117" s="42">
        <v>115</v>
      </c>
      <c r="BE117" s="46">
        <v>57.5</v>
      </c>
      <c r="BF117" s="65" t="s">
        <v>0</v>
      </c>
    </row>
    <row r="118" spans="56:58" ht="39.950000000000003" hidden="1" customHeight="1" x14ac:dyDescent="0.25">
      <c r="BD118" s="42">
        <v>116</v>
      </c>
      <c r="BE118" s="46">
        <v>58</v>
      </c>
      <c r="BF118" s="65" t="s">
        <v>0</v>
      </c>
    </row>
    <row r="119" spans="56:58" ht="39.950000000000003" hidden="1" customHeight="1" x14ac:dyDescent="0.25">
      <c r="BD119" s="42">
        <v>117</v>
      </c>
      <c r="BE119" s="46">
        <v>58.5</v>
      </c>
      <c r="BF119" s="65" t="s">
        <v>0</v>
      </c>
    </row>
    <row r="120" spans="56:58" ht="39.950000000000003" hidden="1" customHeight="1" x14ac:dyDescent="0.25">
      <c r="BD120" s="42">
        <v>118</v>
      </c>
      <c r="BE120" s="46">
        <v>59</v>
      </c>
      <c r="BF120" s="65" t="s">
        <v>0</v>
      </c>
    </row>
    <row r="121" spans="56:58" ht="39.950000000000003" hidden="1" customHeight="1" x14ac:dyDescent="0.25">
      <c r="BD121" s="42">
        <v>119</v>
      </c>
      <c r="BE121" s="46">
        <v>59.5</v>
      </c>
      <c r="BF121" s="65" t="s">
        <v>0</v>
      </c>
    </row>
    <row r="122" spans="56:58" ht="39.950000000000003" hidden="1" customHeight="1" x14ac:dyDescent="0.25">
      <c r="BD122" s="42">
        <v>120</v>
      </c>
      <c r="BE122" s="46">
        <v>60</v>
      </c>
      <c r="BF122" s="65" t="s">
        <v>0</v>
      </c>
    </row>
    <row r="123" spans="56:58" ht="39.950000000000003" hidden="1" customHeight="1" x14ac:dyDescent="0.25">
      <c r="BD123" s="42">
        <v>121</v>
      </c>
      <c r="BE123" s="46">
        <v>60.5</v>
      </c>
      <c r="BF123" s="65" t="s">
        <v>0</v>
      </c>
    </row>
    <row r="124" spans="56:58" ht="39.950000000000003" hidden="1" customHeight="1" x14ac:dyDescent="0.25">
      <c r="BD124" s="42">
        <v>122</v>
      </c>
      <c r="BE124" s="46">
        <v>61</v>
      </c>
      <c r="BF124" s="65" t="s">
        <v>0</v>
      </c>
    </row>
    <row r="125" spans="56:58" ht="39.950000000000003" hidden="1" customHeight="1" x14ac:dyDescent="0.25">
      <c r="BD125" s="42">
        <v>123</v>
      </c>
      <c r="BE125" s="46">
        <v>61.5</v>
      </c>
      <c r="BF125" s="65" t="s">
        <v>0</v>
      </c>
    </row>
    <row r="126" spans="56:58" ht="39.950000000000003" hidden="1" customHeight="1" x14ac:dyDescent="0.25">
      <c r="BD126" s="42">
        <v>124</v>
      </c>
      <c r="BE126" s="46">
        <v>62</v>
      </c>
      <c r="BF126" s="65" t="s">
        <v>0</v>
      </c>
    </row>
    <row r="127" spans="56:58" ht="39.950000000000003" hidden="1" customHeight="1" x14ac:dyDescent="0.25">
      <c r="BD127" s="42">
        <v>125</v>
      </c>
      <c r="BE127" s="46">
        <v>62.5</v>
      </c>
      <c r="BF127" s="65" t="s">
        <v>0</v>
      </c>
    </row>
    <row r="128" spans="56:58" ht="39.950000000000003" hidden="1" customHeight="1" x14ac:dyDescent="0.25">
      <c r="BD128" s="42">
        <v>126</v>
      </c>
      <c r="BE128" s="46">
        <v>63</v>
      </c>
      <c r="BF128" s="65" t="s">
        <v>0</v>
      </c>
    </row>
    <row r="129" spans="56:58" ht="39.950000000000003" hidden="1" customHeight="1" x14ac:dyDescent="0.25">
      <c r="BD129" s="42">
        <v>127</v>
      </c>
      <c r="BE129" s="46">
        <v>63.5</v>
      </c>
      <c r="BF129" s="65" t="s">
        <v>0</v>
      </c>
    </row>
    <row r="130" spans="56:58" ht="39.950000000000003" hidden="1" customHeight="1" x14ac:dyDescent="0.25">
      <c r="BD130" s="42">
        <v>128</v>
      </c>
      <c r="BE130" s="46">
        <v>64</v>
      </c>
      <c r="BF130" s="65" t="s">
        <v>0</v>
      </c>
    </row>
    <row r="131" spans="56:58" ht="39.950000000000003" hidden="1" customHeight="1" x14ac:dyDescent="0.25">
      <c r="BD131" s="42">
        <v>129</v>
      </c>
      <c r="BE131" s="46">
        <v>64.5</v>
      </c>
      <c r="BF131" s="65" t="s">
        <v>0</v>
      </c>
    </row>
    <row r="132" spans="56:58" ht="39.950000000000003" hidden="1" customHeight="1" x14ac:dyDescent="0.25">
      <c r="BD132" s="42">
        <v>130</v>
      </c>
      <c r="BE132" s="46">
        <v>65</v>
      </c>
      <c r="BF132" s="65" t="s">
        <v>0</v>
      </c>
    </row>
    <row r="133" spans="56:58" ht="39.950000000000003" hidden="1" customHeight="1" x14ac:dyDescent="0.25">
      <c r="BD133" s="42">
        <v>131</v>
      </c>
      <c r="BE133" s="46">
        <v>65.5</v>
      </c>
      <c r="BF133" s="65" t="s">
        <v>0</v>
      </c>
    </row>
    <row r="134" spans="56:58" ht="39.950000000000003" hidden="1" customHeight="1" x14ac:dyDescent="0.25">
      <c r="BD134" s="42">
        <v>132</v>
      </c>
      <c r="BE134" s="46">
        <v>66</v>
      </c>
      <c r="BF134" s="65" t="s">
        <v>0</v>
      </c>
    </row>
    <row r="135" spans="56:58" ht="39.950000000000003" hidden="1" customHeight="1" x14ac:dyDescent="0.25">
      <c r="BD135" s="42">
        <v>133</v>
      </c>
      <c r="BE135" s="46">
        <v>66.5</v>
      </c>
      <c r="BF135" s="65" t="s">
        <v>0</v>
      </c>
    </row>
    <row r="136" spans="56:58" ht="39.950000000000003" hidden="1" customHeight="1" x14ac:dyDescent="0.25">
      <c r="BD136" s="42">
        <v>134</v>
      </c>
      <c r="BE136" s="46">
        <v>67</v>
      </c>
      <c r="BF136" s="65" t="s">
        <v>0</v>
      </c>
    </row>
    <row r="137" spans="56:58" ht="39.950000000000003" hidden="1" customHeight="1" x14ac:dyDescent="0.25">
      <c r="BD137" s="42">
        <v>135</v>
      </c>
      <c r="BE137" s="46">
        <v>67.5</v>
      </c>
      <c r="BF137" s="65" t="s">
        <v>0</v>
      </c>
    </row>
    <row r="138" spans="56:58" ht="39.950000000000003" hidden="1" customHeight="1" x14ac:dyDescent="0.25">
      <c r="BD138" s="42">
        <v>136</v>
      </c>
      <c r="BE138" s="46">
        <v>68</v>
      </c>
      <c r="BF138" s="65" t="s">
        <v>0</v>
      </c>
    </row>
    <row r="139" spans="56:58" ht="39.950000000000003" hidden="1" customHeight="1" x14ac:dyDescent="0.25">
      <c r="BD139" s="42">
        <v>137</v>
      </c>
      <c r="BE139" s="46">
        <v>68.5</v>
      </c>
      <c r="BF139" s="65" t="s">
        <v>0</v>
      </c>
    </row>
    <row r="140" spans="56:58" ht="39.950000000000003" hidden="1" customHeight="1" x14ac:dyDescent="0.25">
      <c r="BD140" s="42">
        <v>138</v>
      </c>
      <c r="BE140" s="46">
        <v>69</v>
      </c>
      <c r="BF140" s="65" t="s">
        <v>0</v>
      </c>
    </row>
    <row r="141" spans="56:58" ht="39.950000000000003" hidden="1" customHeight="1" x14ac:dyDescent="0.25">
      <c r="BD141" s="42">
        <v>139</v>
      </c>
      <c r="BE141" s="46">
        <v>69.5</v>
      </c>
      <c r="BF141" s="65" t="s">
        <v>0</v>
      </c>
    </row>
    <row r="142" spans="56:58" ht="39.950000000000003" hidden="1" customHeight="1" x14ac:dyDescent="0.25">
      <c r="BD142" s="42">
        <v>140</v>
      </c>
      <c r="BE142" s="46">
        <v>70</v>
      </c>
      <c r="BF142" s="65" t="s">
        <v>0</v>
      </c>
    </row>
    <row r="143" spans="56:58" ht="39.950000000000003" hidden="1" customHeight="1" x14ac:dyDescent="0.25">
      <c r="BD143" s="42">
        <v>141</v>
      </c>
      <c r="BE143" s="46">
        <v>70.5</v>
      </c>
      <c r="BF143" s="65" t="s">
        <v>0</v>
      </c>
    </row>
    <row r="144" spans="56:58" ht="39.950000000000003" hidden="1" customHeight="1" x14ac:dyDescent="0.25">
      <c r="BD144" s="42">
        <v>142</v>
      </c>
      <c r="BE144" s="46">
        <v>71</v>
      </c>
      <c r="BF144" s="65" t="s">
        <v>0</v>
      </c>
    </row>
    <row r="145" spans="56:58" ht="39.950000000000003" hidden="1" customHeight="1" x14ac:dyDescent="0.25">
      <c r="BD145" s="42">
        <v>143</v>
      </c>
      <c r="BE145" s="46">
        <v>71.5</v>
      </c>
      <c r="BF145" s="65" t="s">
        <v>0</v>
      </c>
    </row>
    <row r="146" spans="56:58" ht="39.950000000000003" hidden="1" customHeight="1" x14ac:dyDescent="0.25">
      <c r="BD146" s="42">
        <v>144</v>
      </c>
      <c r="BE146" s="46">
        <v>72</v>
      </c>
      <c r="BF146" s="65" t="s">
        <v>0</v>
      </c>
    </row>
    <row r="147" spans="56:58" ht="39.950000000000003" hidden="1" customHeight="1" x14ac:dyDescent="0.25">
      <c r="BD147" s="42">
        <v>145</v>
      </c>
      <c r="BE147" s="46">
        <v>72.5</v>
      </c>
      <c r="BF147" s="65" t="s">
        <v>0</v>
      </c>
    </row>
    <row r="148" spans="56:58" ht="39.950000000000003" hidden="1" customHeight="1" x14ac:dyDescent="0.25">
      <c r="BD148" s="42">
        <v>146</v>
      </c>
      <c r="BE148" s="46">
        <v>73</v>
      </c>
      <c r="BF148" s="65" t="s">
        <v>0</v>
      </c>
    </row>
    <row r="149" spans="56:58" ht="39.950000000000003" hidden="1" customHeight="1" x14ac:dyDescent="0.25">
      <c r="BD149" s="42">
        <v>147</v>
      </c>
      <c r="BE149" s="46">
        <v>73.5</v>
      </c>
      <c r="BF149" s="65" t="s">
        <v>0</v>
      </c>
    </row>
    <row r="150" spans="56:58" ht="39.950000000000003" hidden="1" customHeight="1" x14ac:dyDescent="0.25">
      <c r="BD150" s="42">
        <v>148</v>
      </c>
      <c r="BE150" s="46">
        <v>74</v>
      </c>
      <c r="BF150" s="65" t="s">
        <v>0</v>
      </c>
    </row>
    <row r="151" spans="56:58" ht="39.950000000000003" hidden="1" customHeight="1" x14ac:dyDescent="0.25">
      <c r="BD151" s="42">
        <v>149</v>
      </c>
      <c r="BE151" s="46">
        <v>74.5</v>
      </c>
      <c r="BF151" s="65" t="s">
        <v>0</v>
      </c>
    </row>
    <row r="152" spans="56:58" ht="39.950000000000003" hidden="1" customHeight="1" x14ac:dyDescent="0.25">
      <c r="BD152" s="42">
        <v>150</v>
      </c>
      <c r="BE152" s="46">
        <v>75</v>
      </c>
      <c r="BF152" s="65" t="s">
        <v>0</v>
      </c>
    </row>
    <row r="153" spans="56:58" ht="39.950000000000003" hidden="1" customHeight="1" x14ac:dyDescent="0.25">
      <c r="BD153" s="42">
        <v>151</v>
      </c>
      <c r="BE153" s="46">
        <v>75.5</v>
      </c>
      <c r="BF153" s="65" t="s">
        <v>0</v>
      </c>
    </row>
    <row r="154" spans="56:58" ht="39.950000000000003" hidden="1" customHeight="1" x14ac:dyDescent="0.25">
      <c r="BD154" s="42">
        <v>152</v>
      </c>
      <c r="BE154" s="46">
        <v>76</v>
      </c>
      <c r="BF154" s="65" t="s">
        <v>0</v>
      </c>
    </row>
    <row r="155" spans="56:58" ht="39.950000000000003" hidden="1" customHeight="1" x14ac:dyDescent="0.25">
      <c r="BD155" s="42">
        <v>153</v>
      </c>
      <c r="BE155" s="46">
        <v>76.5</v>
      </c>
      <c r="BF155" s="65" t="s">
        <v>0</v>
      </c>
    </row>
    <row r="156" spans="56:58" ht="39.950000000000003" hidden="1" customHeight="1" x14ac:dyDescent="0.25">
      <c r="BD156" s="42">
        <v>154</v>
      </c>
      <c r="BE156" s="46">
        <v>77</v>
      </c>
      <c r="BF156" s="65" t="s">
        <v>0</v>
      </c>
    </row>
    <row r="157" spans="56:58" ht="39.950000000000003" hidden="1" customHeight="1" x14ac:dyDescent="0.25">
      <c r="BD157" s="42">
        <v>155</v>
      </c>
      <c r="BE157" s="46">
        <v>77.5</v>
      </c>
      <c r="BF157" s="65" t="s">
        <v>0</v>
      </c>
    </row>
    <row r="158" spans="56:58" ht="39.950000000000003" hidden="1" customHeight="1" x14ac:dyDescent="0.25">
      <c r="BD158" s="42">
        <v>156</v>
      </c>
      <c r="BE158" s="46">
        <v>78</v>
      </c>
      <c r="BF158" s="65" t="s">
        <v>0</v>
      </c>
    </row>
    <row r="159" spans="56:58" ht="39.950000000000003" hidden="1" customHeight="1" x14ac:dyDescent="0.25">
      <c r="BD159" s="42">
        <v>157</v>
      </c>
      <c r="BE159" s="46">
        <v>78.5</v>
      </c>
      <c r="BF159" s="65" t="s">
        <v>0</v>
      </c>
    </row>
    <row r="160" spans="56:58" ht="39.950000000000003" hidden="1" customHeight="1" x14ac:dyDescent="0.25">
      <c r="BD160" s="42">
        <v>158</v>
      </c>
      <c r="BE160" s="46">
        <v>79</v>
      </c>
      <c r="BF160" s="65" t="s">
        <v>0</v>
      </c>
    </row>
    <row r="161" spans="56:58" ht="39.950000000000003" hidden="1" customHeight="1" x14ac:dyDescent="0.25">
      <c r="BD161" s="42">
        <v>159</v>
      </c>
      <c r="BE161" s="46">
        <v>79.5</v>
      </c>
      <c r="BF161" s="65" t="s">
        <v>0</v>
      </c>
    </row>
    <row r="162" spans="56:58" ht="39.950000000000003" hidden="1" customHeight="1" x14ac:dyDescent="0.25">
      <c r="BD162" s="42">
        <v>160</v>
      </c>
      <c r="BE162" s="46">
        <v>80</v>
      </c>
      <c r="BF162" s="65" t="s">
        <v>0</v>
      </c>
    </row>
    <row r="163" spans="56:58" ht="39.950000000000003" hidden="1" customHeight="1" x14ac:dyDescent="0.25">
      <c r="BD163" s="42">
        <v>161</v>
      </c>
      <c r="BE163" s="46">
        <v>80.5</v>
      </c>
      <c r="BF163" s="65" t="s">
        <v>0</v>
      </c>
    </row>
    <row r="164" spans="56:58" ht="39.950000000000003" hidden="1" customHeight="1" x14ac:dyDescent="0.25">
      <c r="BD164" s="42">
        <v>162</v>
      </c>
      <c r="BE164" s="46">
        <v>81</v>
      </c>
      <c r="BF164" s="65" t="s">
        <v>0</v>
      </c>
    </row>
    <row r="165" spans="56:58" ht="39.950000000000003" hidden="1" customHeight="1" x14ac:dyDescent="0.25">
      <c r="BD165" s="42">
        <v>163</v>
      </c>
      <c r="BE165" s="46">
        <v>81.5</v>
      </c>
      <c r="BF165" s="65" t="s">
        <v>0</v>
      </c>
    </row>
    <row r="166" spans="56:58" ht="39.950000000000003" hidden="1" customHeight="1" x14ac:dyDescent="0.25">
      <c r="BD166" s="42">
        <v>164</v>
      </c>
      <c r="BE166" s="46">
        <v>82</v>
      </c>
      <c r="BF166" s="65" t="s">
        <v>0</v>
      </c>
    </row>
    <row r="167" spans="56:58" ht="39.950000000000003" hidden="1" customHeight="1" x14ac:dyDescent="0.25">
      <c r="BD167" s="42">
        <v>165</v>
      </c>
      <c r="BE167" s="46">
        <v>82.5</v>
      </c>
      <c r="BF167" s="65" t="s">
        <v>0</v>
      </c>
    </row>
    <row r="168" spans="56:58" ht="39.950000000000003" hidden="1" customHeight="1" x14ac:dyDescent="0.25">
      <c r="BD168" s="42">
        <v>166</v>
      </c>
      <c r="BE168" s="46">
        <v>83</v>
      </c>
      <c r="BF168" s="65" t="s">
        <v>0</v>
      </c>
    </row>
    <row r="169" spans="56:58" ht="39.950000000000003" hidden="1" customHeight="1" x14ac:dyDescent="0.25">
      <c r="BD169" s="42">
        <v>167</v>
      </c>
      <c r="BE169" s="46">
        <v>83.5</v>
      </c>
      <c r="BF169" s="65" t="s">
        <v>0</v>
      </c>
    </row>
    <row r="170" spans="56:58" ht="39.950000000000003" hidden="1" customHeight="1" x14ac:dyDescent="0.25">
      <c r="BD170" s="42">
        <v>168</v>
      </c>
      <c r="BE170" s="46">
        <v>84</v>
      </c>
      <c r="BF170" s="65" t="s">
        <v>0</v>
      </c>
    </row>
    <row r="171" spans="56:58" ht="39.950000000000003" hidden="1" customHeight="1" x14ac:dyDescent="0.25">
      <c r="BD171" s="42">
        <v>169</v>
      </c>
      <c r="BE171" s="46">
        <v>84.5</v>
      </c>
      <c r="BF171" s="65" t="s">
        <v>0</v>
      </c>
    </row>
    <row r="172" spans="56:58" ht="39.950000000000003" hidden="1" customHeight="1" x14ac:dyDescent="0.25">
      <c r="BD172" s="42">
        <v>170</v>
      </c>
      <c r="BE172" s="46">
        <v>85</v>
      </c>
      <c r="BF172" s="65" t="s">
        <v>0</v>
      </c>
    </row>
    <row r="173" spans="56:58" ht="39.950000000000003" hidden="1" customHeight="1" x14ac:dyDescent="0.25">
      <c r="BD173" s="42">
        <v>171</v>
      </c>
      <c r="BE173" s="46">
        <v>85.5</v>
      </c>
      <c r="BF173" s="65" t="s">
        <v>0</v>
      </c>
    </row>
    <row r="174" spans="56:58" ht="39.950000000000003" hidden="1" customHeight="1" x14ac:dyDescent="0.25">
      <c r="BD174" s="42">
        <v>172</v>
      </c>
      <c r="BE174" s="46">
        <v>86</v>
      </c>
      <c r="BF174" s="65" t="s">
        <v>0</v>
      </c>
    </row>
    <row r="175" spans="56:58" ht="39.950000000000003" hidden="1" customHeight="1" x14ac:dyDescent="0.25">
      <c r="BD175" s="42">
        <v>173</v>
      </c>
      <c r="BE175" s="46">
        <v>86.5</v>
      </c>
      <c r="BF175" s="65" t="s">
        <v>0</v>
      </c>
    </row>
    <row r="176" spans="56:58" ht="39.950000000000003" hidden="1" customHeight="1" x14ac:dyDescent="0.25">
      <c r="BD176" s="42">
        <v>174</v>
      </c>
      <c r="BE176" s="46">
        <v>87</v>
      </c>
      <c r="BF176" s="65" t="s">
        <v>0</v>
      </c>
    </row>
    <row r="177" spans="56:58" ht="39.950000000000003" hidden="1" customHeight="1" x14ac:dyDescent="0.25">
      <c r="BD177" s="42">
        <v>175</v>
      </c>
      <c r="BE177" s="46">
        <v>87.5</v>
      </c>
      <c r="BF177" s="65" t="s">
        <v>0</v>
      </c>
    </row>
    <row r="178" spans="56:58" ht="39.950000000000003" hidden="1" customHeight="1" x14ac:dyDescent="0.25">
      <c r="BD178" s="42">
        <v>176</v>
      </c>
      <c r="BE178" s="46">
        <v>88</v>
      </c>
      <c r="BF178" s="65" t="s">
        <v>0</v>
      </c>
    </row>
    <row r="179" spans="56:58" ht="39.950000000000003" hidden="1" customHeight="1" x14ac:dyDescent="0.25">
      <c r="BD179" s="42">
        <v>177</v>
      </c>
      <c r="BE179" s="46">
        <v>88.5</v>
      </c>
      <c r="BF179" s="65" t="s">
        <v>0</v>
      </c>
    </row>
    <row r="180" spans="56:58" ht="39.950000000000003" hidden="1" customHeight="1" x14ac:dyDescent="0.25">
      <c r="BD180" s="42">
        <v>178</v>
      </c>
      <c r="BE180" s="46">
        <v>89</v>
      </c>
      <c r="BF180" s="65" t="s">
        <v>0</v>
      </c>
    </row>
    <row r="181" spans="56:58" ht="39.950000000000003" hidden="1" customHeight="1" x14ac:dyDescent="0.25">
      <c r="BD181" s="42">
        <v>179</v>
      </c>
      <c r="BE181" s="46">
        <v>89.5</v>
      </c>
      <c r="BF181" s="65" t="s">
        <v>0</v>
      </c>
    </row>
    <row r="182" spans="56:58" ht="39.950000000000003" hidden="1" customHeight="1" x14ac:dyDescent="0.25">
      <c r="BD182" s="42">
        <v>180</v>
      </c>
      <c r="BE182" s="46">
        <v>90</v>
      </c>
      <c r="BF182" s="65" t="s">
        <v>0</v>
      </c>
    </row>
    <row r="183" spans="56:58" ht="39.950000000000003" hidden="1" customHeight="1" x14ac:dyDescent="0.25">
      <c r="BD183" s="42">
        <v>181</v>
      </c>
      <c r="BE183" s="46">
        <v>90.5</v>
      </c>
      <c r="BF183" s="65" t="s">
        <v>0</v>
      </c>
    </row>
    <row r="184" spans="56:58" ht="39.950000000000003" hidden="1" customHeight="1" x14ac:dyDescent="0.25">
      <c r="BD184" s="42">
        <v>182</v>
      </c>
      <c r="BE184" s="46">
        <v>91</v>
      </c>
      <c r="BF184" s="65" t="s">
        <v>0</v>
      </c>
    </row>
    <row r="185" spans="56:58" ht="39.950000000000003" hidden="1" customHeight="1" x14ac:dyDescent="0.25">
      <c r="BD185" s="42">
        <v>183</v>
      </c>
      <c r="BE185" s="46">
        <v>91.5</v>
      </c>
      <c r="BF185" s="65" t="s">
        <v>0</v>
      </c>
    </row>
    <row r="186" spans="56:58" ht="39.950000000000003" hidden="1" customHeight="1" x14ac:dyDescent="0.25">
      <c r="BD186" s="42">
        <v>184</v>
      </c>
      <c r="BE186" s="46">
        <v>92</v>
      </c>
      <c r="BF186" s="65" t="s">
        <v>0</v>
      </c>
    </row>
    <row r="187" spans="56:58" ht="39.950000000000003" hidden="1" customHeight="1" x14ac:dyDescent="0.25">
      <c r="BD187" s="42">
        <v>185</v>
      </c>
      <c r="BE187" s="46">
        <v>92.5</v>
      </c>
      <c r="BF187" s="65" t="s">
        <v>0</v>
      </c>
    </row>
    <row r="188" spans="56:58" ht="39.950000000000003" hidden="1" customHeight="1" x14ac:dyDescent="0.25">
      <c r="BD188" s="42">
        <v>186</v>
      </c>
      <c r="BE188" s="46">
        <v>93</v>
      </c>
      <c r="BF188" s="65" t="s">
        <v>0</v>
      </c>
    </row>
    <row r="189" spans="56:58" ht="39.950000000000003" hidden="1" customHeight="1" x14ac:dyDescent="0.25">
      <c r="BD189" s="42">
        <v>187</v>
      </c>
      <c r="BE189" s="46">
        <v>93.5</v>
      </c>
      <c r="BF189" s="65" t="s">
        <v>0</v>
      </c>
    </row>
    <row r="190" spans="56:58" ht="39.950000000000003" hidden="1" customHeight="1" x14ac:dyDescent="0.25">
      <c r="BD190" s="42">
        <v>188</v>
      </c>
      <c r="BE190" s="46">
        <v>94</v>
      </c>
      <c r="BF190" s="65" t="s">
        <v>0</v>
      </c>
    </row>
    <row r="191" spans="56:58" ht="39.950000000000003" hidden="1" customHeight="1" x14ac:dyDescent="0.25">
      <c r="BD191" s="42">
        <v>189</v>
      </c>
      <c r="BE191" s="46">
        <v>94.5</v>
      </c>
      <c r="BF191" s="65" t="s">
        <v>0</v>
      </c>
    </row>
    <row r="192" spans="56:58" ht="39.950000000000003" hidden="1" customHeight="1" x14ac:dyDescent="0.25">
      <c r="BD192" s="42">
        <v>190</v>
      </c>
      <c r="BE192" s="46">
        <v>95</v>
      </c>
      <c r="BF192" s="65" t="s">
        <v>0</v>
      </c>
    </row>
    <row r="193" spans="56:58" ht="39.950000000000003" hidden="1" customHeight="1" x14ac:dyDescent="0.25">
      <c r="BD193" s="42">
        <v>191</v>
      </c>
      <c r="BE193" s="46">
        <v>95.5</v>
      </c>
      <c r="BF193" s="65" t="s">
        <v>0</v>
      </c>
    </row>
    <row r="194" spans="56:58" ht="39.950000000000003" hidden="1" customHeight="1" x14ac:dyDescent="0.25">
      <c r="BD194" s="42">
        <v>192</v>
      </c>
      <c r="BE194" s="46">
        <v>96</v>
      </c>
      <c r="BF194" s="65" t="s">
        <v>0</v>
      </c>
    </row>
    <row r="195" spans="56:58" ht="39.950000000000003" hidden="1" customHeight="1" x14ac:dyDescent="0.25">
      <c r="BD195" s="42">
        <v>193</v>
      </c>
      <c r="BE195" s="46">
        <v>96.5</v>
      </c>
      <c r="BF195" s="65" t="s">
        <v>0</v>
      </c>
    </row>
    <row r="196" spans="56:58" ht="39.950000000000003" hidden="1" customHeight="1" x14ac:dyDescent="0.25">
      <c r="BD196" s="42">
        <v>194</v>
      </c>
      <c r="BE196" s="46">
        <v>97</v>
      </c>
      <c r="BF196" s="65" t="s">
        <v>0</v>
      </c>
    </row>
    <row r="197" spans="56:58" ht="39.950000000000003" hidden="1" customHeight="1" x14ac:dyDescent="0.25">
      <c r="BD197" s="42">
        <v>195</v>
      </c>
      <c r="BE197" s="46">
        <v>97.5</v>
      </c>
      <c r="BF197" s="65" t="s">
        <v>0</v>
      </c>
    </row>
    <row r="198" spans="56:58" ht="39.950000000000003" hidden="1" customHeight="1" x14ac:dyDescent="0.25">
      <c r="BD198" s="42">
        <v>196</v>
      </c>
      <c r="BE198" s="46">
        <v>98</v>
      </c>
      <c r="BF198" s="65" t="s">
        <v>0</v>
      </c>
    </row>
    <row r="199" spans="56:58" ht="39.950000000000003" hidden="1" customHeight="1" x14ac:dyDescent="0.25">
      <c r="BD199" s="42">
        <v>197</v>
      </c>
      <c r="BE199" s="46">
        <v>98.5</v>
      </c>
      <c r="BF199" s="65" t="s">
        <v>0</v>
      </c>
    </row>
    <row r="200" spans="56:58" ht="39.950000000000003" hidden="1" customHeight="1" x14ac:dyDescent="0.25">
      <c r="BD200" s="42">
        <v>198</v>
      </c>
      <c r="BE200" s="46">
        <v>99</v>
      </c>
      <c r="BF200" s="65" t="s">
        <v>0</v>
      </c>
    </row>
    <row r="201" spans="56:58" ht="39.950000000000003" hidden="1" customHeight="1" x14ac:dyDescent="0.25">
      <c r="BD201" s="42">
        <v>199</v>
      </c>
      <c r="BE201" s="46">
        <v>99.5</v>
      </c>
      <c r="BF201" s="65" t="s">
        <v>0</v>
      </c>
    </row>
    <row r="202" spans="56:58" ht="39.950000000000003" hidden="1" customHeight="1" x14ac:dyDescent="0.25">
      <c r="BD202" s="42">
        <v>200</v>
      </c>
      <c r="BE202" s="46">
        <v>100</v>
      </c>
      <c r="BF202" s="65" t="s">
        <v>0</v>
      </c>
    </row>
    <row r="203" spans="56:58" ht="39.950000000000003" hidden="1" customHeight="1" x14ac:dyDescent="0.25">
      <c r="BD203" s="42">
        <v>201</v>
      </c>
      <c r="BE203" s="46">
        <v>100.5</v>
      </c>
      <c r="BF203" s="65" t="s">
        <v>0</v>
      </c>
    </row>
    <row r="204" spans="56:58" ht="39.950000000000003" hidden="1" customHeight="1" x14ac:dyDescent="0.25">
      <c r="BD204" s="42">
        <v>202</v>
      </c>
      <c r="BE204" s="46">
        <v>101</v>
      </c>
      <c r="BF204" s="65" t="s">
        <v>0</v>
      </c>
    </row>
    <row r="205" spans="56:58" ht="39.950000000000003" hidden="1" customHeight="1" x14ac:dyDescent="0.25">
      <c r="BD205" s="42">
        <v>203</v>
      </c>
      <c r="BE205" s="46">
        <v>101.5</v>
      </c>
      <c r="BF205" s="65" t="s">
        <v>0</v>
      </c>
    </row>
    <row r="206" spans="56:58" ht="39.950000000000003" hidden="1" customHeight="1" x14ac:dyDescent="0.25">
      <c r="BD206" s="42">
        <v>204</v>
      </c>
      <c r="BE206" s="46">
        <v>102</v>
      </c>
      <c r="BF206" s="65" t="s">
        <v>0</v>
      </c>
    </row>
    <row r="207" spans="56:58" ht="39.950000000000003" hidden="1" customHeight="1" x14ac:dyDescent="0.25">
      <c r="BD207" s="42">
        <v>205</v>
      </c>
      <c r="BE207" s="46">
        <v>102.5</v>
      </c>
      <c r="BF207" s="65" t="s">
        <v>0</v>
      </c>
    </row>
    <row r="208" spans="56:58" ht="39.950000000000003" hidden="1" customHeight="1" x14ac:dyDescent="0.25">
      <c r="BD208" s="42">
        <v>206</v>
      </c>
      <c r="BE208" s="46">
        <v>103</v>
      </c>
      <c r="BF208" s="65" t="s">
        <v>0</v>
      </c>
    </row>
    <row r="209" spans="56:58" ht="39.950000000000003" hidden="1" customHeight="1" x14ac:dyDescent="0.25">
      <c r="BD209" s="42">
        <v>207</v>
      </c>
      <c r="BE209" s="46">
        <v>103.5</v>
      </c>
      <c r="BF209" s="65" t="s">
        <v>0</v>
      </c>
    </row>
    <row r="210" spans="56:58" ht="39.950000000000003" hidden="1" customHeight="1" x14ac:dyDescent="0.25">
      <c r="BD210" s="42">
        <v>208</v>
      </c>
      <c r="BE210" s="46">
        <v>104</v>
      </c>
      <c r="BF210" s="65" t="s">
        <v>0</v>
      </c>
    </row>
    <row r="211" spans="56:58" ht="39.950000000000003" hidden="1" customHeight="1" x14ac:dyDescent="0.25">
      <c r="BD211" s="42">
        <v>209</v>
      </c>
      <c r="BE211" s="46">
        <v>104.5</v>
      </c>
      <c r="BF211" s="65" t="s">
        <v>0</v>
      </c>
    </row>
    <row r="212" spans="56:58" ht="39.950000000000003" hidden="1" customHeight="1" x14ac:dyDescent="0.25">
      <c r="BD212" s="42">
        <v>210</v>
      </c>
      <c r="BE212" s="46">
        <v>105</v>
      </c>
      <c r="BF212" s="65" t="s">
        <v>0</v>
      </c>
    </row>
    <row r="213" spans="56:58" ht="39.950000000000003" hidden="1" customHeight="1" x14ac:dyDescent="0.25">
      <c r="BD213" s="42">
        <v>211</v>
      </c>
      <c r="BE213" s="46">
        <v>105.5</v>
      </c>
      <c r="BF213" s="65" t="s">
        <v>0</v>
      </c>
    </row>
    <row r="214" spans="56:58" ht="39.950000000000003" hidden="1" customHeight="1" x14ac:dyDescent="0.25">
      <c r="BD214" s="42">
        <v>212</v>
      </c>
      <c r="BE214" s="46">
        <v>106</v>
      </c>
      <c r="BF214" s="65" t="s">
        <v>0</v>
      </c>
    </row>
    <row r="215" spans="56:58" ht="39.950000000000003" hidden="1" customHeight="1" x14ac:dyDescent="0.25">
      <c r="BD215" s="42">
        <v>213</v>
      </c>
      <c r="BE215" s="46">
        <v>106.5</v>
      </c>
      <c r="BF215" s="65" t="s">
        <v>0</v>
      </c>
    </row>
    <row r="216" spans="56:58" ht="39.950000000000003" hidden="1" customHeight="1" x14ac:dyDescent="0.25">
      <c r="BD216" s="42">
        <v>214</v>
      </c>
      <c r="BE216" s="46">
        <v>107</v>
      </c>
      <c r="BF216" s="65" t="s">
        <v>0</v>
      </c>
    </row>
    <row r="217" spans="56:58" ht="39.950000000000003" hidden="1" customHeight="1" x14ac:dyDescent="0.25">
      <c r="BD217" s="42">
        <v>215</v>
      </c>
      <c r="BE217" s="46">
        <v>107.5</v>
      </c>
      <c r="BF217" s="65" t="s">
        <v>0</v>
      </c>
    </row>
    <row r="218" spans="56:58" ht="39.950000000000003" hidden="1" customHeight="1" x14ac:dyDescent="0.25">
      <c r="BD218" s="42">
        <v>216</v>
      </c>
      <c r="BE218" s="46">
        <v>108</v>
      </c>
      <c r="BF218" s="65" t="s">
        <v>0</v>
      </c>
    </row>
    <row r="219" spans="56:58" ht="39.950000000000003" hidden="1" customHeight="1" x14ac:dyDescent="0.25">
      <c r="BD219" s="42">
        <v>217</v>
      </c>
      <c r="BE219" s="46">
        <v>108.5</v>
      </c>
      <c r="BF219" s="65" t="s">
        <v>0</v>
      </c>
    </row>
    <row r="220" spans="56:58" ht="39.950000000000003" hidden="1" customHeight="1" x14ac:dyDescent="0.25">
      <c r="BD220" s="42">
        <v>218</v>
      </c>
      <c r="BE220" s="46">
        <v>109</v>
      </c>
      <c r="BF220" s="65" t="s">
        <v>0</v>
      </c>
    </row>
    <row r="221" spans="56:58" ht="39.950000000000003" hidden="1" customHeight="1" x14ac:dyDescent="0.25">
      <c r="BD221" s="42">
        <v>219</v>
      </c>
      <c r="BE221" s="46">
        <v>109.5</v>
      </c>
      <c r="BF221" s="65" t="s">
        <v>0</v>
      </c>
    </row>
    <row r="222" spans="56:58" ht="39.950000000000003" hidden="1" customHeight="1" x14ac:dyDescent="0.25">
      <c r="BD222" s="42">
        <v>220</v>
      </c>
      <c r="BE222" s="46">
        <v>110</v>
      </c>
      <c r="BF222" s="65" t="s">
        <v>0</v>
      </c>
    </row>
    <row r="223" spans="56:58" ht="39.950000000000003" hidden="1" customHeight="1" x14ac:dyDescent="0.25">
      <c r="BD223" s="42">
        <v>221</v>
      </c>
      <c r="BE223" s="46">
        <v>110.5</v>
      </c>
      <c r="BF223" s="65" t="s">
        <v>0</v>
      </c>
    </row>
    <row r="224" spans="56:58" ht="39.950000000000003" hidden="1" customHeight="1" x14ac:dyDescent="0.25">
      <c r="BD224" s="42">
        <v>222</v>
      </c>
      <c r="BE224" s="46">
        <v>111</v>
      </c>
      <c r="BF224" s="65" t="s">
        <v>0</v>
      </c>
    </row>
    <row r="225" spans="56:58" ht="39.950000000000003" hidden="1" customHeight="1" x14ac:dyDescent="0.25">
      <c r="BD225" s="42">
        <v>223</v>
      </c>
      <c r="BE225" s="46">
        <v>111.5</v>
      </c>
      <c r="BF225" s="65" t="s">
        <v>0</v>
      </c>
    </row>
    <row r="226" spans="56:58" ht="39.950000000000003" hidden="1" customHeight="1" x14ac:dyDescent="0.25">
      <c r="BD226" s="42">
        <v>224</v>
      </c>
      <c r="BE226" s="46">
        <v>112</v>
      </c>
      <c r="BF226" s="65" t="s">
        <v>0</v>
      </c>
    </row>
    <row r="227" spans="56:58" ht="39.950000000000003" hidden="1" customHeight="1" x14ac:dyDescent="0.25">
      <c r="BD227" s="42">
        <v>225</v>
      </c>
      <c r="BE227" s="46">
        <v>112.5</v>
      </c>
      <c r="BF227" s="65" t="s">
        <v>0</v>
      </c>
    </row>
    <row r="228" spans="56:58" ht="39.950000000000003" hidden="1" customHeight="1" x14ac:dyDescent="0.25">
      <c r="BD228" s="42">
        <v>226</v>
      </c>
      <c r="BE228" s="46">
        <v>113</v>
      </c>
      <c r="BF228" s="65" t="s">
        <v>0</v>
      </c>
    </row>
    <row r="229" spans="56:58" ht="39.950000000000003" hidden="1" customHeight="1" x14ac:dyDescent="0.25">
      <c r="BD229" s="42">
        <v>227</v>
      </c>
      <c r="BE229" s="46">
        <v>113.5</v>
      </c>
      <c r="BF229" s="65" t="s">
        <v>0</v>
      </c>
    </row>
    <row r="230" spans="56:58" ht="39.950000000000003" hidden="1" customHeight="1" x14ac:dyDescent="0.25">
      <c r="BD230" s="42">
        <v>228</v>
      </c>
      <c r="BE230" s="46">
        <v>114</v>
      </c>
      <c r="BF230" s="65" t="s">
        <v>0</v>
      </c>
    </row>
    <row r="231" spans="56:58" ht="39.950000000000003" hidden="1" customHeight="1" x14ac:dyDescent="0.25">
      <c r="BD231" s="42">
        <v>229</v>
      </c>
      <c r="BE231" s="46">
        <v>114.5</v>
      </c>
      <c r="BF231" s="65" t="s">
        <v>0</v>
      </c>
    </row>
    <row r="232" spans="56:58" ht="39.950000000000003" hidden="1" customHeight="1" x14ac:dyDescent="0.25">
      <c r="BD232" s="42">
        <v>230</v>
      </c>
      <c r="BE232" s="46">
        <v>115</v>
      </c>
      <c r="BF232" s="65" t="s">
        <v>0</v>
      </c>
    </row>
    <row r="233" spans="56:58" ht="39.950000000000003" hidden="1" customHeight="1" x14ac:dyDescent="0.25">
      <c r="BD233" s="42">
        <v>231</v>
      </c>
      <c r="BE233" s="46">
        <v>115.5</v>
      </c>
      <c r="BF233" s="65" t="s">
        <v>0</v>
      </c>
    </row>
    <row r="234" spans="56:58" ht="39.950000000000003" hidden="1" customHeight="1" x14ac:dyDescent="0.25">
      <c r="BD234" s="42">
        <v>232</v>
      </c>
      <c r="BE234" s="46">
        <v>116</v>
      </c>
      <c r="BF234" s="65" t="s">
        <v>0</v>
      </c>
    </row>
    <row r="235" spans="56:58" ht="39.950000000000003" hidden="1" customHeight="1" x14ac:dyDescent="0.25">
      <c r="BD235" s="42">
        <v>233</v>
      </c>
      <c r="BE235" s="46">
        <v>116.5</v>
      </c>
      <c r="BF235" s="65" t="s">
        <v>0</v>
      </c>
    </row>
    <row r="236" spans="56:58" ht="39.950000000000003" hidden="1" customHeight="1" x14ac:dyDescent="0.25">
      <c r="BD236" s="42">
        <v>234</v>
      </c>
      <c r="BE236" s="46">
        <v>117</v>
      </c>
      <c r="BF236" s="65" t="s">
        <v>0</v>
      </c>
    </row>
    <row r="237" spans="56:58" ht="39.950000000000003" hidden="1" customHeight="1" x14ac:dyDescent="0.25">
      <c r="BD237" s="42">
        <v>235</v>
      </c>
      <c r="BE237" s="46">
        <v>117.5</v>
      </c>
      <c r="BF237" s="65" t="s">
        <v>0</v>
      </c>
    </row>
    <row r="238" spans="56:58" ht="39.950000000000003" hidden="1" customHeight="1" x14ac:dyDescent="0.25">
      <c r="BD238" s="42">
        <v>236</v>
      </c>
      <c r="BE238" s="46">
        <v>118</v>
      </c>
      <c r="BF238" s="65" t="s">
        <v>0</v>
      </c>
    </row>
    <row r="239" spans="56:58" ht="39.950000000000003" hidden="1" customHeight="1" x14ac:dyDescent="0.25">
      <c r="BD239" s="42">
        <v>237</v>
      </c>
      <c r="BE239" s="46">
        <v>118.5</v>
      </c>
      <c r="BF239" s="65" t="s">
        <v>0</v>
      </c>
    </row>
    <row r="240" spans="56:58" ht="39.950000000000003" hidden="1" customHeight="1" x14ac:dyDescent="0.25">
      <c r="BD240" s="42">
        <v>238</v>
      </c>
      <c r="BE240" s="46">
        <v>119</v>
      </c>
      <c r="BF240" s="65" t="s">
        <v>0</v>
      </c>
    </row>
    <row r="241" spans="1:58" ht="39.950000000000003" hidden="1" customHeight="1" x14ac:dyDescent="0.25">
      <c r="BD241" s="42">
        <v>239</v>
      </c>
      <c r="BE241" s="46">
        <v>119.5</v>
      </c>
      <c r="BF241" s="65" t="s">
        <v>0</v>
      </c>
    </row>
    <row r="242" spans="1:58" ht="39.950000000000003" hidden="1" customHeight="1" x14ac:dyDescent="0.25">
      <c r="BD242" s="42">
        <v>240</v>
      </c>
      <c r="BE242" s="46">
        <v>120</v>
      </c>
      <c r="BF242" s="65" t="s">
        <v>0</v>
      </c>
    </row>
    <row r="243" spans="1:58" ht="39.950000000000003" hidden="1" customHeight="1" x14ac:dyDescent="0.25">
      <c r="BD243" s="42">
        <v>241</v>
      </c>
      <c r="BE243" s="46">
        <v>120.5</v>
      </c>
      <c r="BF243" s="65" t="s">
        <v>0</v>
      </c>
    </row>
    <row r="244" spans="1:58" ht="39.950000000000003" hidden="1" customHeight="1" x14ac:dyDescent="0.25">
      <c r="BD244" s="42">
        <v>242</v>
      </c>
      <c r="BE244" s="46">
        <v>121</v>
      </c>
      <c r="BF244" s="65" t="s">
        <v>0</v>
      </c>
    </row>
    <row r="245" spans="1:58" ht="39.950000000000003" hidden="1" customHeight="1" x14ac:dyDescent="0.25">
      <c r="BD245" s="42">
        <v>243</v>
      </c>
      <c r="BE245" s="46">
        <v>121.5</v>
      </c>
      <c r="BF245" s="65" t="s">
        <v>0</v>
      </c>
    </row>
    <row r="246" spans="1:58" ht="39.950000000000003" hidden="1" customHeight="1" x14ac:dyDescent="0.25">
      <c r="BD246" s="42">
        <v>244</v>
      </c>
      <c r="BE246" s="46">
        <v>122</v>
      </c>
      <c r="BF246" s="65" t="s">
        <v>0</v>
      </c>
    </row>
    <row r="247" spans="1:58" ht="39.950000000000003" hidden="1" customHeight="1" x14ac:dyDescent="0.25">
      <c r="BD247" s="42">
        <v>245</v>
      </c>
      <c r="BE247" s="46">
        <v>122.5</v>
      </c>
      <c r="BF247" s="65" t="s">
        <v>0</v>
      </c>
    </row>
    <row r="248" spans="1:58" ht="39.950000000000003" hidden="1" customHeight="1" x14ac:dyDescent="0.25">
      <c r="BD248" s="42">
        <v>246</v>
      </c>
      <c r="BE248" s="46">
        <v>123</v>
      </c>
      <c r="BF248" s="65" t="s">
        <v>0</v>
      </c>
    </row>
    <row r="249" spans="1:58" ht="39.950000000000003" hidden="1" customHeight="1" x14ac:dyDescent="0.25">
      <c r="BD249" s="42">
        <v>247</v>
      </c>
      <c r="BE249" s="46">
        <v>123.5</v>
      </c>
      <c r="BF249" s="65" t="s">
        <v>0</v>
      </c>
    </row>
    <row r="250" spans="1:58" ht="39.950000000000003" hidden="1" customHeight="1" x14ac:dyDescent="0.25">
      <c r="BD250" s="42">
        <v>248</v>
      </c>
      <c r="BE250" s="46">
        <v>124</v>
      </c>
      <c r="BF250" s="65" t="s">
        <v>0</v>
      </c>
    </row>
    <row r="251" spans="1:58" ht="39.950000000000003" hidden="1" customHeight="1" x14ac:dyDescent="0.25">
      <c r="BD251" s="42">
        <v>249</v>
      </c>
      <c r="BE251" s="46">
        <v>124.5</v>
      </c>
      <c r="BF251" s="65" t="s">
        <v>0</v>
      </c>
    </row>
    <row r="252" spans="1:58" ht="39.950000000000003" hidden="1" customHeight="1" x14ac:dyDescent="0.25">
      <c r="BD252" s="42">
        <v>250</v>
      </c>
      <c r="BE252" s="46">
        <v>125</v>
      </c>
      <c r="BF252" s="65" t="s">
        <v>0</v>
      </c>
    </row>
    <row r="253" spans="1:58" ht="39.950000000000003" hidden="1" customHeight="1" x14ac:dyDescent="0.25">
      <c r="BD253" s="42">
        <v>251</v>
      </c>
      <c r="BE253" s="46">
        <v>125.5</v>
      </c>
      <c r="BF253" s="65" t="s">
        <v>0</v>
      </c>
    </row>
    <row r="254" spans="1:58" s="39" customFormat="1" ht="39.950000000000003" hidden="1" customHeight="1" x14ac:dyDescent="0.25">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42"/>
      <c r="Y254" s="42"/>
      <c r="Z254" s="42"/>
      <c r="AA254" s="42"/>
      <c r="AB254" s="42"/>
      <c r="AC254" s="42"/>
      <c r="AD254" s="42"/>
      <c r="AE254" s="42"/>
      <c r="AF254" s="42"/>
      <c r="AG254" s="42"/>
      <c r="AH254" s="42"/>
      <c r="AI254" s="42"/>
      <c r="AJ254" s="42"/>
      <c r="AK254" s="42"/>
      <c r="AL254" s="42"/>
      <c r="AM254" s="42"/>
      <c r="AN254" s="42"/>
      <c r="AO254" s="42"/>
      <c r="AP254" s="42"/>
      <c r="AQ254" s="42"/>
      <c r="AR254" s="42"/>
      <c r="AS254" s="42"/>
      <c r="AT254" s="42"/>
      <c r="AU254" s="42"/>
      <c r="AV254" s="42"/>
      <c r="AW254" s="42"/>
      <c r="AX254" s="42"/>
      <c r="AY254" s="42"/>
      <c r="AZ254" s="42"/>
      <c r="BA254" s="42"/>
      <c r="BB254" s="42"/>
      <c r="BC254" s="42"/>
      <c r="BD254" s="42">
        <v>252</v>
      </c>
      <c r="BE254" s="46">
        <v>126</v>
      </c>
      <c r="BF254" s="65" t="s">
        <v>0</v>
      </c>
    </row>
    <row r="255" spans="1:58" s="39" customFormat="1" ht="39.950000000000003" hidden="1" customHeight="1" x14ac:dyDescent="0.25">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42"/>
      <c r="Y255" s="42"/>
      <c r="Z255" s="42"/>
      <c r="AA255" s="42"/>
      <c r="AB255" s="42"/>
      <c r="AC255" s="42"/>
      <c r="AD255" s="42"/>
      <c r="AE255" s="42"/>
      <c r="AF255" s="42"/>
      <c r="AG255" s="42"/>
      <c r="AH255" s="42"/>
      <c r="AI255" s="42"/>
      <c r="AJ255" s="42"/>
      <c r="AK255" s="42"/>
      <c r="AL255" s="42"/>
      <c r="AM255" s="42"/>
      <c r="AN255" s="42"/>
      <c r="AO255" s="42"/>
      <c r="AP255" s="42"/>
      <c r="AQ255" s="42"/>
      <c r="AR255" s="42"/>
      <c r="AS255" s="42"/>
      <c r="AT255" s="42"/>
      <c r="AU255" s="42"/>
      <c r="AV255" s="42"/>
      <c r="AW255" s="42"/>
      <c r="AX255" s="42"/>
      <c r="AY255" s="42"/>
      <c r="AZ255" s="42"/>
      <c r="BA255" s="42"/>
      <c r="BB255" s="42"/>
      <c r="BC255" s="42"/>
      <c r="BD255" s="42">
        <v>253</v>
      </c>
      <c r="BE255" s="46">
        <v>126.5</v>
      </c>
      <c r="BF255" s="65" t="s">
        <v>0</v>
      </c>
    </row>
    <row r="256" spans="1:58" s="39" customFormat="1" ht="39.950000000000003" hidden="1" customHeight="1" x14ac:dyDescent="0.25">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42"/>
      <c r="Y256" s="42"/>
      <c r="Z256" s="42"/>
      <c r="AA256" s="42"/>
      <c r="AB256" s="42"/>
      <c r="AC256" s="42"/>
      <c r="AD256" s="42"/>
      <c r="AE256" s="42"/>
      <c r="AF256" s="42"/>
      <c r="AG256" s="42"/>
      <c r="AH256" s="42"/>
      <c r="AI256" s="42"/>
      <c r="AJ256" s="42"/>
      <c r="AK256" s="42"/>
      <c r="AL256" s="42"/>
      <c r="AM256" s="42"/>
      <c r="AN256" s="42"/>
      <c r="AO256" s="42"/>
      <c r="AP256" s="42"/>
      <c r="AQ256" s="42"/>
      <c r="AR256" s="42"/>
      <c r="AS256" s="42"/>
      <c r="AT256" s="42"/>
      <c r="AU256" s="42"/>
      <c r="AV256" s="42"/>
      <c r="AW256" s="42"/>
      <c r="AX256" s="42"/>
      <c r="AY256" s="42"/>
      <c r="AZ256" s="42"/>
      <c r="BA256" s="42"/>
      <c r="BB256" s="42"/>
      <c r="BC256" s="42"/>
      <c r="BD256" s="42">
        <v>254</v>
      </c>
      <c r="BE256" s="46">
        <v>127</v>
      </c>
      <c r="BF256" s="65" t="s">
        <v>0</v>
      </c>
    </row>
    <row r="257" spans="1:58" s="39" customFormat="1" ht="39.950000000000003" hidden="1" customHeight="1" x14ac:dyDescent="0.25">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42"/>
      <c r="Y257" s="42"/>
      <c r="Z257" s="42"/>
      <c r="AA257" s="42"/>
      <c r="AB257" s="42"/>
      <c r="AC257" s="42"/>
      <c r="AD257" s="42"/>
      <c r="AE257" s="42"/>
      <c r="AF257" s="42"/>
      <c r="AG257" s="42"/>
      <c r="AH257" s="42"/>
      <c r="AI257" s="42"/>
      <c r="AJ257" s="42"/>
      <c r="AK257" s="42"/>
      <c r="AL257" s="42"/>
      <c r="AM257" s="42"/>
      <c r="AN257" s="42"/>
      <c r="AO257" s="42"/>
      <c r="AP257" s="42"/>
      <c r="AQ257" s="42"/>
      <c r="AR257" s="42"/>
      <c r="AS257" s="42"/>
      <c r="AT257" s="42"/>
      <c r="AU257" s="42"/>
      <c r="AV257" s="42"/>
      <c r="AW257" s="42"/>
      <c r="AX257" s="42"/>
      <c r="AY257" s="42"/>
      <c r="AZ257" s="42"/>
      <c r="BA257" s="42"/>
      <c r="BB257" s="42"/>
      <c r="BC257" s="42"/>
      <c r="BD257" s="42">
        <v>255</v>
      </c>
      <c r="BE257" s="46">
        <v>127.5</v>
      </c>
      <c r="BF257" s="65" t="s">
        <v>0</v>
      </c>
    </row>
    <row r="258" spans="1:58" s="39" customFormat="1" ht="39.950000000000003" hidden="1" customHeight="1" x14ac:dyDescent="0.25">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42"/>
      <c r="Y258" s="42"/>
      <c r="Z258" s="42"/>
      <c r="AA258" s="42"/>
      <c r="AB258" s="42"/>
      <c r="AC258" s="42"/>
      <c r="AD258" s="42"/>
      <c r="AE258" s="42"/>
      <c r="AF258" s="42"/>
      <c r="AG258" s="42"/>
      <c r="AH258" s="42"/>
      <c r="AI258" s="42"/>
      <c r="AJ258" s="42"/>
      <c r="AK258" s="42"/>
      <c r="AL258" s="42"/>
      <c r="AM258" s="42"/>
      <c r="AN258" s="42"/>
      <c r="AO258" s="42"/>
      <c r="AP258" s="42"/>
      <c r="AQ258" s="42"/>
      <c r="AR258" s="42"/>
      <c r="AS258" s="42"/>
      <c r="AT258" s="42"/>
      <c r="AU258" s="42"/>
      <c r="AV258" s="42"/>
      <c r="AW258" s="42"/>
      <c r="AX258" s="42"/>
      <c r="AY258" s="42"/>
      <c r="AZ258" s="42"/>
      <c r="BA258" s="42"/>
      <c r="BB258" s="42"/>
      <c r="BC258" s="42"/>
      <c r="BD258" s="42">
        <v>256</v>
      </c>
      <c r="BE258" s="46">
        <v>128</v>
      </c>
      <c r="BF258" s="65" t="s">
        <v>0</v>
      </c>
    </row>
    <row r="259" spans="1:58" s="39" customFormat="1" ht="39.950000000000003" hidden="1" customHeight="1" x14ac:dyDescent="0.25">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42"/>
      <c r="Y259" s="42"/>
      <c r="Z259" s="42"/>
      <c r="AA259" s="42"/>
      <c r="AB259" s="42"/>
      <c r="AC259" s="42"/>
      <c r="AD259" s="42"/>
      <c r="AE259" s="42"/>
      <c r="AF259" s="42"/>
      <c r="AG259" s="42"/>
      <c r="AH259" s="42"/>
      <c r="AI259" s="42"/>
      <c r="AJ259" s="42"/>
      <c r="AK259" s="42"/>
      <c r="AL259" s="42"/>
      <c r="AM259" s="42"/>
      <c r="AN259" s="42"/>
      <c r="AO259" s="42"/>
      <c r="AP259" s="42"/>
      <c r="AQ259" s="42"/>
      <c r="AR259" s="42"/>
      <c r="AS259" s="42"/>
      <c r="AT259" s="42"/>
      <c r="AU259" s="42"/>
      <c r="AV259" s="42"/>
      <c r="AW259" s="42"/>
      <c r="AX259" s="42"/>
      <c r="AY259" s="42"/>
      <c r="AZ259" s="42"/>
      <c r="BA259" s="42"/>
      <c r="BB259" s="42"/>
      <c r="BC259" s="42"/>
      <c r="BD259" s="42">
        <v>257</v>
      </c>
      <c r="BE259" s="46">
        <v>128.5</v>
      </c>
      <c r="BF259" s="65" t="s">
        <v>0</v>
      </c>
    </row>
    <row r="260" spans="1:58" s="39" customFormat="1" ht="39.950000000000003" hidden="1" customHeight="1" x14ac:dyDescent="0.25">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42"/>
      <c r="Y260" s="42"/>
      <c r="Z260" s="42"/>
      <c r="AA260" s="42"/>
      <c r="AB260" s="42"/>
      <c r="AC260" s="42"/>
      <c r="AD260" s="42"/>
      <c r="AE260" s="42"/>
      <c r="AF260" s="42"/>
      <c r="AG260" s="42"/>
      <c r="AH260" s="42"/>
      <c r="AI260" s="42"/>
      <c r="AJ260" s="42"/>
      <c r="AK260" s="42"/>
      <c r="AL260" s="42"/>
      <c r="AM260" s="42"/>
      <c r="AN260" s="42"/>
      <c r="AO260" s="42"/>
      <c r="AP260" s="42"/>
      <c r="AQ260" s="42"/>
      <c r="AR260" s="42"/>
      <c r="AS260" s="42"/>
      <c r="AT260" s="42"/>
      <c r="AU260" s="42"/>
      <c r="AV260" s="42"/>
      <c r="AW260" s="42"/>
      <c r="AX260" s="42"/>
      <c r="AY260" s="42"/>
      <c r="AZ260" s="42"/>
      <c r="BA260" s="42"/>
      <c r="BB260" s="42"/>
      <c r="BC260" s="42"/>
      <c r="BD260" s="42">
        <v>258</v>
      </c>
      <c r="BE260" s="46">
        <v>129</v>
      </c>
      <c r="BF260" s="65" t="s">
        <v>0</v>
      </c>
    </row>
    <row r="261" spans="1:58" s="39" customFormat="1" ht="39.950000000000003" hidden="1" customHeight="1" x14ac:dyDescent="0.25">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42"/>
      <c r="Y261" s="42"/>
      <c r="Z261" s="42"/>
      <c r="AA261" s="42"/>
      <c r="AB261" s="42"/>
      <c r="AC261" s="42"/>
      <c r="AD261" s="42"/>
      <c r="AE261" s="42"/>
      <c r="AF261" s="42"/>
      <c r="AG261" s="42"/>
      <c r="AH261" s="42"/>
      <c r="AI261" s="42"/>
      <c r="AJ261" s="42"/>
      <c r="AK261" s="42"/>
      <c r="AL261" s="42"/>
      <c r="AM261" s="42"/>
      <c r="AN261" s="42"/>
      <c r="AO261" s="42"/>
      <c r="AP261" s="42"/>
      <c r="AQ261" s="42"/>
      <c r="AR261" s="42"/>
      <c r="AS261" s="42"/>
      <c r="AT261" s="42"/>
      <c r="AU261" s="42"/>
      <c r="AV261" s="42"/>
      <c r="AW261" s="42"/>
      <c r="AX261" s="42"/>
      <c r="AY261" s="42"/>
      <c r="AZ261" s="42"/>
      <c r="BA261" s="42"/>
      <c r="BB261" s="42"/>
      <c r="BC261" s="42"/>
      <c r="BD261" s="42">
        <v>259</v>
      </c>
      <c r="BE261" s="46">
        <v>129.5</v>
      </c>
      <c r="BF261" s="65" t="s">
        <v>0</v>
      </c>
    </row>
    <row r="262" spans="1:58" s="39" customFormat="1" ht="39.950000000000003" hidden="1" customHeight="1" x14ac:dyDescent="0.25">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v>260</v>
      </c>
      <c r="BE262" s="46">
        <v>130</v>
      </c>
      <c r="BF262" s="65" t="s">
        <v>0</v>
      </c>
    </row>
    <row r="263" spans="1:58" s="39" customFormat="1" ht="39.950000000000003" hidden="1" customHeight="1" x14ac:dyDescent="0.25">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42"/>
      <c r="Y263" s="42"/>
      <c r="Z263" s="42"/>
      <c r="AA263" s="42"/>
      <c r="AB263" s="42"/>
      <c r="AC263" s="42"/>
      <c r="AD263" s="42"/>
      <c r="AE263" s="42"/>
      <c r="AF263" s="42"/>
      <c r="AG263" s="42"/>
      <c r="AH263" s="42"/>
      <c r="AI263" s="42"/>
      <c r="AJ263" s="42"/>
      <c r="AK263" s="42"/>
      <c r="AL263" s="42"/>
      <c r="AM263" s="42"/>
      <c r="AN263" s="42"/>
      <c r="AO263" s="42"/>
      <c r="AP263" s="42"/>
      <c r="AQ263" s="42"/>
      <c r="AR263" s="42"/>
      <c r="AS263" s="42"/>
      <c r="AT263" s="42"/>
      <c r="AU263" s="42"/>
      <c r="AV263" s="42"/>
      <c r="AW263" s="42"/>
      <c r="AX263" s="42"/>
      <c r="AY263" s="42"/>
      <c r="AZ263" s="42"/>
      <c r="BA263" s="42"/>
      <c r="BB263" s="42"/>
      <c r="BC263" s="42"/>
      <c r="BD263" s="42">
        <v>261</v>
      </c>
      <c r="BE263" s="46">
        <v>130.5</v>
      </c>
      <c r="BF263" s="65" t="s">
        <v>0</v>
      </c>
    </row>
    <row r="264" spans="1:58" s="39" customFormat="1" ht="39.950000000000003" hidden="1" customHeight="1" x14ac:dyDescent="0.25">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42"/>
      <c r="Y264" s="42"/>
      <c r="Z264" s="42"/>
      <c r="AA264" s="42"/>
      <c r="AB264" s="42"/>
      <c r="AC264" s="42"/>
      <c r="AD264" s="42"/>
      <c r="AE264" s="42"/>
      <c r="AF264" s="42"/>
      <c r="AG264" s="42"/>
      <c r="AH264" s="42"/>
      <c r="AI264" s="42"/>
      <c r="AJ264" s="42"/>
      <c r="AK264" s="42"/>
      <c r="AL264" s="42"/>
      <c r="AM264" s="42"/>
      <c r="AN264" s="42"/>
      <c r="AO264" s="42"/>
      <c r="AP264" s="42"/>
      <c r="AQ264" s="42"/>
      <c r="AR264" s="42"/>
      <c r="AS264" s="42"/>
      <c r="AT264" s="42"/>
      <c r="AU264" s="42"/>
      <c r="AV264" s="42"/>
      <c r="AW264" s="42"/>
      <c r="AX264" s="42"/>
      <c r="AY264" s="42"/>
      <c r="AZ264" s="42"/>
      <c r="BA264" s="42"/>
      <c r="BB264" s="42"/>
      <c r="BC264" s="42"/>
      <c r="BD264" s="42">
        <v>262</v>
      </c>
      <c r="BE264" s="46">
        <v>131</v>
      </c>
      <c r="BF264" s="65" t="s">
        <v>0</v>
      </c>
    </row>
    <row r="265" spans="1:58" s="39" customFormat="1" ht="39.950000000000003" hidden="1" customHeight="1" x14ac:dyDescent="0.25">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v>263</v>
      </c>
      <c r="BE265" s="46">
        <v>131.5</v>
      </c>
      <c r="BF265" s="65" t="s">
        <v>0</v>
      </c>
    </row>
    <row r="266" spans="1:58" s="39" customFormat="1" ht="39.950000000000003" hidden="1" customHeight="1" x14ac:dyDescent="0.25">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42"/>
      <c r="Y266" s="42"/>
      <c r="Z266" s="42"/>
      <c r="AA266" s="42"/>
      <c r="AB266" s="42"/>
      <c r="AC266" s="42"/>
      <c r="AD266" s="42"/>
      <c r="AE266" s="42"/>
      <c r="AF266" s="42"/>
      <c r="AG266" s="42"/>
      <c r="AH266" s="42"/>
      <c r="AI266" s="42"/>
      <c r="AJ266" s="42"/>
      <c r="AK266" s="42"/>
      <c r="AL266" s="42"/>
      <c r="AM266" s="42"/>
      <c r="AN266" s="42"/>
      <c r="AO266" s="42"/>
      <c r="AP266" s="42"/>
      <c r="AQ266" s="42"/>
      <c r="AR266" s="42"/>
      <c r="AS266" s="42"/>
      <c r="AT266" s="42"/>
      <c r="AU266" s="42"/>
      <c r="AV266" s="42"/>
      <c r="AW266" s="42"/>
      <c r="AX266" s="42"/>
      <c r="AY266" s="42"/>
      <c r="AZ266" s="42"/>
      <c r="BA266" s="42"/>
      <c r="BB266" s="42"/>
      <c r="BC266" s="42"/>
      <c r="BD266" s="42">
        <v>264</v>
      </c>
      <c r="BE266" s="46">
        <v>132</v>
      </c>
      <c r="BF266" s="65" t="s">
        <v>0</v>
      </c>
    </row>
    <row r="267" spans="1:58" s="39" customFormat="1" ht="39.950000000000003" hidden="1" customHeight="1" x14ac:dyDescent="0.25">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42"/>
      <c r="Y267" s="42"/>
      <c r="Z267" s="42"/>
      <c r="AA267" s="42"/>
      <c r="AB267" s="42"/>
      <c r="AC267" s="42"/>
      <c r="AD267" s="42"/>
      <c r="AE267" s="42"/>
      <c r="AF267" s="42"/>
      <c r="AG267" s="42"/>
      <c r="AH267" s="42"/>
      <c r="AI267" s="42"/>
      <c r="AJ267" s="42"/>
      <c r="AK267" s="42"/>
      <c r="AL267" s="42"/>
      <c r="AM267" s="42"/>
      <c r="AN267" s="42"/>
      <c r="AO267" s="42"/>
      <c r="AP267" s="42"/>
      <c r="AQ267" s="42"/>
      <c r="AR267" s="42"/>
      <c r="AS267" s="42"/>
      <c r="AT267" s="42"/>
      <c r="AU267" s="42"/>
      <c r="AV267" s="42"/>
      <c r="AW267" s="42"/>
      <c r="AX267" s="42"/>
      <c r="AY267" s="42"/>
      <c r="AZ267" s="42"/>
      <c r="BA267" s="42"/>
      <c r="BB267" s="42"/>
      <c r="BC267" s="42"/>
      <c r="BD267" s="42">
        <v>265</v>
      </c>
      <c r="BE267" s="46">
        <v>132.5</v>
      </c>
      <c r="BF267" s="65" t="s">
        <v>0</v>
      </c>
    </row>
    <row r="268" spans="1:58" s="39" customFormat="1" ht="39.950000000000003" hidden="1" customHeight="1" x14ac:dyDescent="0.25">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42"/>
      <c r="Y268" s="42"/>
      <c r="Z268" s="42"/>
      <c r="AA268" s="42"/>
      <c r="AB268" s="42"/>
      <c r="AC268" s="42"/>
      <c r="AD268" s="42"/>
      <c r="AE268" s="42"/>
      <c r="AF268" s="42"/>
      <c r="AG268" s="42"/>
      <c r="AH268" s="42"/>
      <c r="AI268" s="42"/>
      <c r="AJ268" s="42"/>
      <c r="AK268" s="42"/>
      <c r="AL268" s="42"/>
      <c r="AM268" s="42"/>
      <c r="AN268" s="42"/>
      <c r="AO268" s="42"/>
      <c r="AP268" s="42"/>
      <c r="AQ268" s="42"/>
      <c r="AR268" s="42"/>
      <c r="AS268" s="42"/>
      <c r="AT268" s="42"/>
      <c r="AU268" s="42"/>
      <c r="AV268" s="42"/>
      <c r="AW268" s="42"/>
      <c r="AX268" s="42"/>
      <c r="AY268" s="42"/>
      <c r="AZ268" s="42"/>
      <c r="BA268" s="42"/>
      <c r="BB268" s="42"/>
      <c r="BC268" s="42"/>
      <c r="BD268" s="42">
        <v>266</v>
      </c>
      <c r="BE268" s="46">
        <v>133</v>
      </c>
      <c r="BF268" s="65" t="s">
        <v>0</v>
      </c>
    </row>
    <row r="269" spans="1:58" s="39" customFormat="1" ht="39.950000000000003" hidden="1" customHeight="1" x14ac:dyDescent="0.25">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42"/>
      <c r="Y269" s="42"/>
      <c r="Z269" s="42"/>
      <c r="AA269" s="42"/>
      <c r="AB269" s="42"/>
      <c r="AC269" s="42"/>
      <c r="AD269" s="42"/>
      <c r="AE269" s="42"/>
      <c r="AF269" s="42"/>
      <c r="AG269" s="42"/>
      <c r="AH269" s="42"/>
      <c r="AI269" s="42"/>
      <c r="AJ269" s="42"/>
      <c r="AK269" s="42"/>
      <c r="AL269" s="42"/>
      <c r="AM269" s="42"/>
      <c r="AN269" s="42"/>
      <c r="AO269" s="42"/>
      <c r="AP269" s="42"/>
      <c r="AQ269" s="42"/>
      <c r="AR269" s="42"/>
      <c r="AS269" s="42"/>
      <c r="AT269" s="42"/>
      <c r="AU269" s="42"/>
      <c r="AV269" s="42"/>
      <c r="AW269" s="42"/>
      <c r="AX269" s="42"/>
      <c r="AY269" s="42"/>
      <c r="AZ269" s="42"/>
      <c r="BA269" s="42"/>
      <c r="BB269" s="42"/>
      <c r="BC269" s="42"/>
      <c r="BD269" s="42">
        <v>267</v>
      </c>
      <c r="BE269" s="46">
        <v>133.5</v>
      </c>
      <c r="BF269" s="65" t="s">
        <v>0</v>
      </c>
    </row>
    <row r="270" spans="1:58" ht="39.950000000000003" hidden="1" customHeight="1" x14ac:dyDescent="0.25">
      <c r="BD270" s="42">
        <v>268</v>
      </c>
      <c r="BE270" s="46">
        <v>134</v>
      </c>
      <c r="BF270" s="65" t="s">
        <v>0</v>
      </c>
    </row>
    <row r="271" spans="1:58" ht="39.950000000000003" hidden="1" customHeight="1" x14ac:dyDescent="0.25">
      <c r="BD271" s="42">
        <v>269</v>
      </c>
      <c r="BE271" s="46">
        <v>134.5</v>
      </c>
      <c r="BF271" s="65" t="s">
        <v>0</v>
      </c>
    </row>
    <row r="272" spans="1:58" ht="39.950000000000003" hidden="1" customHeight="1" x14ac:dyDescent="0.25">
      <c r="BD272" s="42">
        <v>270</v>
      </c>
      <c r="BE272" s="46">
        <v>135</v>
      </c>
      <c r="BF272" s="65" t="s">
        <v>0</v>
      </c>
    </row>
    <row r="273" spans="56:58" ht="39.950000000000003" hidden="1" customHeight="1" x14ac:dyDescent="0.25">
      <c r="BD273" s="42">
        <v>271</v>
      </c>
      <c r="BE273" s="46">
        <v>135.5</v>
      </c>
      <c r="BF273" s="65" t="s">
        <v>0</v>
      </c>
    </row>
    <row r="274" spans="56:58" ht="39.950000000000003" hidden="1" customHeight="1" x14ac:dyDescent="0.25">
      <c r="BD274" s="42">
        <v>272</v>
      </c>
      <c r="BE274" s="46">
        <v>136</v>
      </c>
      <c r="BF274" s="65" t="s">
        <v>0</v>
      </c>
    </row>
    <row r="275" spans="56:58" ht="39.950000000000003" hidden="1" customHeight="1" x14ac:dyDescent="0.25">
      <c r="BD275" s="42">
        <v>273</v>
      </c>
      <c r="BE275" s="46">
        <v>136.5</v>
      </c>
      <c r="BF275" s="65" t="s">
        <v>0</v>
      </c>
    </row>
    <row r="276" spans="56:58" ht="39.950000000000003" hidden="1" customHeight="1" x14ac:dyDescent="0.25">
      <c r="BD276" s="42">
        <v>274</v>
      </c>
      <c r="BE276" s="46">
        <v>137</v>
      </c>
      <c r="BF276" s="65" t="s">
        <v>0</v>
      </c>
    </row>
    <row r="277" spans="56:58" ht="39.950000000000003" hidden="1" customHeight="1" x14ac:dyDescent="0.25">
      <c r="BD277" s="42">
        <v>275</v>
      </c>
      <c r="BE277" s="46">
        <v>137.5</v>
      </c>
      <c r="BF277" s="65" t="s">
        <v>0</v>
      </c>
    </row>
    <row r="278" spans="56:58" ht="39.950000000000003" hidden="1" customHeight="1" x14ac:dyDescent="0.25">
      <c r="BD278" s="42">
        <v>276</v>
      </c>
      <c r="BE278" s="46">
        <v>138</v>
      </c>
      <c r="BF278" s="65" t="s">
        <v>0</v>
      </c>
    </row>
    <row r="279" spans="56:58" ht="39.950000000000003" hidden="1" customHeight="1" x14ac:dyDescent="0.25">
      <c r="BD279" s="42">
        <v>277</v>
      </c>
      <c r="BE279" s="46">
        <v>138.5</v>
      </c>
      <c r="BF279" s="65" t="s">
        <v>0</v>
      </c>
    </row>
    <row r="280" spans="56:58" ht="39.950000000000003" hidden="1" customHeight="1" x14ac:dyDescent="0.25">
      <c r="BD280" s="42">
        <v>278</v>
      </c>
      <c r="BE280" s="46">
        <v>139</v>
      </c>
      <c r="BF280" s="65" t="s">
        <v>0</v>
      </c>
    </row>
    <row r="281" spans="56:58" ht="39.950000000000003" hidden="1" customHeight="1" x14ac:dyDescent="0.25">
      <c r="BD281" s="42">
        <v>279</v>
      </c>
      <c r="BE281" s="46">
        <v>139.5</v>
      </c>
      <c r="BF281" s="65" t="s">
        <v>0</v>
      </c>
    </row>
    <row r="282" spans="56:58" ht="39.950000000000003" hidden="1" customHeight="1" x14ac:dyDescent="0.25">
      <c r="BD282" s="42">
        <v>280</v>
      </c>
      <c r="BE282" s="46">
        <v>140</v>
      </c>
      <c r="BF282" s="65" t="s">
        <v>0</v>
      </c>
    </row>
    <row r="283" spans="56:58" ht="39.950000000000003" hidden="1" customHeight="1" x14ac:dyDescent="0.25">
      <c r="BD283" s="42">
        <v>281</v>
      </c>
      <c r="BE283" s="46">
        <v>140.5</v>
      </c>
      <c r="BF283" s="65" t="s">
        <v>0</v>
      </c>
    </row>
    <row r="284" spans="56:58" ht="39.950000000000003" hidden="1" customHeight="1" x14ac:dyDescent="0.25">
      <c r="BD284" s="42">
        <v>282</v>
      </c>
      <c r="BE284" s="46">
        <v>141</v>
      </c>
      <c r="BF284" s="65" t="s">
        <v>0</v>
      </c>
    </row>
    <row r="285" spans="56:58" ht="39.950000000000003" hidden="1" customHeight="1" x14ac:dyDescent="0.25">
      <c r="BD285" s="42">
        <v>283</v>
      </c>
      <c r="BE285" s="46">
        <v>141.5</v>
      </c>
      <c r="BF285" s="65" t="s">
        <v>0</v>
      </c>
    </row>
    <row r="286" spans="56:58" ht="39.950000000000003" hidden="1" customHeight="1" x14ac:dyDescent="0.25">
      <c r="BD286" s="42">
        <v>284</v>
      </c>
      <c r="BE286" s="46">
        <v>142</v>
      </c>
      <c r="BF286" s="65" t="s">
        <v>0</v>
      </c>
    </row>
    <row r="287" spans="56:58" ht="39.950000000000003" hidden="1" customHeight="1" x14ac:dyDescent="0.25">
      <c r="BD287" s="42">
        <v>285</v>
      </c>
      <c r="BE287" s="46">
        <v>142.5</v>
      </c>
      <c r="BF287" s="65" t="s">
        <v>0</v>
      </c>
    </row>
    <row r="288" spans="56:58" ht="39.950000000000003" hidden="1" customHeight="1" x14ac:dyDescent="0.25">
      <c r="BD288" s="42">
        <v>286</v>
      </c>
      <c r="BE288" s="46">
        <v>143</v>
      </c>
      <c r="BF288" s="65" t="s">
        <v>0</v>
      </c>
    </row>
    <row r="289" spans="56:58" ht="39.950000000000003" hidden="1" customHeight="1" x14ac:dyDescent="0.25">
      <c r="BD289" s="42">
        <v>287</v>
      </c>
      <c r="BE289" s="46">
        <v>143.5</v>
      </c>
      <c r="BF289" s="65" t="s">
        <v>0</v>
      </c>
    </row>
    <row r="290" spans="56:58" ht="39.950000000000003" hidden="1" customHeight="1" x14ac:dyDescent="0.25">
      <c r="BD290" s="42">
        <v>288</v>
      </c>
      <c r="BE290" s="46">
        <v>144</v>
      </c>
      <c r="BF290" s="65" t="s">
        <v>0</v>
      </c>
    </row>
    <row r="291" spans="56:58" ht="39.950000000000003" hidden="1" customHeight="1" x14ac:dyDescent="0.25">
      <c r="BD291" s="42">
        <v>289</v>
      </c>
      <c r="BE291" s="46">
        <v>144.5</v>
      </c>
      <c r="BF291" s="65" t="s">
        <v>0</v>
      </c>
    </row>
    <row r="292" spans="56:58" ht="39.950000000000003" hidden="1" customHeight="1" x14ac:dyDescent="0.25">
      <c r="BD292" s="42">
        <v>290</v>
      </c>
      <c r="BE292" s="46">
        <v>145</v>
      </c>
      <c r="BF292" s="65" t="s">
        <v>0</v>
      </c>
    </row>
    <row r="293" spans="56:58" ht="39.950000000000003" hidden="1" customHeight="1" x14ac:dyDescent="0.25">
      <c r="BD293" s="42">
        <v>291</v>
      </c>
      <c r="BE293" s="46">
        <v>145.5</v>
      </c>
      <c r="BF293" s="65" t="s">
        <v>0</v>
      </c>
    </row>
    <row r="294" spans="56:58" ht="39.950000000000003" hidden="1" customHeight="1" x14ac:dyDescent="0.25">
      <c r="BD294" s="42">
        <v>292</v>
      </c>
      <c r="BE294" s="46">
        <v>146</v>
      </c>
      <c r="BF294" s="65" t="s">
        <v>0</v>
      </c>
    </row>
    <row r="295" spans="56:58" ht="39.950000000000003" hidden="1" customHeight="1" x14ac:dyDescent="0.25">
      <c r="BD295" s="42">
        <v>293</v>
      </c>
      <c r="BE295" s="46">
        <v>146.5</v>
      </c>
      <c r="BF295" s="65" t="s">
        <v>0</v>
      </c>
    </row>
    <row r="296" spans="56:58" ht="39.950000000000003" hidden="1" customHeight="1" x14ac:dyDescent="0.25">
      <c r="BD296" s="42">
        <v>294</v>
      </c>
      <c r="BE296" s="46">
        <v>147</v>
      </c>
      <c r="BF296" s="65" t="s">
        <v>0</v>
      </c>
    </row>
    <row r="297" spans="56:58" ht="39.950000000000003" hidden="1" customHeight="1" x14ac:dyDescent="0.25">
      <c r="BD297" s="42">
        <v>295</v>
      </c>
      <c r="BE297" s="46">
        <v>147.5</v>
      </c>
      <c r="BF297" s="65" t="s">
        <v>0</v>
      </c>
    </row>
    <row r="298" spans="56:58" ht="39.950000000000003" hidden="1" customHeight="1" x14ac:dyDescent="0.25">
      <c r="BD298" s="42">
        <v>296</v>
      </c>
      <c r="BE298" s="46">
        <v>148</v>
      </c>
      <c r="BF298" s="65" t="s">
        <v>0</v>
      </c>
    </row>
    <row r="299" spans="56:58" ht="39.950000000000003" hidden="1" customHeight="1" x14ac:dyDescent="0.25">
      <c r="BD299" s="42">
        <v>297</v>
      </c>
      <c r="BE299" s="46">
        <v>148.5</v>
      </c>
      <c r="BF299" s="65" t="s">
        <v>0</v>
      </c>
    </row>
    <row r="300" spans="56:58" ht="39.950000000000003" hidden="1" customHeight="1" x14ac:dyDescent="0.25">
      <c r="BD300" s="42">
        <v>298</v>
      </c>
      <c r="BE300" s="46">
        <v>149</v>
      </c>
      <c r="BF300" s="65" t="s">
        <v>0</v>
      </c>
    </row>
    <row r="301" spans="56:58" ht="39.950000000000003" hidden="1" customHeight="1" x14ac:dyDescent="0.25">
      <c r="BD301" s="42">
        <v>299</v>
      </c>
      <c r="BE301" s="46">
        <v>149.5</v>
      </c>
      <c r="BF301" s="65" t="s">
        <v>0</v>
      </c>
    </row>
    <row r="302" spans="56:58" ht="39.950000000000003" hidden="1" customHeight="1" x14ac:dyDescent="0.25">
      <c r="BD302" s="42">
        <v>300</v>
      </c>
      <c r="BE302" s="46">
        <v>150</v>
      </c>
      <c r="BF302" s="65" t="s">
        <v>0</v>
      </c>
    </row>
    <row r="303" spans="56:58" ht="39.950000000000003" hidden="1" customHeight="1" x14ac:dyDescent="0.25">
      <c r="BD303" s="42">
        <v>301</v>
      </c>
      <c r="BE303" s="46">
        <v>150.5</v>
      </c>
      <c r="BF303" s="65" t="s">
        <v>0</v>
      </c>
    </row>
    <row r="304" spans="56:58" ht="39.950000000000003" hidden="1" customHeight="1" x14ac:dyDescent="0.25">
      <c r="BD304" s="42">
        <v>302</v>
      </c>
      <c r="BE304" s="46">
        <v>151</v>
      </c>
      <c r="BF304" s="65" t="s">
        <v>0</v>
      </c>
    </row>
    <row r="305" spans="56:58" ht="39.950000000000003" hidden="1" customHeight="1" x14ac:dyDescent="0.25">
      <c r="BD305" s="42">
        <v>303</v>
      </c>
      <c r="BE305" s="46">
        <v>151.5</v>
      </c>
      <c r="BF305" s="65" t="s">
        <v>0</v>
      </c>
    </row>
    <row r="306" spans="56:58" ht="39.950000000000003" hidden="1" customHeight="1" x14ac:dyDescent="0.25">
      <c r="BD306" s="42">
        <v>304</v>
      </c>
      <c r="BE306" s="46">
        <v>152</v>
      </c>
      <c r="BF306" s="65" t="s">
        <v>0</v>
      </c>
    </row>
    <row r="307" spans="56:58" ht="39.950000000000003" hidden="1" customHeight="1" x14ac:dyDescent="0.25">
      <c r="BD307" s="42">
        <v>305</v>
      </c>
      <c r="BE307" s="46">
        <v>152.5</v>
      </c>
      <c r="BF307" s="65" t="s">
        <v>0</v>
      </c>
    </row>
    <row r="308" spans="56:58" ht="39.950000000000003" hidden="1" customHeight="1" x14ac:dyDescent="0.25">
      <c r="BD308" s="42">
        <v>306</v>
      </c>
      <c r="BE308" s="46">
        <v>153</v>
      </c>
      <c r="BF308" s="65" t="s">
        <v>0</v>
      </c>
    </row>
    <row r="309" spans="56:58" ht="39.950000000000003" hidden="1" customHeight="1" x14ac:dyDescent="0.25">
      <c r="BD309" s="42">
        <v>307</v>
      </c>
      <c r="BE309" s="46">
        <v>153.5</v>
      </c>
      <c r="BF309" s="65" t="s">
        <v>0</v>
      </c>
    </row>
    <row r="310" spans="56:58" ht="39.950000000000003" hidden="1" customHeight="1" x14ac:dyDescent="0.25">
      <c r="BD310" s="42">
        <v>308</v>
      </c>
      <c r="BE310" s="46">
        <v>154</v>
      </c>
      <c r="BF310" s="65" t="s">
        <v>0</v>
      </c>
    </row>
    <row r="311" spans="56:58" ht="39.950000000000003" hidden="1" customHeight="1" x14ac:dyDescent="0.25">
      <c r="BD311" s="42">
        <v>309</v>
      </c>
      <c r="BE311" s="46">
        <v>154.5</v>
      </c>
      <c r="BF311" s="65" t="s">
        <v>0</v>
      </c>
    </row>
    <row r="312" spans="56:58" ht="39.950000000000003" hidden="1" customHeight="1" x14ac:dyDescent="0.25">
      <c r="BD312" s="42">
        <v>310</v>
      </c>
      <c r="BE312" s="46">
        <v>155</v>
      </c>
      <c r="BF312" s="65" t="s">
        <v>0</v>
      </c>
    </row>
    <row r="313" spans="56:58" ht="39.950000000000003" hidden="1" customHeight="1" x14ac:dyDescent="0.25">
      <c r="BD313" s="42">
        <v>311</v>
      </c>
      <c r="BE313" s="46">
        <v>155.5</v>
      </c>
      <c r="BF313" s="65" t="s">
        <v>0</v>
      </c>
    </row>
    <row r="314" spans="56:58" ht="39.950000000000003" hidden="1" customHeight="1" x14ac:dyDescent="0.25">
      <c r="BD314" s="42">
        <v>312</v>
      </c>
      <c r="BE314" s="46">
        <v>156</v>
      </c>
      <c r="BF314" s="65" t="s">
        <v>0</v>
      </c>
    </row>
    <row r="315" spans="56:58" ht="39.950000000000003" hidden="1" customHeight="1" x14ac:dyDescent="0.25">
      <c r="BD315" s="42">
        <v>313</v>
      </c>
      <c r="BE315" s="46">
        <v>156.5</v>
      </c>
      <c r="BF315" s="65" t="s">
        <v>0</v>
      </c>
    </row>
    <row r="316" spans="56:58" ht="39.950000000000003" hidden="1" customHeight="1" x14ac:dyDescent="0.25">
      <c r="BD316" s="42">
        <v>314</v>
      </c>
      <c r="BE316" s="46">
        <v>157</v>
      </c>
      <c r="BF316" s="65" t="s">
        <v>0</v>
      </c>
    </row>
    <row r="317" spans="56:58" ht="39.950000000000003" hidden="1" customHeight="1" x14ac:dyDescent="0.25">
      <c r="BD317" s="42">
        <v>315</v>
      </c>
      <c r="BE317" s="46">
        <v>157.5</v>
      </c>
      <c r="BF317" s="65" t="s">
        <v>0</v>
      </c>
    </row>
    <row r="318" spans="56:58" ht="39.950000000000003" hidden="1" customHeight="1" x14ac:dyDescent="0.25">
      <c r="BD318" s="42">
        <v>316</v>
      </c>
      <c r="BE318" s="46">
        <v>158</v>
      </c>
      <c r="BF318" s="65" t="s">
        <v>0</v>
      </c>
    </row>
    <row r="319" spans="56:58" ht="39.950000000000003" hidden="1" customHeight="1" x14ac:dyDescent="0.25">
      <c r="BD319" s="42">
        <v>317</v>
      </c>
      <c r="BE319" s="46">
        <v>158.5</v>
      </c>
      <c r="BF319" s="65" t="s">
        <v>0</v>
      </c>
    </row>
    <row r="320" spans="56:58" ht="39.950000000000003" hidden="1" customHeight="1" x14ac:dyDescent="0.25">
      <c r="BD320" s="42">
        <v>318</v>
      </c>
      <c r="BE320" s="46">
        <v>159</v>
      </c>
      <c r="BF320" s="65" t="s">
        <v>0</v>
      </c>
    </row>
    <row r="321" spans="56:58" ht="39.950000000000003" hidden="1" customHeight="1" x14ac:dyDescent="0.25">
      <c r="BD321" s="42">
        <v>319</v>
      </c>
      <c r="BE321" s="46">
        <v>159.5</v>
      </c>
      <c r="BF321" s="65" t="s">
        <v>0</v>
      </c>
    </row>
    <row r="322" spans="56:58" ht="39.950000000000003" hidden="1" customHeight="1" x14ac:dyDescent="0.25">
      <c r="BD322" s="42">
        <v>320</v>
      </c>
      <c r="BE322" s="46">
        <v>160</v>
      </c>
      <c r="BF322" s="65" t="s">
        <v>0</v>
      </c>
    </row>
    <row r="323" spans="56:58" ht="39.950000000000003" hidden="1" customHeight="1" x14ac:dyDescent="0.25">
      <c r="BD323" s="42">
        <v>321</v>
      </c>
      <c r="BE323" s="46">
        <v>160.5</v>
      </c>
      <c r="BF323" s="65" t="s">
        <v>0</v>
      </c>
    </row>
    <row r="324" spans="56:58" ht="39.950000000000003" hidden="1" customHeight="1" x14ac:dyDescent="0.25">
      <c r="BD324" s="42">
        <v>322</v>
      </c>
      <c r="BE324" s="46">
        <v>161</v>
      </c>
      <c r="BF324" s="65" t="s">
        <v>0</v>
      </c>
    </row>
    <row r="325" spans="56:58" ht="39.950000000000003" hidden="1" customHeight="1" x14ac:dyDescent="0.25">
      <c r="BD325" s="42">
        <v>323</v>
      </c>
      <c r="BE325" s="46">
        <v>161.5</v>
      </c>
      <c r="BF325" s="65" t="s">
        <v>0</v>
      </c>
    </row>
    <row r="326" spans="56:58" ht="39.950000000000003" hidden="1" customHeight="1" x14ac:dyDescent="0.25">
      <c r="BD326" s="42">
        <v>324</v>
      </c>
      <c r="BE326" s="46">
        <v>162</v>
      </c>
      <c r="BF326" s="65" t="s">
        <v>0</v>
      </c>
    </row>
    <row r="327" spans="56:58" ht="39.950000000000003" hidden="1" customHeight="1" x14ac:dyDescent="0.25">
      <c r="BD327" s="42">
        <v>325</v>
      </c>
      <c r="BE327" s="46">
        <v>162.5</v>
      </c>
      <c r="BF327" s="65" t="s">
        <v>0</v>
      </c>
    </row>
    <row r="328" spans="56:58" ht="39.950000000000003" hidden="1" customHeight="1" x14ac:dyDescent="0.25">
      <c r="BD328" s="42">
        <v>326</v>
      </c>
      <c r="BE328" s="46">
        <v>163</v>
      </c>
      <c r="BF328" s="65" t="s">
        <v>0</v>
      </c>
    </row>
    <row r="329" spans="56:58" ht="39.950000000000003" hidden="1" customHeight="1" x14ac:dyDescent="0.25">
      <c r="BD329" s="42">
        <v>327</v>
      </c>
      <c r="BE329" s="46">
        <v>163.5</v>
      </c>
      <c r="BF329" s="65" t="s">
        <v>0</v>
      </c>
    </row>
    <row r="330" spans="56:58" ht="39.950000000000003" hidden="1" customHeight="1" x14ac:dyDescent="0.25">
      <c r="BD330" s="42">
        <v>328</v>
      </c>
      <c r="BE330" s="46">
        <v>164</v>
      </c>
      <c r="BF330" s="65" t="s">
        <v>0</v>
      </c>
    </row>
    <row r="331" spans="56:58" ht="39.950000000000003" hidden="1" customHeight="1" x14ac:dyDescent="0.25">
      <c r="BD331" s="42">
        <v>329</v>
      </c>
      <c r="BE331" s="46">
        <v>164.5</v>
      </c>
      <c r="BF331" s="65" t="s">
        <v>0</v>
      </c>
    </row>
    <row r="332" spans="56:58" ht="39.950000000000003" hidden="1" customHeight="1" x14ac:dyDescent="0.25">
      <c r="BD332" s="42">
        <v>330</v>
      </c>
      <c r="BE332" s="46">
        <v>165</v>
      </c>
      <c r="BF332" s="65" t="s">
        <v>0</v>
      </c>
    </row>
    <row r="333" spans="56:58" ht="39.950000000000003" hidden="1" customHeight="1" x14ac:dyDescent="0.25">
      <c r="BD333" s="42">
        <v>331</v>
      </c>
      <c r="BE333" s="46">
        <v>165.5</v>
      </c>
      <c r="BF333" s="65" t="s">
        <v>0</v>
      </c>
    </row>
    <row r="334" spans="56:58" ht="39.950000000000003" hidden="1" customHeight="1" x14ac:dyDescent="0.25">
      <c r="BD334" s="42">
        <v>332</v>
      </c>
      <c r="BE334" s="46">
        <v>166</v>
      </c>
      <c r="BF334" s="65" t="s">
        <v>0</v>
      </c>
    </row>
    <row r="335" spans="56:58" ht="39.950000000000003" hidden="1" customHeight="1" x14ac:dyDescent="0.25">
      <c r="BD335" s="42">
        <v>333</v>
      </c>
      <c r="BE335" s="46">
        <v>166.5</v>
      </c>
      <c r="BF335" s="65" t="s">
        <v>0</v>
      </c>
    </row>
    <row r="336" spans="56:58" ht="39.950000000000003" hidden="1" customHeight="1" x14ac:dyDescent="0.25">
      <c r="BD336" s="42">
        <v>334</v>
      </c>
      <c r="BE336" s="46">
        <v>167</v>
      </c>
      <c r="BF336" s="65" t="s">
        <v>0</v>
      </c>
    </row>
    <row r="337" spans="56:58" ht="39.950000000000003" hidden="1" customHeight="1" x14ac:dyDescent="0.25">
      <c r="BD337" s="42">
        <v>335</v>
      </c>
      <c r="BE337" s="46">
        <v>167.5</v>
      </c>
      <c r="BF337" s="65" t="s">
        <v>0</v>
      </c>
    </row>
    <row r="338" spans="56:58" ht="39.950000000000003" hidden="1" customHeight="1" x14ac:dyDescent="0.25">
      <c r="BD338" s="42">
        <v>336</v>
      </c>
      <c r="BE338" s="46">
        <v>168</v>
      </c>
      <c r="BF338" s="65" t="s">
        <v>0</v>
      </c>
    </row>
    <row r="339" spans="56:58" ht="39.950000000000003" hidden="1" customHeight="1" x14ac:dyDescent="0.25">
      <c r="BD339" s="42">
        <v>337</v>
      </c>
      <c r="BE339" s="46">
        <v>168.5</v>
      </c>
      <c r="BF339" s="65" t="s">
        <v>0</v>
      </c>
    </row>
    <row r="340" spans="56:58" ht="39.950000000000003" hidden="1" customHeight="1" x14ac:dyDescent="0.25">
      <c r="BD340" s="42">
        <v>338</v>
      </c>
      <c r="BE340" s="46">
        <v>169</v>
      </c>
      <c r="BF340" s="65" t="s">
        <v>0</v>
      </c>
    </row>
    <row r="341" spans="56:58" ht="39.950000000000003" hidden="1" customHeight="1" x14ac:dyDescent="0.25">
      <c r="BD341" s="42">
        <v>339</v>
      </c>
      <c r="BE341" s="46">
        <v>169.5</v>
      </c>
      <c r="BF341" s="65" t="s">
        <v>0</v>
      </c>
    </row>
    <row r="342" spans="56:58" ht="39.950000000000003" hidden="1" customHeight="1" x14ac:dyDescent="0.25">
      <c r="BD342" s="42">
        <v>340</v>
      </c>
      <c r="BE342" s="46">
        <v>170</v>
      </c>
      <c r="BF342" s="65" t="s">
        <v>0</v>
      </c>
    </row>
    <row r="343" spans="56:58" ht="39.950000000000003" hidden="1" customHeight="1" x14ac:dyDescent="0.25">
      <c r="BD343" s="42">
        <v>341</v>
      </c>
      <c r="BE343" s="46">
        <v>170.5</v>
      </c>
      <c r="BF343" s="65" t="s">
        <v>0</v>
      </c>
    </row>
    <row r="344" spans="56:58" ht="39.950000000000003" hidden="1" customHeight="1" x14ac:dyDescent="0.25">
      <c r="BD344" s="42">
        <v>342</v>
      </c>
      <c r="BE344" s="46">
        <v>171</v>
      </c>
      <c r="BF344" s="65" t="s">
        <v>0</v>
      </c>
    </row>
    <row r="345" spans="56:58" ht="39.950000000000003" hidden="1" customHeight="1" x14ac:dyDescent="0.25">
      <c r="BD345" s="42">
        <v>343</v>
      </c>
      <c r="BE345" s="46">
        <v>171.5</v>
      </c>
      <c r="BF345" s="65" t="s">
        <v>0</v>
      </c>
    </row>
    <row r="346" spans="56:58" ht="39.950000000000003" hidden="1" customHeight="1" x14ac:dyDescent="0.25">
      <c r="BD346" s="42">
        <v>344</v>
      </c>
      <c r="BE346" s="46">
        <v>172</v>
      </c>
      <c r="BF346" s="65" t="s">
        <v>0</v>
      </c>
    </row>
    <row r="347" spans="56:58" ht="39.950000000000003" hidden="1" customHeight="1" x14ac:dyDescent="0.25">
      <c r="BD347" s="42">
        <v>345</v>
      </c>
      <c r="BE347" s="46">
        <v>172.5</v>
      </c>
      <c r="BF347" s="65" t="s">
        <v>0</v>
      </c>
    </row>
    <row r="348" spans="56:58" ht="39.950000000000003" hidden="1" customHeight="1" x14ac:dyDescent="0.25">
      <c r="BD348" s="42">
        <v>346</v>
      </c>
      <c r="BE348" s="46">
        <v>173</v>
      </c>
      <c r="BF348" s="65" t="s">
        <v>0</v>
      </c>
    </row>
    <row r="349" spans="56:58" ht="39.950000000000003" hidden="1" customHeight="1" x14ac:dyDescent="0.25">
      <c r="BD349" s="42">
        <v>347</v>
      </c>
      <c r="BE349" s="46">
        <v>173.5</v>
      </c>
      <c r="BF349" s="65" t="s">
        <v>0</v>
      </c>
    </row>
    <row r="350" spans="56:58" ht="39.950000000000003" hidden="1" customHeight="1" x14ac:dyDescent="0.25">
      <c r="BD350" s="42">
        <v>348</v>
      </c>
      <c r="BE350" s="46">
        <v>174</v>
      </c>
      <c r="BF350" s="65" t="s">
        <v>0</v>
      </c>
    </row>
    <row r="351" spans="56:58" ht="39.950000000000003" hidden="1" customHeight="1" x14ac:dyDescent="0.25">
      <c r="BD351" s="42">
        <v>349</v>
      </c>
      <c r="BE351" s="46">
        <v>174.5</v>
      </c>
      <c r="BF351" s="65" t="s">
        <v>0</v>
      </c>
    </row>
    <row r="352" spans="56:58" ht="39.950000000000003" hidden="1" customHeight="1" x14ac:dyDescent="0.25">
      <c r="BD352" s="42">
        <v>350</v>
      </c>
      <c r="BE352" s="46">
        <v>175</v>
      </c>
      <c r="BF352" s="65" t="s">
        <v>0</v>
      </c>
    </row>
    <row r="353" spans="56:58" ht="39.950000000000003" hidden="1" customHeight="1" x14ac:dyDescent="0.25">
      <c r="BD353" s="42">
        <v>351</v>
      </c>
      <c r="BE353" s="46">
        <v>175.5</v>
      </c>
      <c r="BF353" s="65" t="s">
        <v>0</v>
      </c>
    </row>
    <row r="354" spans="56:58" ht="39.950000000000003" hidden="1" customHeight="1" x14ac:dyDescent="0.25">
      <c r="BD354" s="42">
        <v>352</v>
      </c>
      <c r="BE354" s="46">
        <v>176</v>
      </c>
      <c r="BF354" s="65" t="s">
        <v>0</v>
      </c>
    </row>
    <row r="355" spans="56:58" ht="39.950000000000003" hidden="1" customHeight="1" x14ac:dyDescent="0.25">
      <c r="BD355" s="42">
        <v>353</v>
      </c>
      <c r="BE355" s="46">
        <v>176.5</v>
      </c>
      <c r="BF355" s="65" t="s">
        <v>0</v>
      </c>
    </row>
    <row r="356" spans="56:58" ht="39.950000000000003" hidden="1" customHeight="1" x14ac:dyDescent="0.25">
      <c r="BD356" s="42">
        <v>354</v>
      </c>
      <c r="BE356" s="46">
        <v>177</v>
      </c>
      <c r="BF356" s="65" t="s">
        <v>0</v>
      </c>
    </row>
    <row r="357" spans="56:58" ht="39.950000000000003" hidden="1" customHeight="1" x14ac:dyDescent="0.25">
      <c r="BD357" s="42">
        <v>355</v>
      </c>
      <c r="BE357" s="46">
        <v>177.5</v>
      </c>
      <c r="BF357" s="65" t="s">
        <v>0</v>
      </c>
    </row>
    <row r="358" spans="56:58" ht="39.950000000000003" hidden="1" customHeight="1" x14ac:dyDescent="0.25">
      <c r="BD358" s="42">
        <v>356</v>
      </c>
      <c r="BE358" s="46">
        <v>178</v>
      </c>
      <c r="BF358" s="65" t="s">
        <v>0</v>
      </c>
    </row>
    <row r="359" spans="56:58" ht="39.950000000000003" hidden="1" customHeight="1" x14ac:dyDescent="0.25">
      <c r="BD359" s="42">
        <v>357</v>
      </c>
      <c r="BE359" s="46">
        <v>178.5</v>
      </c>
      <c r="BF359" s="65" t="s">
        <v>0</v>
      </c>
    </row>
    <row r="360" spans="56:58" ht="39.950000000000003" hidden="1" customHeight="1" x14ac:dyDescent="0.25">
      <c r="BD360" s="42">
        <v>358</v>
      </c>
      <c r="BE360" s="46">
        <v>179</v>
      </c>
      <c r="BF360" s="65" t="s">
        <v>0</v>
      </c>
    </row>
    <row r="361" spans="56:58" ht="39.950000000000003" hidden="1" customHeight="1" x14ac:dyDescent="0.25">
      <c r="BD361" s="42">
        <v>359</v>
      </c>
      <c r="BE361" s="46">
        <v>179.5</v>
      </c>
      <c r="BF361" s="65" t="s">
        <v>0</v>
      </c>
    </row>
    <row r="362" spans="56:58" ht="39.950000000000003" hidden="1" customHeight="1" x14ac:dyDescent="0.25">
      <c r="BD362" s="42">
        <v>360</v>
      </c>
      <c r="BE362" s="46">
        <v>180</v>
      </c>
      <c r="BF362" s="65" t="s">
        <v>0</v>
      </c>
    </row>
    <row r="363" spans="56:58" ht="9.9499999999999993" hidden="1" customHeight="1" x14ac:dyDescent="0.25"/>
  </sheetData>
  <sheetProtection algorithmName="SHA-512" hashValue="Z/IqM+L7SD8TzLOBgsg8gRTX1cPfJ52msfcg2uFeyqOJFS32cZ1ki2Hhl2KkqK6bFSeWYv/fjbYN4S1oWo+40w==" saltValue="BZVr84ca+FeM1OoXXxTehw==" spinCount="100000" sheet="1" objects="1" scenarios="1" selectLockedCells="1"/>
  <mergeCells count="24">
    <mergeCell ref="T2:T27"/>
    <mergeCell ref="S1:S28"/>
    <mergeCell ref="V2:V27"/>
    <mergeCell ref="U2:U27"/>
    <mergeCell ref="T1:V1"/>
    <mergeCell ref="Q1:Q28"/>
    <mergeCell ref="T28:V28"/>
    <mergeCell ref="R1:R28"/>
    <mergeCell ref="C1:C14"/>
    <mergeCell ref="H1:H14"/>
    <mergeCell ref="N1:N14"/>
    <mergeCell ref="A1:A14"/>
    <mergeCell ref="B1:B14"/>
    <mergeCell ref="D1:D14"/>
    <mergeCell ref="M1:M14"/>
    <mergeCell ref="J1:L14"/>
    <mergeCell ref="W1:W28"/>
    <mergeCell ref="BG1:BG28"/>
    <mergeCell ref="G1:G14"/>
    <mergeCell ref="F1:F14"/>
    <mergeCell ref="E1:E14"/>
    <mergeCell ref="P1:P14"/>
    <mergeCell ref="O1:O14"/>
    <mergeCell ref="I1:I14"/>
  </mergeCells>
  <phoneticPr fontId="4" type="noConversion"/>
  <dataValidations count="11">
    <dataValidation type="list" allowBlank="1" showInputMessage="1" showErrorMessage="1" sqref="AH43:AH54" xr:uid="{00000000-0002-0000-0000-00001D000000}">
      <formula1>"Yok, Var"</formula1>
    </dataValidation>
    <dataValidation type="list" allowBlank="1" showInputMessage="1" showErrorMessage="1" sqref="M15:M26" xr:uid="{6F358D2D-A20D-445D-9C51-9E1027A06CA6}">
      <formula1>$BF$2:$BF$50</formula1>
    </dataValidation>
    <dataValidation type="list" allowBlank="1" showInputMessage="1" showErrorMessage="1" sqref="Q1:Q28" xr:uid="{9054E20C-415A-4A28-9A83-E6387959DADB}">
      <formula1>"Ocak, Şubat, Mart, Nisan, Mayıs, Haziran, Temmuz, Ağustos, Eylül, Ekim, Kasım, Aralık, Yıllık Toplam, Yıllık Ortalama"</formula1>
    </dataValidation>
    <dataValidation type="list" allowBlank="1" showInputMessage="1" showErrorMessage="1" sqref="AF18" xr:uid="{E78907BA-7A5C-4BC5-9626-30F7C79A3DA3}">
      <formula1>#REF!</formula1>
    </dataValidation>
    <dataValidation type="list" allowBlank="1" showInputMessage="1" showErrorMessage="1" sqref="D15:G26" xr:uid="{D16C9647-72F6-4D86-BCEE-3739AC9AC5F3}">
      <formula1>$BE$2:$BE$362</formula1>
    </dataValidation>
    <dataValidation type="list" allowBlank="1" showInputMessage="1" showErrorMessage="1" sqref="AJ29:AJ40 H15:H26 AX1:AX12 AG29:AG40 AU1:AU12" xr:uid="{65FACC1D-9377-4225-8D3E-97700607B264}">
      <formula1>$BD$2:$BD$362</formula1>
    </dataValidation>
    <dataValidation type="list" allowBlank="1" showInputMessage="1" showErrorMessage="1" sqref="I15:I26" xr:uid="{AAFC32F0-9929-41FE-AF13-7DD5CC8062A5}">
      <formula1>$BD$2:$BD$7</formula1>
    </dataValidation>
    <dataValidation type="list" allowBlank="1" showInputMessage="1" showErrorMessage="1" sqref="C15:C26" xr:uid="{593E0C78-9165-477E-8C5F-4AA783FD4B03}">
      <formula1>$BD$2:$BD$32</formula1>
    </dataValidation>
    <dataValidation type="list" allowBlank="1" showInputMessage="1" showErrorMessage="1" sqref="A1:A14" xr:uid="{AE81A231-50A0-4C37-89AE-F70005CB0F11}">
      <formula1>$AA$39:$AA$40</formula1>
    </dataValidation>
    <dataValidation type="list" allowBlank="1" showInputMessage="1" showErrorMessage="1" sqref="J15:L26" xr:uid="{8A8500C5-E1AA-414D-818F-21B663F72211}">
      <formula1>$AA$41:$AA$55</formula1>
    </dataValidation>
    <dataValidation type="list" allowBlank="1" showInputMessage="1" showErrorMessage="1" sqref="S1" xr:uid="{F853FCC4-C3B8-4272-9BE3-E548C91B3D0F}">
      <formula1>$X$22:$X$35</formula1>
    </dataValidation>
  </dataValidations>
  <printOptions horizontalCentered="1" verticalCentered="1"/>
  <pageMargins left="0" right="0" top="0" bottom="0" header="0" footer="0"/>
  <pageSetup paperSize="8"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emplate/>
  <TotalTime>17</TotalTime>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Özet Tablo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dc:creator>
  <dc:description/>
  <cp:lastModifiedBy>½</cp:lastModifiedBy>
  <cp:lastPrinted>2021-01-27T16:23:43Z</cp:lastPrinted>
  <dcterms:created xsi:type="dcterms:W3CDTF">2015-06-05T18:19:34Z</dcterms:created>
  <dcterms:modified xsi:type="dcterms:W3CDTF">2026-03-05T13:53:46Z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