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BuÇalışmaKitabı" autoCompressPictures="0" defaultThemeVersion="124226"/>
  <mc:AlternateContent xmlns:mc="http://schemas.openxmlformats.org/markup-compatibility/2006">
    <mc:Choice Requires="x15">
      <x15ac:absPath xmlns:x15ac="http://schemas.microsoft.com/office/spreadsheetml/2010/11/ac" url="C:\Users\½\Desktop\"/>
    </mc:Choice>
  </mc:AlternateContent>
  <xr:revisionPtr revIDLastSave="0" documentId="13_ncr:1_{8A379A3E-C5BA-4D0A-9FD3-E91474B15E14}" xr6:coauthVersionLast="47" xr6:coauthVersionMax="47" xr10:uidLastSave="{00000000-0000-0000-0000-000000000000}"/>
  <workbookProtection workbookAlgorithmName="SHA-512" workbookHashValue="sy3X2vYDCIIpfUeHATz7q8GkYHLLM3X2QOiu6z+VrHqAX7iU8766C+HIeWEDm7dcljgLGcWkVeJKaSLfyUdoUA==" workbookSaltValue="PodZxB9WXKDIdA4G/rHqPQ==" workbookSpinCount="100000" lockStructure="1"/>
  <bookViews>
    <workbookView xWindow="-120" yWindow="-120" windowWidth="29040" windowHeight="15840" tabRatio="435" xr2:uid="{00000000-000D-0000-FFFF-FFFF00000000}"/>
  </bookViews>
  <sheets>
    <sheet name="Özet Tablo" sheetId="130" r:id="rId1"/>
  </sheets>
  <definedNames>
    <definedName name="_xlnm._FilterDatabase" localSheetId="0" hidden="1">'Özet Tablo'!#REF!</definedName>
    <definedName name="Bartın_854">'Özet Tablo'!#REF!</definedName>
    <definedName name="Çanakkale_4857">'Özet Tablo'!#REF!</definedName>
    <definedName name="Çanakkale_854">'Özet Tablo'!#REF!</definedName>
    <definedName name="İST_K_4857">'Özet Tablo'!#REF!</definedName>
    <definedName name="İST_K_854">'Özet Tablo'!#REF!</definedName>
    <definedName name="İST_K_854_Deniz_Taksi">'Özet Tablo'!#REF!</definedName>
    <definedName name="İST_K_Güvenlik_Kapsam_Dışı">'Özet Tablo'!#REF!</definedName>
    <definedName name="İST_K_Kafe_Kapsam_Dışı">'Özet Tablo'!#REF!</definedName>
    <definedName name="İST_K_Temizlik_Kapsam_Dışı">'Özet Tablo'!#REF!</definedName>
    <definedName name="İST_Ö_4857">'Özet Tablo'!#REF!</definedName>
    <definedName name="İST_Ö_854">'Özet Tablo'!#REF!</definedName>
    <definedName name="İzmir_4857">'Özet Tablo'!#REF!</definedName>
    <definedName name="İzmir_854">'Özet Tablo'!#REF!</definedName>
    <definedName name="Zonguldak_854">'Özet Tablo'!#REF!</definedName>
  </definedNames>
  <calcPr calcId="191029" iterate="1"/>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16" i="130" l="1"/>
  <c r="BG17" i="130"/>
  <c r="BG18" i="130"/>
  <c r="BG19" i="130"/>
  <c r="BG20" i="130"/>
  <c r="BG15" i="130"/>
  <c r="BE16" i="130"/>
  <c r="BE17" i="130"/>
  <c r="BE18" i="130"/>
  <c r="BE19" i="130"/>
  <c r="BE20" i="130"/>
  <c r="BE15" i="130"/>
  <c r="BC15" i="130"/>
  <c r="BC16" i="130"/>
  <c r="BC17" i="130"/>
  <c r="BC18" i="130"/>
  <c r="BC19" i="130"/>
  <c r="BC20" i="130"/>
  <c r="AY16" i="130"/>
  <c r="AY17" i="130"/>
  <c r="AY18" i="130"/>
  <c r="AY19" i="130"/>
  <c r="AY20" i="130"/>
  <c r="BA16" i="130"/>
  <c r="BA17" i="130"/>
  <c r="BA18" i="130"/>
  <c r="BA19" i="130"/>
  <c r="BA20" i="130"/>
  <c r="BA15" i="130"/>
  <c r="AY15" i="130" l="1"/>
  <c r="AY21" i="130"/>
  <c r="AX30" i="130"/>
  <c r="AX31" i="130"/>
  <c r="AX32" i="130"/>
  <c r="AX33" i="130"/>
  <c r="AX34" i="130"/>
  <c r="AX29" i="130"/>
  <c r="AU30" i="130"/>
  <c r="AU31" i="130"/>
  <c r="AU32" i="130"/>
  <c r="AU33" i="130"/>
  <c r="AU34" i="130"/>
  <c r="AU29" i="130"/>
  <c r="AP30" i="130"/>
  <c r="AP31" i="130"/>
  <c r="AP32" i="130"/>
  <c r="AP33" i="130"/>
  <c r="AP34" i="130"/>
  <c r="AP29" i="130"/>
  <c r="BC21" i="130" l="1"/>
  <c r="BC22" i="130"/>
  <c r="BC23" i="130"/>
  <c r="BC24" i="130"/>
  <c r="BC25" i="130"/>
  <c r="BC26" i="130"/>
  <c r="L27" i="130" l="1"/>
  <c r="BG21" i="130"/>
  <c r="BG22" i="130"/>
  <c r="BG23" i="130"/>
  <c r="BG24" i="130"/>
  <c r="BG25" i="130"/>
  <c r="BG26" i="130"/>
  <c r="BE21" i="130"/>
  <c r="BE22" i="130"/>
  <c r="BE23" i="130"/>
  <c r="BE24" i="130"/>
  <c r="BE25" i="130"/>
  <c r="BE26" i="130"/>
  <c r="AY22" i="130"/>
  <c r="AY23" i="130"/>
  <c r="AY24" i="130"/>
  <c r="AY25" i="130"/>
  <c r="AY26" i="130"/>
  <c r="BA21" i="130"/>
  <c r="BA22" i="130"/>
  <c r="BA23" i="130"/>
  <c r="BA24" i="130"/>
  <c r="BA25" i="130"/>
  <c r="BA26" i="130"/>
  <c r="AX35" i="130"/>
  <c r="AX36" i="130"/>
  <c r="AX37" i="130"/>
  <c r="AX38" i="130"/>
  <c r="AX39" i="130"/>
  <c r="AX40" i="130"/>
  <c r="AU36" i="130"/>
  <c r="AU37" i="130"/>
  <c r="AU38" i="130"/>
  <c r="AU39" i="130"/>
  <c r="AU40" i="130"/>
  <c r="AU35" i="130"/>
  <c r="AP35" i="130"/>
  <c r="AP36" i="130"/>
  <c r="AP37" i="130"/>
  <c r="AP38" i="130"/>
  <c r="AP39" i="130"/>
  <c r="AP40" i="130"/>
  <c r="AU15" i="130"/>
  <c r="AU16" i="130"/>
  <c r="AU17" i="130"/>
  <c r="AU18" i="130"/>
  <c r="AU19" i="130"/>
  <c r="AU20" i="130"/>
  <c r="AU22" i="130"/>
  <c r="AU23" i="130"/>
  <c r="AU24" i="130"/>
  <c r="AU25" i="130"/>
  <c r="AU26" i="130"/>
  <c r="AU21" i="130"/>
  <c r="BC27" i="130" l="1"/>
  <c r="BC28" i="130" s="1"/>
  <c r="AZ1" i="130" l="1"/>
  <c r="BA1" i="130"/>
  <c r="AZ2" i="130"/>
  <c r="BA2" i="130"/>
  <c r="AZ3" i="130"/>
  <c r="BA3" i="130"/>
  <c r="AZ4" i="130"/>
  <c r="BA4" i="130"/>
  <c r="AZ5" i="130"/>
  <c r="BA5" i="130"/>
  <c r="AZ6" i="130"/>
  <c r="BA6" i="130"/>
  <c r="AP8" i="130"/>
  <c r="AP9" i="130"/>
  <c r="AP10" i="130"/>
  <c r="AP11" i="130"/>
  <c r="AP12" i="130"/>
  <c r="AP7" i="130"/>
  <c r="AP2" i="130"/>
  <c r="AP3" i="130"/>
  <c r="AP4" i="130"/>
  <c r="AP5" i="130"/>
  <c r="AP6" i="130"/>
  <c r="AP1" i="130"/>
  <c r="AZ30" i="130" l="1"/>
  <c r="AZ31" i="130"/>
  <c r="AZ32" i="130"/>
  <c r="AZ33" i="130"/>
  <c r="AZ34" i="130"/>
  <c r="AZ35" i="130"/>
  <c r="AZ36" i="130"/>
  <c r="AZ37" i="130"/>
  <c r="AZ38" i="130"/>
  <c r="AZ39" i="130"/>
  <c r="AZ40" i="130"/>
  <c r="AZ29" i="130"/>
  <c r="BC44" i="130"/>
  <c r="BC45" i="130"/>
  <c r="BE40" i="130" l="1"/>
  <c r="BE39" i="130"/>
  <c r="BE38" i="130"/>
  <c r="BE37" i="130"/>
  <c r="BE36" i="130"/>
  <c r="BE35" i="130"/>
  <c r="BE34" i="130"/>
  <c r="BE33" i="130"/>
  <c r="BE32" i="130"/>
  <c r="BE31" i="130"/>
  <c r="BE30" i="130"/>
  <c r="BE29" i="130"/>
  <c r="AF34" i="130"/>
  <c r="AI34" i="130" s="1"/>
  <c r="AG26" i="130"/>
  <c r="AF25" i="130"/>
  <c r="AI25" i="130" s="1"/>
  <c r="AF24" i="130"/>
  <c r="AI24" i="130" s="1"/>
  <c r="AF23" i="130"/>
  <c r="AI23" i="130" s="1"/>
  <c r="AF22" i="130"/>
  <c r="AF19" i="130"/>
  <c r="AF17" i="130"/>
  <c r="AF18" i="130" s="1"/>
  <c r="AF16" i="130"/>
  <c r="AH16" i="130" s="1"/>
  <c r="AH5" i="130" s="1"/>
  <c r="AF13" i="130"/>
  <c r="AF4" i="130"/>
  <c r="AI4" i="130" s="1"/>
  <c r="AF3" i="130"/>
  <c r="AH3" i="130" s="1"/>
  <c r="AF2" i="130"/>
  <c r="AI2" i="130" s="1"/>
  <c r="AF26" i="130" l="1"/>
  <c r="AF33" i="130"/>
  <c r="AI33" i="130" s="1"/>
  <c r="BI15" i="130"/>
  <c r="BI17" i="130"/>
  <c r="BI20" i="130"/>
  <c r="BI16" i="130"/>
  <c r="BI18" i="130"/>
  <c r="BI19" i="130"/>
  <c r="AH24" i="130"/>
  <c r="AH25" i="130"/>
  <c r="AH2" i="130"/>
  <c r="AI3" i="130"/>
  <c r="AI16" i="130"/>
  <c r="AI5" i="130" s="1"/>
  <c r="AH33" i="130"/>
  <c r="AH34" i="130"/>
  <c r="AH26" i="130"/>
  <c r="AI26" i="130"/>
  <c r="AI18" i="130"/>
  <c r="AI7" i="130" s="1"/>
  <c r="AH18" i="130"/>
  <c r="AH7" i="130" s="1"/>
  <c r="AH22" i="130"/>
  <c r="AH17" i="130"/>
  <c r="AI17" i="130"/>
  <c r="AI22" i="130"/>
  <c r="AH23" i="130"/>
  <c r="AH4" i="130"/>
  <c r="BJ18" i="130" l="1"/>
  <c r="BJ15" i="130"/>
  <c r="BJ20" i="130"/>
  <c r="BJ17" i="130"/>
  <c r="BJ19" i="130"/>
  <c r="BJ16" i="130"/>
  <c r="AI27" i="130"/>
  <c r="AI19" i="130"/>
  <c r="AI20" i="130" s="1"/>
  <c r="AI6" i="130"/>
  <c r="AH19" i="130"/>
  <c r="AH20" i="130" s="1"/>
  <c r="AH6" i="130"/>
  <c r="AH27" i="130"/>
  <c r="B1" i="130" l="1"/>
  <c r="J27" i="130" l="1"/>
  <c r="BA8" i="130"/>
  <c r="BA9" i="130"/>
  <c r="BA10" i="130"/>
  <c r="BA11" i="130"/>
  <c r="BA12" i="130"/>
  <c r="BA7" i="130"/>
  <c r="AZ8" i="130"/>
  <c r="AZ9" i="130"/>
  <c r="AZ10" i="130"/>
  <c r="AZ11" i="130"/>
  <c r="AZ12" i="130"/>
  <c r="AZ7" i="130"/>
  <c r="AY27" i="130" l="1"/>
  <c r="AY28" i="130" s="1"/>
  <c r="E27" i="130" l="1"/>
  <c r="AU27" i="130" l="1"/>
  <c r="AU28" i="130" s="1"/>
  <c r="AQ26" i="130"/>
  <c r="AQ25" i="130"/>
  <c r="AQ24" i="130"/>
  <c r="AQ23" i="130"/>
  <c r="AQ22" i="130"/>
  <c r="AQ21" i="130"/>
  <c r="AQ20" i="130"/>
  <c r="AQ19" i="130"/>
  <c r="AQ18" i="130"/>
  <c r="AQ17" i="130"/>
  <c r="AQ16" i="130"/>
  <c r="AQ15" i="130"/>
  <c r="AO22" i="130"/>
  <c r="AO23" i="130"/>
  <c r="AO24" i="130"/>
  <c r="AO25" i="130"/>
  <c r="AO26" i="130"/>
  <c r="AO21" i="130"/>
  <c r="AO16" i="130"/>
  <c r="AO17" i="130"/>
  <c r="AO18" i="130"/>
  <c r="AO19" i="130"/>
  <c r="AO20" i="130"/>
  <c r="BD6" i="130" l="1"/>
  <c r="AN6" i="130"/>
  <c r="BD2" i="130"/>
  <c r="AN2" i="130"/>
  <c r="BD12" i="130"/>
  <c r="AN12" i="130"/>
  <c r="BD5" i="130"/>
  <c r="AN5" i="130"/>
  <c r="BD7" i="130"/>
  <c r="AN7" i="130"/>
  <c r="BD11" i="130"/>
  <c r="AN11" i="130"/>
  <c r="BD10" i="130"/>
  <c r="AN10" i="130"/>
  <c r="BD9" i="130"/>
  <c r="AN9" i="130"/>
  <c r="BD3" i="130"/>
  <c r="AN3" i="130"/>
  <c r="BD8" i="130"/>
  <c r="AN8" i="130"/>
  <c r="BD4" i="130"/>
  <c r="AN4" i="130"/>
  <c r="AR31" i="130"/>
  <c r="AJ3" i="130"/>
  <c r="AR40" i="130"/>
  <c r="AJ12" i="130"/>
  <c r="AR38" i="130"/>
  <c r="AJ10" i="130"/>
  <c r="AR37" i="130"/>
  <c r="AJ9" i="130"/>
  <c r="AR36" i="130"/>
  <c r="AJ8" i="130"/>
  <c r="AR32" i="130"/>
  <c r="AJ4" i="130"/>
  <c r="AR39" i="130"/>
  <c r="AJ11" i="130"/>
  <c r="AR35" i="130"/>
  <c r="AJ7" i="130"/>
  <c r="AR34" i="130"/>
  <c r="AJ6" i="130"/>
  <c r="AR30" i="130"/>
  <c r="AJ2" i="130"/>
  <c r="AR33" i="130"/>
  <c r="AJ5" i="130"/>
  <c r="AW25" i="130"/>
  <c r="AL11" i="130"/>
  <c r="AW24" i="130"/>
  <c r="AL10" i="130"/>
  <c r="AW23" i="130"/>
  <c r="AL9" i="130"/>
  <c r="AW22" i="130"/>
  <c r="AL8" i="130"/>
  <c r="AW21" i="130"/>
  <c r="AL7" i="130"/>
  <c r="AW20" i="130"/>
  <c r="AL6" i="130"/>
  <c r="AW19" i="130"/>
  <c r="AL5" i="130"/>
  <c r="AW18" i="130"/>
  <c r="AL4" i="130"/>
  <c r="AW17" i="130"/>
  <c r="AL3" i="130"/>
  <c r="AW16" i="130"/>
  <c r="AL2" i="130"/>
  <c r="AW26" i="130"/>
  <c r="AL12" i="130"/>
  <c r="BA30" i="130" l="1"/>
  <c r="AT41" i="130"/>
  <c r="AL30" i="130"/>
  <c r="AL31" i="130"/>
  <c r="AL32" i="130"/>
  <c r="AL33" i="130"/>
  <c r="AL34" i="130"/>
  <c r="AL35" i="130"/>
  <c r="AL36" i="130"/>
  <c r="AL37" i="130"/>
  <c r="AL38" i="130"/>
  <c r="AL39" i="130"/>
  <c r="AL40" i="130"/>
  <c r="AL29" i="130"/>
  <c r="BA38" i="130"/>
  <c r="BA37" i="130"/>
  <c r="BA36" i="130"/>
  <c r="BA35" i="130"/>
  <c r="BA32" i="130"/>
  <c r="BA29" i="130"/>
  <c r="BA34" i="130"/>
  <c r="AO15" i="130"/>
  <c r="AN1" i="130" s="1"/>
  <c r="AJ1" i="130" l="1"/>
  <c r="BD1" i="130"/>
  <c r="AR29" i="130"/>
  <c r="AL1" i="130"/>
  <c r="AW15" i="130"/>
  <c r="AU41" i="130"/>
  <c r="AU42" i="130" s="1"/>
  <c r="BA33" i="130"/>
  <c r="BA31" i="130"/>
  <c r="AZ41" i="130"/>
  <c r="AZ42" i="130" s="1"/>
  <c r="BA40" i="130"/>
  <c r="BA39" i="130"/>
  <c r="BP13" i="130"/>
  <c r="BP12" i="130"/>
  <c r="BP11" i="130"/>
  <c r="BP10" i="130"/>
  <c r="BP9" i="130"/>
  <c r="BP8" i="130"/>
  <c r="BP7" i="130"/>
  <c r="BP6" i="130"/>
  <c r="BP5" i="130"/>
  <c r="BP4" i="130"/>
  <c r="BP3" i="130"/>
  <c r="BP2" i="130"/>
  <c r="BF40" i="130"/>
  <c r="BF39" i="130"/>
  <c r="BF38" i="130"/>
  <c r="BF37" i="130"/>
  <c r="BF36" i="130"/>
  <c r="BF35" i="130"/>
  <c r="BF34" i="130"/>
  <c r="BF33" i="130"/>
  <c r="BF32" i="130"/>
  <c r="BF31" i="130"/>
  <c r="BI31" i="130"/>
  <c r="BF30" i="130"/>
  <c r="BF29" i="130"/>
  <c r="BJ29" i="130" l="1"/>
  <c r="BI29" i="130"/>
  <c r="BJ35" i="130"/>
  <c r="BI35" i="130"/>
  <c r="BJ36" i="130"/>
  <c r="BI36" i="130"/>
  <c r="BJ30" i="130"/>
  <c r="BI30" i="130"/>
  <c r="BJ39" i="130"/>
  <c r="BI39" i="130"/>
  <c r="BJ37" i="130"/>
  <c r="BI37" i="130"/>
  <c r="BJ32" i="130"/>
  <c r="BI32" i="130"/>
  <c r="BJ38" i="130"/>
  <c r="BI38" i="130"/>
  <c r="BJ33" i="130"/>
  <c r="BI33" i="130"/>
  <c r="BJ34" i="130"/>
  <c r="BI34" i="130"/>
  <c r="BJ40" i="130"/>
  <c r="BI40" i="130"/>
  <c r="BA41" i="130"/>
  <c r="BA42" i="130" s="1"/>
  <c r="BJ31" i="130"/>
  <c r="BP14" i="130"/>
  <c r="BP15" i="130" s="1"/>
  <c r="BJ41" i="130" l="1"/>
  <c r="BJ42" i="130" s="1"/>
  <c r="BI41" i="130"/>
  <c r="BI42" i="130" s="1"/>
  <c r="N27" i="130"/>
  <c r="M27" i="130"/>
  <c r="K27" i="130"/>
  <c r="BE4" i="130"/>
  <c r="BE3" i="130"/>
  <c r="BI24" i="130" l="1"/>
  <c r="BI21" i="130"/>
  <c r="BI22" i="130"/>
  <c r="BI23" i="130"/>
  <c r="BI26" i="130"/>
  <c r="BI25" i="130"/>
  <c r="BE27" i="130"/>
  <c r="BE28" i="130" s="1"/>
  <c r="BG27" i="130"/>
  <c r="BG28" i="130" s="1"/>
  <c r="BA27" i="130"/>
  <c r="BA28" i="130" s="1"/>
  <c r="BJ23" i="130" l="1"/>
  <c r="BJ22" i="130"/>
  <c r="BJ21" i="130"/>
  <c r="BJ25" i="130"/>
  <c r="BJ26" i="130"/>
  <c r="BJ24" i="130"/>
  <c r="BS1" i="130"/>
  <c r="BR1" i="130"/>
  <c r="BG29" i="130"/>
  <c r="BG38" i="130" l="1"/>
  <c r="BG39" i="130"/>
  <c r="BG40" i="130"/>
  <c r="AR1" i="130"/>
  <c r="AR12" i="130"/>
  <c r="AS12" i="130" s="1"/>
  <c r="AR11" i="130"/>
  <c r="AS11" i="130" s="1"/>
  <c r="AR10" i="130"/>
  <c r="AS10" i="130" s="1"/>
  <c r="AR9" i="130"/>
  <c r="AS9" i="130" s="1"/>
  <c r="AR8" i="130"/>
  <c r="AS8" i="130" s="1"/>
  <c r="AR7" i="130"/>
  <c r="AS7" i="130" s="1"/>
  <c r="AR6" i="130"/>
  <c r="AS6" i="130" s="1"/>
  <c r="AR5" i="130"/>
  <c r="AS5" i="130" s="1"/>
  <c r="AR4" i="130"/>
  <c r="AS4" i="130" s="1"/>
  <c r="AR3" i="130"/>
  <c r="AS3" i="130" s="1"/>
  <c r="AR2" i="130"/>
  <c r="AS2" i="130" s="1"/>
  <c r="BG32" i="130"/>
  <c r="BG35" i="130"/>
  <c r="BG30" i="130"/>
  <c r="BG33" i="130"/>
  <c r="BG34" i="130"/>
  <c r="BG37" i="130"/>
  <c r="BG36" i="130"/>
  <c r="BG31" i="130"/>
  <c r="Z2" i="130"/>
  <c r="AK48" i="130" l="1"/>
  <c r="AK51" i="130"/>
  <c r="AK54" i="130"/>
  <c r="AK45" i="130"/>
  <c r="AK50" i="130"/>
  <c r="AK52" i="130"/>
  <c r="AK55" i="130"/>
  <c r="AK49" i="130"/>
  <c r="AK53" i="130"/>
  <c r="AK46" i="130"/>
  <c r="AK47" i="130"/>
  <c r="AV1" i="130"/>
  <c r="AS1" i="130"/>
  <c r="AK44" i="130" s="1"/>
  <c r="AT6" i="130"/>
  <c r="AV6" i="130"/>
  <c r="AT8" i="130"/>
  <c r="AV8" i="130"/>
  <c r="AT5" i="130"/>
  <c r="AV5" i="130"/>
  <c r="AT7" i="130"/>
  <c r="AV7" i="130"/>
  <c r="AT11" i="130"/>
  <c r="AV11" i="130"/>
  <c r="AT12" i="130"/>
  <c r="AV12" i="130"/>
  <c r="AT2" i="130"/>
  <c r="AV2" i="130"/>
  <c r="AT9" i="130"/>
  <c r="AV9" i="130"/>
  <c r="AT10" i="130"/>
  <c r="AV10" i="130"/>
  <c r="AT3" i="130"/>
  <c r="AV3" i="130"/>
  <c r="AT4" i="130"/>
  <c r="AV4" i="130"/>
  <c r="BE2" i="130"/>
  <c r="BE5" i="130"/>
  <c r="BE6" i="130"/>
  <c r="BE7" i="130"/>
  <c r="BE8" i="130"/>
  <c r="AT51" i="130" s="1"/>
  <c r="BE9" i="130"/>
  <c r="AT52" i="130" s="1"/>
  <c r="BE10" i="130"/>
  <c r="AT53" i="130" s="1"/>
  <c r="BE11" i="130"/>
  <c r="AT54" i="130" s="1"/>
  <c r="BE12" i="130"/>
  <c r="AT55" i="130" s="1"/>
  <c r="BE1" i="130"/>
  <c r="AT44" i="130" s="1"/>
  <c r="AT1" i="130" l="1"/>
  <c r="AT13" i="130" s="1"/>
  <c r="AT14" i="130" s="1"/>
  <c r="AK56" i="130"/>
  <c r="AK57" i="130" s="1"/>
  <c r="AW10" i="130"/>
  <c r="AW9" i="130"/>
  <c r="AW8" i="130"/>
  <c r="AW11" i="130"/>
  <c r="AW12" i="130"/>
  <c r="AW7" i="130"/>
  <c r="AW6" i="130"/>
  <c r="AW5" i="130"/>
  <c r="AW2" i="130"/>
  <c r="AW4" i="130"/>
  <c r="AW1" i="130"/>
  <c r="AO44" i="130" s="1"/>
  <c r="AW3" i="130"/>
  <c r="BC31" i="130" s="1"/>
  <c r="AS13" i="130"/>
  <c r="AS14" i="130" s="1"/>
  <c r="AV13" i="130"/>
  <c r="AV14" i="130" s="1"/>
  <c r="AU3" i="130"/>
  <c r="AU2" i="130"/>
  <c r="AU7" i="130"/>
  <c r="BC29" i="130" l="1"/>
  <c r="AO49" i="130"/>
  <c r="BC34" i="130"/>
  <c r="AO45" i="130"/>
  <c r="BC30" i="130"/>
  <c r="AO54" i="130"/>
  <c r="BC39" i="130"/>
  <c r="AO55" i="130"/>
  <c r="BC40" i="130"/>
  <c r="AO51" i="130"/>
  <c r="BC36" i="130"/>
  <c r="AO48" i="130"/>
  <c r="BC33" i="130"/>
  <c r="AO52" i="130"/>
  <c r="BC37" i="130"/>
  <c r="AO47" i="130"/>
  <c r="BC32" i="130"/>
  <c r="AO50" i="130"/>
  <c r="BC35" i="130"/>
  <c r="AO53" i="130"/>
  <c r="BC38" i="130"/>
  <c r="AX11" i="130"/>
  <c r="AJ39" i="130" s="1"/>
  <c r="AX12" i="130"/>
  <c r="AY12" i="130" s="1"/>
  <c r="AX8" i="130"/>
  <c r="AX9" i="130"/>
  <c r="AX10" i="130"/>
  <c r="AX4" i="130"/>
  <c r="AX2" i="130"/>
  <c r="AX5" i="130"/>
  <c r="AX6" i="130"/>
  <c r="AX1" i="130"/>
  <c r="AY1" i="130" s="1"/>
  <c r="AX7" i="130"/>
  <c r="AW13" i="130"/>
  <c r="AW14" i="130" s="1"/>
  <c r="AO46" i="130"/>
  <c r="AX3" i="130"/>
  <c r="AU9" i="130"/>
  <c r="AU10" i="130"/>
  <c r="AU5" i="130"/>
  <c r="AU6" i="130"/>
  <c r="AU12" i="130"/>
  <c r="AU8" i="130"/>
  <c r="AU4" i="130"/>
  <c r="AU11" i="130"/>
  <c r="AU1" i="130"/>
  <c r="AY11" i="130" l="1"/>
  <c r="AK39" i="130" s="1"/>
  <c r="AM39" i="130" s="1"/>
  <c r="AJ40" i="130"/>
  <c r="AK40" i="130" s="1"/>
  <c r="AM40" i="130" s="1"/>
  <c r="AJ38" i="130"/>
  <c r="AY10" i="130"/>
  <c r="AY9" i="130"/>
  <c r="AJ37" i="130"/>
  <c r="AY8" i="130"/>
  <c r="AJ36" i="130"/>
  <c r="AX13" i="130"/>
  <c r="AX14" i="130" s="1"/>
  <c r="AJ29" i="130"/>
  <c r="AK29" i="130" s="1"/>
  <c r="AM29" i="130" s="1"/>
  <c r="AY7" i="130"/>
  <c r="AJ35" i="130"/>
  <c r="AJ30" i="130"/>
  <c r="AY2" i="130"/>
  <c r="AY6" i="130"/>
  <c r="AJ34" i="130"/>
  <c r="AJ33" i="130"/>
  <c r="AY5" i="130"/>
  <c r="AY4" i="130"/>
  <c r="AJ32" i="130"/>
  <c r="AY3" i="130"/>
  <c r="AJ31" i="130"/>
  <c r="BC46" i="130"/>
  <c r="BC47" i="130"/>
  <c r="BC48" i="130"/>
  <c r="BC49" i="130"/>
  <c r="BC50" i="130"/>
  <c r="BC51" i="130"/>
  <c r="BC52" i="130"/>
  <c r="BC53" i="130"/>
  <c r="BC54" i="130"/>
  <c r="BC55" i="130"/>
  <c r="AW43" i="130"/>
  <c r="AV43" i="130"/>
  <c r="BF41" i="130"/>
  <c r="BF42" i="130" s="1"/>
  <c r="BE41" i="130"/>
  <c r="BE42" i="130" s="1"/>
  <c r="AQ27" i="130"/>
  <c r="AQ28" i="130" s="1"/>
  <c r="AK38" i="130" l="1"/>
  <c r="AM38" i="130" s="1"/>
  <c r="AK33" i="130"/>
  <c r="AM33" i="130" s="1"/>
  <c r="AK30" i="130"/>
  <c r="AM30" i="130" s="1"/>
  <c r="AK36" i="130"/>
  <c r="AM36" i="130" s="1"/>
  <c r="AK37" i="130"/>
  <c r="AM37" i="130" s="1"/>
  <c r="AJ41" i="130"/>
  <c r="AJ42" i="130" s="1"/>
  <c r="AK32" i="130"/>
  <c r="AM32" i="130" s="1"/>
  <c r="AK34" i="130"/>
  <c r="AM34" i="130" s="1"/>
  <c r="AT48" i="130"/>
  <c r="AT45" i="130"/>
  <c r="AY13" i="130"/>
  <c r="AY14" i="130" s="1"/>
  <c r="AK35" i="130"/>
  <c r="AM35" i="130" s="1"/>
  <c r="AK31" i="130"/>
  <c r="AM31" i="130" s="1"/>
  <c r="AR13" i="130"/>
  <c r="AR14" i="130" s="1"/>
  <c r="AK41" i="130" l="1"/>
  <c r="AK42" i="130" s="1"/>
  <c r="AT50" i="130"/>
  <c r="AT49" i="130"/>
  <c r="AT47" i="130"/>
  <c r="G27" i="130"/>
  <c r="F27" i="130"/>
  <c r="D27" i="130"/>
  <c r="AW41" i="130"/>
  <c r="I27" i="130"/>
  <c r="H27" i="130"/>
  <c r="BK30" i="130"/>
  <c r="BL30" i="130" s="1"/>
  <c r="BK31" i="130"/>
  <c r="BL31" i="130" s="1"/>
  <c r="BK32" i="130"/>
  <c r="BL32" i="130" s="1"/>
  <c r="BK33" i="130"/>
  <c r="BL33" i="130" s="1"/>
  <c r="BK34" i="130"/>
  <c r="BL34" i="130" s="1"/>
  <c r="BK35" i="130"/>
  <c r="BL35" i="130" s="1"/>
  <c r="BK36" i="130"/>
  <c r="BL36" i="130" s="1"/>
  <c r="BK37" i="130"/>
  <c r="BL37" i="130" s="1"/>
  <c r="BK38" i="130"/>
  <c r="BL38" i="130" s="1"/>
  <c r="BK39" i="130"/>
  <c r="BL39" i="130" s="1"/>
  <c r="BK40" i="130"/>
  <c r="BL40" i="130" s="1"/>
  <c r="BK29" i="130"/>
  <c r="BL29" i="130" s="1"/>
  <c r="BX10" i="130"/>
  <c r="BX12" i="130"/>
  <c r="BX13" i="130"/>
  <c r="BX3" i="130"/>
  <c r="BL3" i="130"/>
  <c r="AL41" i="130" l="1"/>
  <c r="AL42" i="130" s="1"/>
  <c r="AT46" i="130"/>
  <c r="AM41" i="130"/>
  <c r="AM42" i="130" s="1"/>
  <c r="BL41" i="130"/>
  <c r="BL42" i="130" s="1"/>
  <c r="BN29" i="130"/>
  <c r="BM29" i="130"/>
  <c r="BK41" i="130"/>
  <c r="BK42" i="130" s="1"/>
  <c r="BX11" i="130"/>
  <c r="BX9" i="130"/>
  <c r="BX8" i="130"/>
  <c r="BX7" i="130"/>
  <c r="BX6" i="130"/>
  <c r="BX5" i="130"/>
  <c r="BX4" i="130"/>
  <c r="BX2" i="130"/>
  <c r="BH36" i="130"/>
  <c r="BO2" i="130" l="1"/>
  <c r="BQ2" i="130" s="1"/>
  <c r="BN37" i="130"/>
  <c r="BM37" i="130"/>
  <c r="BN36" i="130"/>
  <c r="BM36" i="130"/>
  <c r="BN39" i="130"/>
  <c r="BM39" i="130"/>
  <c r="BN33" i="130"/>
  <c r="BM33" i="130"/>
  <c r="BN35" i="130"/>
  <c r="BM35" i="130"/>
  <c r="BN32" i="130"/>
  <c r="BM32" i="130"/>
  <c r="BN40" i="130"/>
  <c r="BM40" i="130"/>
  <c r="BN34" i="130"/>
  <c r="BM34" i="130"/>
  <c r="BN30" i="130"/>
  <c r="BM30" i="130"/>
  <c r="BN31" i="130"/>
  <c r="BM31" i="130"/>
  <c r="BN38" i="130"/>
  <c r="BM38" i="130"/>
  <c r="BX14" i="130"/>
  <c r="BX15" i="130" s="1"/>
  <c r="BH39" i="130"/>
  <c r="BH35" i="130"/>
  <c r="BH38" i="130"/>
  <c r="BH37" i="130"/>
  <c r="BH40" i="130"/>
  <c r="BO11" i="130" l="1"/>
  <c r="BQ11" i="130" s="1"/>
  <c r="BO13" i="130"/>
  <c r="BQ13" i="130" s="1"/>
  <c r="BO10" i="130"/>
  <c r="BQ10" i="130" s="1"/>
  <c r="BO8" i="130"/>
  <c r="BQ8" i="130" s="1"/>
  <c r="BO9" i="130"/>
  <c r="BQ9" i="130" s="1"/>
  <c r="BO6" i="130"/>
  <c r="BQ6" i="130" s="1"/>
  <c r="BO12" i="130"/>
  <c r="BQ12" i="130" s="1"/>
  <c r="BO4" i="130"/>
  <c r="BQ4" i="130" s="1"/>
  <c r="BO7" i="130"/>
  <c r="BQ7" i="130" s="1"/>
  <c r="BO3" i="130"/>
  <c r="BQ3" i="130" s="1"/>
  <c r="BO5" i="130"/>
  <c r="BQ5" i="130" s="1"/>
  <c r="AZ13" i="130"/>
  <c r="AZ14" i="130" s="1"/>
  <c r="BA13" i="130"/>
  <c r="BA14" i="130" s="1"/>
  <c r="BQ14" i="130" l="1"/>
  <c r="BQ15" i="130" s="1"/>
  <c r="BO14" i="130"/>
  <c r="BO15" i="130" s="1"/>
  <c r="BH34" i="130"/>
  <c r="BH33" i="130"/>
  <c r="BH32" i="130"/>
  <c r="BH31" i="130"/>
  <c r="BH30" i="130"/>
  <c r="BH29" i="130"/>
  <c r="BG41" i="130" l="1"/>
  <c r="BG42" i="130" s="1"/>
  <c r="BH41" i="130"/>
  <c r="BH42" i="130" s="1"/>
  <c r="BN41" i="130" l="1"/>
  <c r="BN42" i="130" s="1"/>
  <c r="BY2" i="130"/>
  <c r="BR2" i="130" l="1"/>
  <c r="AK15" i="130"/>
  <c r="AJ16" i="130" l="1"/>
  <c r="AL15" i="130"/>
  <c r="AS15" i="130" s="1"/>
  <c r="AM15" i="130"/>
  <c r="AN15" i="130" l="1"/>
  <c r="AK16" i="130"/>
  <c r="AJ17" i="130" s="1"/>
  <c r="AL16" i="130" l="1"/>
  <c r="AS16" i="130" s="1"/>
  <c r="AM16" i="130"/>
  <c r="AN16" i="130" l="1"/>
  <c r="AK17" i="130"/>
  <c r="AJ18" i="130" l="1"/>
  <c r="AL17" i="130"/>
  <c r="AS17" i="130" s="1"/>
  <c r="AM17" i="130"/>
  <c r="AN17" i="130" l="1"/>
  <c r="AK18" i="130"/>
  <c r="AJ19" i="130" l="1"/>
  <c r="AL18" i="130"/>
  <c r="AS18" i="130" s="1"/>
  <c r="AM18" i="130"/>
  <c r="AN18" i="130" l="1"/>
  <c r="AK19" i="130"/>
  <c r="AJ20" i="130" s="1"/>
  <c r="AL19" i="130" l="1"/>
  <c r="AS19" i="130" s="1"/>
  <c r="AM19" i="130"/>
  <c r="AN19" i="130" l="1"/>
  <c r="AK20" i="130"/>
  <c r="AJ21" i="130" s="1"/>
  <c r="AM20" i="130" l="1"/>
  <c r="AL20" i="130"/>
  <c r="AS20" i="130" s="1"/>
  <c r="AN20" i="130" l="1"/>
  <c r="AK21" i="130"/>
  <c r="AJ22" i="130" s="1"/>
  <c r="AM21" i="130" l="1"/>
  <c r="AL21" i="130"/>
  <c r="AS21" i="130" s="1"/>
  <c r="AN21" i="130" l="1"/>
  <c r="AK22" i="130"/>
  <c r="AJ23" i="130" s="1"/>
  <c r="AL22" i="130" l="1"/>
  <c r="AS22" i="130" s="1"/>
  <c r="AM22" i="130"/>
  <c r="AN22" i="130" l="1"/>
  <c r="AK23" i="130"/>
  <c r="AJ24" i="130" s="1"/>
  <c r="AL23" i="130" l="1"/>
  <c r="AS23" i="130" s="1"/>
  <c r="AM23" i="130"/>
  <c r="AN23" i="130" l="1"/>
  <c r="AK24" i="130"/>
  <c r="AJ25" i="130" s="1"/>
  <c r="AM24" i="130" l="1"/>
  <c r="AL24" i="130"/>
  <c r="AS24" i="130" s="1"/>
  <c r="AN24" i="130" l="1"/>
  <c r="AK25" i="130"/>
  <c r="AJ26" i="130" s="1"/>
  <c r="AM25" i="130" l="1"/>
  <c r="AL25" i="130"/>
  <c r="AS25" i="130" s="1"/>
  <c r="AN25" i="130" l="1"/>
  <c r="AK26" i="130"/>
  <c r="AL26" i="130" l="1"/>
  <c r="AS26" i="130" s="1"/>
  <c r="AM26" i="130"/>
  <c r="AM27" i="130" s="1"/>
  <c r="AL27" i="130" l="1"/>
  <c r="AN26" i="130"/>
  <c r="AN27" i="130" s="1"/>
  <c r="BL6" i="130" l="1"/>
  <c r="BL5" i="130"/>
  <c r="BL4" i="130"/>
  <c r="BN3" i="130" l="1"/>
  <c r="BN4" i="130" s="1"/>
  <c r="BN5" i="130" s="1"/>
  <c r="BN6" i="130" s="1"/>
  <c r="BY7" i="130" l="1"/>
  <c r="BY5" i="130"/>
  <c r="BY3" i="130"/>
  <c r="BR3" i="130" l="1"/>
  <c r="BS3" i="130" s="1"/>
  <c r="BY4" i="130"/>
  <c r="BR7" i="130"/>
  <c r="BS7" i="130" s="1"/>
  <c r="BY6" i="130"/>
  <c r="BR5" i="130"/>
  <c r="BS5" i="130" s="1"/>
  <c r="BR6" i="130" l="1"/>
  <c r="BS6" i="130" s="1"/>
  <c r="BR4" i="130"/>
  <c r="BS4" i="130" s="1"/>
  <c r="BR8" i="130"/>
  <c r="BS8" i="130" s="1"/>
  <c r="BY8" i="130"/>
  <c r="BY12" i="130" l="1"/>
  <c r="BY10" i="130"/>
  <c r="BY11" i="130"/>
  <c r="BY9" i="130"/>
  <c r="BY13" i="130"/>
  <c r="BR12" i="130" l="1"/>
  <c r="BS12" i="130" s="1"/>
  <c r="BR11" i="130"/>
  <c r="BS11" i="130" s="1"/>
  <c r="BY14" i="130"/>
  <c r="BY15" i="130" s="1"/>
  <c r="BM41" i="130"/>
  <c r="BM42" i="130" s="1"/>
  <c r="BR9" i="130"/>
  <c r="BS9" i="130" s="1"/>
  <c r="BR10" i="130"/>
  <c r="BS10" i="130" s="1"/>
  <c r="BR13" i="130" l="1"/>
  <c r="BS13" i="130" s="1"/>
  <c r="BT13" i="130" s="1"/>
  <c r="BU13" i="130" s="1"/>
  <c r="BV13" i="130" s="1"/>
  <c r="BS2" i="130"/>
  <c r="BT2" i="130" s="1"/>
  <c r="BU2" i="130" s="1"/>
  <c r="BV2" i="130" s="1"/>
  <c r="BT4" i="130"/>
  <c r="BU4" i="130" s="1"/>
  <c r="BV4" i="130" s="1"/>
  <c r="BT5" i="130"/>
  <c r="BU5" i="130" s="1"/>
  <c r="BV5" i="130" s="1"/>
  <c r="BT6" i="130"/>
  <c r="BU6" i="130" s="1"/>
  <c r="BV6" i="130" s="1"/>
  <c r="BT7" i="130"/>
  <c r="BU7" i="130" s="1"/>
  <c r="BV7" i="130" s="1"/>
  <c r="BT8" i="130"/>
  <c r="BU8" i="130" s="1"/>
  <c r="BV8" i="130" s="1"/>
  <c r="BT9" i="130"/>
  <c r="BU9" i="130" s="1"/>
  <c r="BV9" i="130" s="1"/>
  <c r="BT10" i="130"/>
  <c r="BU10" i="130" s="1"/>
  <c r="BV10" i="130" s="1"/>
  <c r="BT11" i="130"/>
  <c r="BU11" i="130" s="1"/>
  <c r="BV11" i="130" s="1"/>
  <c r="BT12" i="130"/>
  <c r="BU12" i="130" s="1"/>
  <c r="BV12" i="130" s="1"/>
  <c r="BW10" i="130" l="1"/>
  <c r="BW9" i="130"/>
  <c r="BW6" i="130"/>
  <c r="BW11" i="130"/>
  <c r="BW8" i="130"/>
  <c r="BW4" i="130"/>
  <c r="BW2" i="130"/>
  <c r="BW12" i="130"/>
  <c r="BW7" i="130"/>
  <c r="BW5" i="130"/>
  <c r="BW13" i="130"/>
  <c r="BT3" i="130"/>
  <c r="BU3" i="130" s="1"/>
  <c r="BV3" i="130" s="1"/>
  <c r="BW3" i="130" l="1"/>
  <c r="BV14" i="130" l="1"/>
  <c r="BV15" i="130" s="1"/>
  <c r="AO27" i="130" l="1"/>
  <c r="AO28" i="130" s="1"/>
  <c r="AN13" i="130" l="1"/>
  <c r="AN14" i="130" s="1"/>
  <c r="AL13" i="130"/>
  <c r="AL14" i="130" s="1"/>
  <c r="AW27" i="130"/>
  <c r="AW28" i="130" s="1"/>
  <c r="AR41" i="130"/>
  <c r="AS27" i="130"/>
  <c r="AS28" i="130" s="1"/>
  <c r="AR42" i="130" l="1"/>
  <c r="AO56" i="130"/>
  <c r="AO57" i="130" s="1"/>
  <c r="AT56" i="130" l="1"/>
  <c r="AT57" i="130" s="1"/>
  <c r="AX41" i="130" l="1"/>
  <c r="AX42" i="130" s="1"/>
  <c r="BE13" i="130" l="1"/>
  <c r="BE14" i="130" s="1"/>
  <c r="BD13" i="130"/>
  <c r="BD14" i="130" l="1"/>
  <c r="AE18" i="130" s="1"/>
  <c r="AD18" i="130" s="1"/>
  <c r="AU13" i="130" l="1"/>
  <c r="AU14" i="130" s="1"/>
  <c r="AP13" i="130" l="1"/>
  <c r="BC41" i="130" l="1"/>
  <c r="BC42" i="130" s="1"/>
  <c r="AP14" i="130"/>
  <c r="BI27" i="130" l="1"/>
  <c r="BI28" i="130" s="1"/>
  <c r="BJ27" i="130"/>
  <c r="BJ28" i="130" s="1"/>
  <c r="AJ13" i="130" l="1"/>
  <c r="AJ14" i="130" s="1"/>
  <c r="AP41" i="130" l="1"/>
  <c r="AP42" i="130" s="1"/>
  <c r="AE8" i="130"/>
  <c r="AD8" i="130" s="1"/>
  <c r="AD1" i="130"/>
  <c r="AE1" i="130"/>
  <c r="AK1" i="130"/>
  <c r="AM1" i="130"/>
  <c r="AO1" i="130"/>
  <c r="AQ1" i="130"/>
  <c r="BB1" i="130"/>
  <c r="BF1" i="130"/>
  <c r="BG1" i="130"/>
  <c r="BH1" i="130"/>
  <c r="BI1" i="130"/>
  <c r="BJ1" i="130"/>
  <c r="AD2" i="130"/>
  <c r="AE2" i="130"/>
  <c r="AK2" i="130"/>
  <c r="AM2" i="130"/>
  <c r="AO2" i="130"/>
  <c r="AQ2" i="130"/>
  <c r="BB2" i="130"/>
  <c r="BF2" i="130"/>
  <c r="BG2" i="130"/>
  <c r="BH2" i="130"/>
  <c r="BI2" i="130"/>
  <c r="BJ2" i="130"/>
  <c r="AD3" i="130"/>
  <c r="AE3" i="130"/>
  <c r="AK3" i="130"/>
  <c r="AM3" i="130"/>
  <c r="AO3" i="130"/>
  <c r="AQ3" i="130"/>
  <c r="BB3" i="130"/>
  <c r="BF3" i="130"/>
  <c r="BG3" i="130"/>
  <c r="BH3" i="130"/>
  <c r="BI3" i="130"/>
  <c r="BJ3" i="130"/>
  <c r="AD4" i="130"/>
  <c r="AE4" i="130"/>
  <c r="AK4" i="130"/>
  <c r="AM4" i="130"/>
  <c r="AO4" i="130"/>
  <c r="AQ4" i="130"/>
  <c r="BB4" i="130"/>
  <c r="BF4" i="130"/>
  <c r="BG4" i="130"/>
  <c r="BH4" i="130"/>
  <c r="BI4" i="130"/>
  <c r="BJ4" i="130"/>
  <c r="AD5" i="130"/>
  <c r="AE5" i="130"/>
  <c r="AK5" i="130"/>
  <c r="AM5" i="130"/>
  <c r="AO5" i="130"/>
  <c r="AQ5" i="130"/>
  <c r="BB5" i="130"/>
  <c r="BF5" i="130"/>
  <c r="BG5" i="130"/>
  <c r="BH5" i="130"/>
  <c r="BI5" i="130"/>
  <c r="BJ5" i="130"/>
  <c r="AD6" i="130"/>
  <c r="AE6" i="130"/>
  <c r="AK6" i="130"/>
  <c r="AM6" i="130"/>
  <c r="AO6" i="130"/>
  <c r="AQ6" i="130"/>
  <c r="BB6" i="130"/>
  <c r="BF6" i="130"/>
  <c r="BG6" i="130"/>
  <c r="BH6" i="130"/>
  <c r="BI6" i="130"/>
  <c r="BJ6" i="130"/>
  <c r="AD7" i="130"/>
  <c r="AE7" i="130"/>
  <c r="AK7" i="130"/>
  <c r="AM7" i="130"/>
  <c r="AO7" i="130"/>
  <c r="AQ7" i="130"/>
  <c r="BB7" i="130"/>
  <c r="BF7" i="130"/>
  <c r="BG7" i="130"/>
  <c r="BH7" i="130"/>
  <c r="BI7" i="130"/>
  <c r="BJ7" i="130"/>
  <c r="AK8" i="130"/>
  <c r="AM8" i="130"/>
  <c r="AO8" i="130"/>
  <c r="AQ8" i="130"/>
  <c r="BB8" i="130"/>
  <c r="BF8" i="130"/>
  <c r="BG8" i="130"/>
  <c r="BH8" i="130"/>
  <c r="BI8" i="130"/>
  <c r="BJ8" i="130"/>
  <c r="AD9" i="130"/>
  <c r="AE9" i="130"/>
  <c r="AK9" i="130"/>
  <c r="AM9" i="130"/>
  <c r="AO9" i="130"/>
  <c r="AQ9" i="130"/>
  <c r="BB9" i="130"/>
  <c r="BF9" i="130"/>
  <c r="BG9" i="130"/>
  <c r="BH9" i="130"/>
  <c r="BI9" i="130"/>
  <c r="BJ9" i="130"/>
  <c r="AD10" i="130"/>
  <c r="AE10" i="130"/>
  <c r="AK10" i="130"/>
  <c r="AM10" i="130"/>
  <c r="AO10" i="130"/>
  <c r="AQ10" i="130"/>
  <c r="BB10" i="130"/>
  <c r="BF10" i="130"/>
  <c r="BG10" i="130"/>
  <c r="BH10" i="130"/>
  <c r="BI10" i="130"/>
  <c r="BJ10" i="130"/>
  <c r="AD11" i="130"/>
  <c r="AE11" i="130"/>
  <c r="AK11" i="130"/>
  <c r="AM11" i="130"/>
  <c r="AO11" i="130"/>
  <c r="AQ11" i="130"/>
  <c r="BB11" i="130"/>
  <c r="BF11" i="130"/>
  <c r="BG11" i="130"/>
  <c r="BH11" i="130"/>
  <c r="BI11" i="130"/>
  <c r="BJ11" i="130"/>
  <c r="AD12" i="130"/>
  <c r="AE12" i="130"/>
  <c r="AK12" i="130"/>
  <c r="AM12" i="130"/>
  <c r="AO12" i="130"/>
  <c r="AQ12" i="130"/>
  <c r="BB12" i="130"/>
  <c r="BF12" i="130"/>
  <c r="BG12" i="130"/>
  <c r="BH12" i="130"/>
  <c r="BI12" i="130"/>
  <c r="BJ12" i="130"/>
  <c r="AD13" i="130"/>
  <c r="AE13" i="130"/>
  <c r="AK13" i="130"/>
  <c r="AM13" i="130"/>
  <c r="AO13" i="130"/>
  <c r="AQ13" i="130"/>
  <c r="BB13" i="130"/>
  <c r="BF13" i="130"/>
  <c r="BG13" i="130"/>
  <c r="BH13" i="130"/>
  <c r="BI13" i="130"/>
  <c r="BJ13" i="130"/>
  <c r="AD14" i="130"/>
  <c r="AE14" i="130"/>
  <c r="AK14" i="130"/>
  <c r="AM14" i="130"/>
  <c r="AO14" i="130"/>
  <c r="AQ14" i="130"/>
  <c r="BB14" i="130"/>
  <c r="BF14" i="130"/>
  <c r="BG14" i="130"/>
  <c r="BH14" i="130"/>
  <c r="BI14" i="130"/>
  <c r="BJ14" i="130"/>
  <c r="A15" i="130"/>
  <c r="S15" i="130"/>
  <c r="T15" i="130"/>
  <c r="U15" i="130"/>
  <c r="AD15" i="130"/>
  <c r="AE15" i="130"/>
  <c r="AP15" i="130"/>
  <c r="AR15" i="130"/>
  <c r="AT15" i="130"/>
  <c r="AV15" i="130"/>
  <c r="AX15" i="130"/>
  <c r="AZ15" i="130"/>
  <c r="BB15" i="130"/>
  <c r="BD15" i="130"/>
  <c r="BF15" i="130"/>
  <c r="BH15" i="130"/>
  <c r="A16" i="130"/>
  <c r="S16" i="130"/>
  <c r="T16" i="130"/>
  <c r="U16" i="130"/>
  <c r="AD16" i="130"/>
  <c r="AE16" i="130"/>
  <c r="AP16" i="130"/>
  <c r="AR16" i="130"/>
  <c r="AT16" i="130"/>
  <c r="AV16" i="130"/>
  <c r="AX16" i="130"/>
  <c r="AZ16" i="130"/>
  <c r="BB16" i="130"/>
  <c r="BD16" i="130"/>
  <c r="BF16" i="130"/>
  <c r="BH16" i="130"/>
  <c r="A17" i="130"/>
  <c r="S17" i="130"/>
  <c r="T17" i="130"/>
  <c r="U17" i="130"/>
  <c r="AD17" i="130"/>
  <c r="AE17" i="130"/>
  <c r="AP17" i="130"/>
  <c r="AR17" i="130"/>
  <c r="AT17" i="130"/>
  <c r="AV17" i="130"/>
  <c r="AX17" i="130"/>
  <c r="AZ17" i="130"/>
  <c r="BB17" i="130"/>
  <c r="BD17" i="130"/>
  <c r="BF17" i="130"/>
  <c r="BH17" i="130"/>
  <c r="A18" i="130"/>
  <c r="S18" i="130"/>
  <c r="T18" i="130"/>
  <c r="U18" i="130"/>
  <c r="AP18" i="130"/>
  <c r="AR18" i="130"/>
  <c r="AT18" i="130"/>
  <c r="AV18" i="130"/>
  <c r="AX18" i="130"/>
  <c r="AZ18" i="130"/>
  <c r="BB18" i="130"/>
  <c r="BD18" i="130"/>
  <c r="BF18" i="130"/>
  <c r="BH18" i="130"/>
  <c r="A19" i="130"/>
  <c r="S19" i="130"/>
  <c r="T19" i="130"/>
  <c r="U19" i="130"/>
  <c r="AD19" i="130"/>
  <c r="AE19" i="130"/>
  <c r="AP19" i="130"/>
  <c r="AR19" i="130"/>
  <c r="AT19" i="130"/>
  <c r="AV19" i="130"/>
  <c r="AX19" i="130"/>
  <c r="AZ19" i="130"/>
  <c r="BB19" i="130"/>
  <c r="BD19" i="130"/>
  <c r="BF19" i="130"/>
  <c r="BH19" i="130"/>
  <c r="A20" i="130"/>
  <c r="S20" i="130"/>
  <c r="T20" i="130"/>
  <c r="U20" i="130"/>
  <c r="AD20" i="130"/>
  <c r="AE20" i="130"/>
  <c r="AP20" i="130"/>
  <c r="AR20" i="130"/>
  <c r="AT20" i="130"/>
  <c r="AV20" i="130"/>
  <c r="AX20" i="130"/>
  <c r="AZ20" i="130"/>
  <c r="BB20" i="130"/>
  <c r="BD20" i="130"/>
  <c r="BF20" i="130"/>
  <c r="BH20" i="130"/>
  <c r="A21" i="130"/>
  <c r="S21" i="130"/>
  <c r="T21" i="130"/>
  <c r="U21" i="130"/>
  <c r="AD21" i="130"/>
  <c r="AE21" i="130"/>
  <c r="AP21" i="130"/>
  <c r="AR21" i="130"/>
  <c r="AT21" i="130"/>
  <c r="AV21" i="130"/>
  <c r="AX21" i="130"/>
  <c r="AZ21" i="130"/>
  <c r="BB21" i="130"/>
  <c r="BD21" i="130"/>
  <c r="BF21" i="130"/>
  <c r="BH21" i="130"/>
  <c r="A22" i="130"/>
  <c r="S22" i="130"/>
  <c r="T22" i="130"/>
  <c r="U22" i="130"/>
  <c r="AD22" i="130"/>
  <c r="AE22" i="130"/>
  <c r="AP22" i="130"/>
  <c r="AR22" i="130"/>
  <c r="AT22" i="130"/>
  <c r="AV22" i="130"/>
  <c r="AX22" i="130"/>
  <c r="AZ22" i="130"/>
  <c r="BB22" i="130"/>
  <c r="BD22" i="130"/>
  <c r="BF22" i="130"/>
  <c r="BH22" i="130"/>
  <c r="A23" i="130"/>
  <c r="S23" i="130"/>
  <c r="T23" i="130"/>
  <c r="U23" i="130"/>
  <c r="AD23" i="130"/>
  <c r="AE23" i="130"/>
  <c r="AP23" i="130"/>
  <c r="AR23" i="130"/>
  <c r="AT23" i="130"/>
  <c r="AV23" i="130"/>
  <c r="AX23" i="130"/>
  <c r="AZ23" i="130"/>
  <c r="BB23" i="130"/>
  <c r="BD23" i="130"/>
  <c r="BF23" i="130"/>
  <c r="BH23" i="130"/>
  <c r="A24" i="130"/>
  <c r="S24" i="130"/>
  <c r="T24" i="130"/>
  <c r="U24" i="130"/>
  <c r="AD24" i="130"/>
  <c r="AE24" i="130"/>
  <c r="AP24" i="130"/>
  <c r="AR24" i="130"/>
  <c r="AT24" i="130"/>
  <c r="AV24" i="130"/>
  <c r="AX24" i="130"/>
  <c r="AZ24" i="130"/>
  <c r="BB24" i="130"/>
  <c r="BD24" i="130"/>
  <c r="BF24" i="130"/>
  <c r="BH24" i="130"/>
  <c r="A25" i="130"/>
  <c r="S25" i="130"/>
  <c r="T25" i="130"/>
  <c r="U25" i="130"/>
  <c r="AD25" i="130"/>
  <c r="AE25" i="130"/>
  <c r="AP25" i="130"/>
  <c r="AR25" i="130"/>
  <c r="AT25" i="130"/>
  <c r="AV25" i="130"/>
  <c r="AX25" i="130"/>
  <c r="AZ25" i="130"/>
  <c r="BB25" i="130"/>
  <c r="BD25" i="130"/>
  <c r="BF25" i="130"/>
  <c r="BH25" i="130"/>
  <c r="A26" i="130"/>
  <c r="S26" i="130"/>
  <c r="T26" i="130"/>
  <c r="U26" i="130"/>
  <c r="AD26" i="130"/>
  <c r="AE26" i="130"/>
  <c r="AP26" i="130"/>
  <c r="AR26" i="130"/>
  <c r="AT26" i="130"/>
  <c r="AV26" i="130"/>
  <c r="AX26" i="130"/>
  <c r="AZ26" i="130"/>
  <c r="BB26" i="130"/>
  <c r="BD26" i="130"/>
  <c r="BF26" i="130"/>
  <c r="BH26" i="130"/>
  <c r="S27" i="130"/>
  <c r="T27" i="130"/>
  <c r="U27" i="130"/>
  <c r="AP27" i="130"/>
  <c r="AR27" i="130"/>
  <c r="AT27" i="130"/>
  <c r="AV27" i="130"/>
  <c r="AX27" i="130"/>
  <c r="AZ27" i="130"/>
  <c r="BB27" i="130"/>
  <c r="BD27" i="130"/>
  <c r="BF27" i="130"/>
  <c r="BH27" i="130"/>
  <c r="A28" i="130"/>
  <c r="S28" i="130"/>
  <c r="T28" i="130"/>
  <c r="U28" i="130"/>
  <c r="AP28" i="130"/>
  <c r="AR28" i="130"/>
  <c r="AT28" i="130"/>
  <c r="AV28" i="130"/>
  <c r="AX28" i="130"/>
  <c r="AZ28" i="130"/>
  <c r="BB28" i="130"/>
  <c r="BD28" i="130"/>
  <c r="BF28" i="130"/>
  <c r="BH28" i="130"/>
  <c r="AN29" i="130"/>
  <c r="AO29" i="130"/>
  <c r="AS29" i="130"/>
  <c r="AV29" i="130"/>
  <c r="AY29" i="130"/>
  <c r="BB29" i="130"/>
  <c r="BD29" i="130"/>
  <c r="AN30" i="130"/>
  <c r="AO30" i="130"/>
  <c r="AS30" i="130"/>
  <c r="AV30" i="130"/>
  <c r="AY30" i="130"/>
  <c r="BB30" i="130"/>
  <c r="BD30" i="130"/>
  <c r="AN31" i="130"/>
  <c r="AO31" i="130"/>
  <c r="AS31" i="130"/>
  <c r="AV31" i="130"/>
  <c r="AY31" i="130"/>
  <c r="BB31" i="130"/>
  <c r="BD31" i="130"/>
  <c r="AN32" i="130"/>
  <c r="AO32" i="130"/>
  <c r="AS32" i="130"/>
  <c r="AV32" i="130"/>
  <c r="AY32" i="130"/>
  <c r="BB32" i="130"/>
  <c r="BD32" i="130"/>
  <c r="AN33" i="130"/>
  <c r="AO33" i="130"/>
  <c r="AS33" i="130"/>
  <c r="AV33" i="130"/>
  <c r="AY33" i="130"/>
  <c r="BB33" i="130"/>
  <c r="BD33" i="130"/>
  <c r="AN34" i="130"/>
  <c r="AO34" i="130"/>
  <c r="AS34" i="130"/>
  <c r="AV34" i="130"/>
  <c r="AY34" i="130"/>
  <c r="BB34" i="130"/>
  <c r="BD34" i="130"/>
  <c r="AN35" i="130"/>
  <c r="AO35" i="130"/>
  <c r="AS35" i="130"/>
  <c r="AV35" i="130"/>
  <c r="AY35" i="130"/>
  <c r="BB35" i="130"/>
  <c r="BD35" i="130"/>
  <c r="AN36" i="130"/>
  <c r="AO36" i="130"/>
  <c r="AS36" i="130"/>
  <c r="AV36" i="130"/>
  <c r="AY36" i="130"/>
  <c r="BB36" i="130"/>
  <c r="BD36" i="130"/>
  <c r="AN37" i="130"/>
  <c r="AO37" i="130"/>
  <c r="AS37" i="130"/>
  <c r="AV37" i="130"/>
  <c r="AY37" i="130"/>
  <c r="BB37" i="130"/>
  <c r="BD37" i="130"/>
  <c r="AN38" i="130"/>
  <c r="AO38" i="130"/>
  <c r="AS38" i="130"/>
  <c r="AV38" i="130"/>
  <c r="AY38" i="130"/>
  <c r="BB38" i="130"/>
  <c r="BD38" i="130"/>
  <c r="AN39" i="130"/>
  <c r="AO39" i="130"/>
  <c r="AS39" i="130"/>
  <c r="AV39" i="130"/>
  <c r="AY39" i="130"/>
  <c r="BB39" i="130"/>
  <c r="BD39" i="130"/>
  <c r="AN40" i="130"/>
  <c r="AO40" i="130"/>
  <c r="AS40" i="130"/>
  <c r="AV40" i="130"/>
  <c r="AY40" i="130"/>
  <c r="BB40" i="130"/>
  <c r="BD40" i="130"/>
  <c r="AN41" i="130"/>
  <c r="AO41" i="130"/>
  <c r="AS41" i="130"/>
  <c r="AV41" i="130"/>
  <c r="AY41" i="130"/>
  <c r="BB41" i="130"/>
  <c r="BD41" i="130"/>
  <c r="AN42" i="130"/>
  <c r="AO42" i="130"/>
  <c r="AS42" i="130"/>
  <c r="AV42" i="130"/>
  <c r="AY42" i="130"/>
  <c r="BB42" i="130"/>
  <c r="BD42" i="130"/>
  <c r="AJ44" i="130"/>
  <c r="AL44" i="130"/>
  <c r="AM44" i="130"/>
  <c r="AN44" i="130"/>
  <c r="AP44" i="130"/>
  <c r="AQ44" i="130"/>
  <c r="AR44" i="130"/>
  <c r="AS44" i="130"/>
  <c r="AU44" i="130"/>
  <c r="AV44" i="130"/>
  <c r="AW44" i="130"/>
  <c r="AX44" i="130"/>
  <c r="AY44" i="130"/>
  <c r="AZ44" i="130"/>
  <c r="BA44" i="130"/>
  <c r="BB44" i="130"/>
  <c r="BD44" i="130"/>
  <c r="AJ45" i="130"/>
  <c r="AL45" i="130"/>
  <c r="AM45" i="130"/>
  <c r="AN45" i="130"/>
  <c r="AP45" i="130"/>
  <c r="AQ45" i="130"/>
  <c r="AR45" i="130"/>
  <c r="AS45" i="130"/>
  <c r="AU45" i="130"/>
  <c r="AV45" i="130"/>
  <c r="AW45" i="130"/>
  <c r="AX45" i="130"/>
  <c r="AY45" i="130"/>
  <c r="AZ45" i="130"/>
  <c r="BA45" i="130"/>
  <c r="BB45" i="130"/>
  <c r="BD45" i="130"/>
  <c r="AJ46" i="130"/>
  <c r="AL46" i="130"/>
  <c r="AM46" i="130"/>
  <c r="AN46" i="130"/>
  <c r="AP46" i="130"/>
  <c r="AQ46" i="130"/>
  <c r="AR46" i="130"/>
  <c r="AS46" i="130"/>
  <c r="AU46" i="130"/>
  <c r="AV46" i="130"/>
  <c r="AW46" i="130"/>
  <c r="AX46" i="130"/>
  <c r="AY46" i="130"/>
  <c r="AZ46" i="130"/>
  <c r="BA46" i="130"/>
  <c r="BB46" i="130"/>
  <c r="BD46" i="130"/>
  <c r="AJ47" i="130"/>
  <c r="AL47" i="130"/>
  <c r="AM47" i="130"/>
  <c r="AN47" i="130"/>
  <c r="AP47" i="130"/>
  <c r="AQ47" i="130"/>
  <c r="AR47" i="130"/>
  <c r="AS47" i="130"/>
  <c r="AU47" i="130"/>
  <c r="AV47" i="130"/>
  <c r="AW47" i="130"/>
  <c r="AX47" i="130"/>
  <c r="AY47" i="130"/>
  <c r="AZ47" i="130"/>
  <c r="BA47" i="130"/>
  <c r="BB47" i="130"/>
  <c r="BD47" i="130"/>
  <c r="AJ48" i="130"/>
  <c r="AL48" i="130"/>
  <c r="AM48" i="130"/>
  <c r="AN48" i="130"/>
  <c r="AP48" i="130"/>
  <c r="AQ48" i="130"/>
  <c r="AR48" i="130"/>
  <c r="AS48" i="130"/>
  <c r="AU48" i="130"/>
  <c r="AV48" i="130"/>
  <c r="AW48" i="130"/>
  <c r="AX48" i="130"/>
  <c r="AY48" i="130"/>
  <c r="AZ48" i="130"/>
  <c r="BA48" i="130"/>
  <c r="BB48" i="130"/>
  <c r="BD48" i="130"/>
  <c r="AJ49" i="130"/>
  <c r="AL49" i="130"/>
  <c r="AM49" i="130"/>
  <c r="AN49" i="130"/>
  <c r="AP49" i="130"/>
  <c r="AQ49" i="130"/>
  <c r="AR49" i="130"/>
  <c r="AS49" i="130"/>
  <c r="AU49" i="130"/>
  <c r="AV49" i="130"/>
  <c r="AW49" i="130"/>
  <c r="AX49" i="130"/>
  <c r="AY49" i="130"/>
  <c r="AZ49" i="130"/>
  <c r="BA49" i="130"/>
  <c r="BB49" i="130"/>
  <c r="BD49" i="130"/>
  <c r="AJ50" i="130"/>
  <c r="AL50" i="130"/>
  <c r="AM50" i="130"/>
  <c r="AN50" i="130"/>
  <c r="AP50" i="130"/>
  <c r="AQ50" i="130"/>
  <c r="AR50" i="130"/>
  <c r="AS50" i="130"/>
  <c r="AU50" i="130"/>
  <c r="AV50" i="130"/>
  <c r="AW50" i="130"/>
  <c r="AX50" i="130"/>
  <c r="AY50" i="130"/>
  <c r="AZ50" i="130"/>
  <c r="BA50" i="130"/>
  <c r="BB50" i="130"/>
  <c r="BD50" i="130"/>
  <c r="AJ51" i="130"/>
  <c r="AL51" i="130"/>
  <c r="AM51" i="130"/>
  <c r="AN51" i="130"/>
  <c r="AP51" i="130"/>
  <c r="AQ51" i="130"/>
  <c r="AR51" i="130"/>
  <c r="AS51" i="130"/>
  <c r="AU51" i="130"/>
  <c r="AV51" i="130"/>
  <c r="AW51" i="130"/>
  <c r="AX51" i="130"/>
  <c r="AY51" i="130"/>
  <c r="AZ51" i="130"/>
  <c r="BA51" i="130"/>
  <c r="BB51" i="130"/>
  <c r="BD51" i="130"/>
  <c r="AJ52" i="130"/>
  <c r="AL52" i="130"/>
  <c r="AM52" i="130"/>
  <c r="AN52" i="130"/>
  <c r="AP52" i="130"/>
  <c r="AQ52" i="130"/>
  <c r="AR52" i="130"/>
  <c r="AS52" i="130"/>
  <c r="AU52" i="130"/>
  <c r="AV52" i="130"/>
  <c r="AW52" i="130"/>
  <c r="AX52" i="130"/>
  <c r="AY52" i="130"/>
  <c r="AZ52" i="130"/>
  <c r="BA52" i="130"/>
  <c r="BB52" i="130"/>
  <c r="BD52" i="130"/>
  <c r="AJ53" i="130"/>
  <c r="AL53" i="130"/>
  <c r="AM53" i="130"/>
  <c r="AN53" i="130"/>
  <c r="AP53" i="130"/>
  <c r="AQ53" i="130"/>
  <c r="AR53" i="130"/>
  <c r="AS53" i="130"/>
  <c r="AU53" i="130"/>
  <c r="AV53" i="130"/>
  <c r="AW53" i="130"/>
  <c r="AX53" i="130"/>
  <c r="AY53" i="130"/>
  <c r="AZ53" i="130"/>
  <c r="BA53" i="130"/>
  <c r="BB53" i="130"/>
  <c r="BD53" i="130"/>
  <c r="AJ54" i="130"/>
  <c r="AL54" i="130"/>
  <c r="AM54" i="130"/>
  <c r="AN54" i="130"/>
  <c r="AP54" i="130"/>
  <c r="AQ54" i="130"/>
  <c r="AR54" i="130"/>
  <c r="AS54" i="130"/>
  <c r="AU54" i="130"/>
  <c r="AV54" i="130"/>
  <c r="AW54" i="130"/>
  <c r="AX54" i="130"/>
  <c r="AY54" i="130"/>
  <c r="AZ54" i="130"/>
  <c r="BA54" i="130"/>
  <c r="BB54" i="130"/>
  <c r="BD54" i="130"/>
  <c r="AJ55" i="130"/>
  <c r="AL55" i="130"/>
  <c r="AM55" i="130"/>
  <c r="AN55" i="130"/>
  <c r="AP55" i="130"/>
  <c r="AQ55" i="130"/>
  <c r="AR55" i="130"/>
  <c r="AS55" i="130"/>
  <c r="AU55" i="130"/>
  <c r="AV55" i="130"/>
  <c r="AW55" i="130"/>
  <c r="AX55" i="130"/>
  <c r="AY55" i="130"/>
  <c r="AZ55" i="130"/>
  <c r="BA55" i="130"/>
  <c r="BB55" i="130"/>
  <c r="BD55" i="130"/>
  <c r="AJ56" i="130"/>
  <c r="AL56" i="130"/>
  <c r="AM56" i="130"/>
  <c r="AN56" i="130"/>
  <c r="AP56" i="130"/>
  <c r="AQ56" i="130"/>
  <c r="AR56" i="130"/>
  <c r="AS56" i="130"/>
  <c r="AU56" i="130"/>
  <c r="AY56" i="130"/>
  <c r="AZ56" i="130"/>
  <c r="BA56" i="130"/>
  <c r="AJ57" i="130"/>
  <c r="AL57" i="130"/>
  <c r="AM57" i="130"/>
  <c r="AN57" i="130"/>
  <c r="AP57" i="130"/>
  <c r="AQ57" i="130"/>
  <c r="AR57" i="130"/>
  <c r="AS57" i="130"/>
  <c r="AU57" i="130"/>
  <c r="AY57" i="130"/>
  <c r="AZ57" i="130"/>
  <c r="BA57" i="130"/>
</calcChain>
</file>

<file path=xl/sharedStrings.xml><?xml version="1.0" encoding="utf-8"?>
<sst xmlns="http://schemas.openxmlformats.org/spreadsheetml/2006/main" count="650" uniqueCount="110">
  <si>
    <t>-</t>
  </si>
  <si>
    <t>Yok</t>
  </si>
  <si>
    <t>Doğal Afet Yardımı</t>
  </si>
  <si>
    <t>SGK Prim Kesintisi</t>
  </si>
  <si>
    <t>SGK İşsizlik Primi Kesintisi</t>
  </si>
  <si>
    <t>Yemek Yardımı</t>
  </si>
  <si>
    <t>Evlilik Yardımı</t>
  </si>
  <si>
    <t>Var</t>
  </si>
  <si>
    <t>OCA</t>
  </si>
  <si>
    <t>ŞUB</t>
  </si>
  <si>
    <t>MAR</t>
  </si>
  <si>
    <t>NİS</t>
  </si>
  <si>
    <t>MAY</t>
  </si>
  <si>
    <t>HAZ</t>
  </si>
  <si>
    <t>TEM</t>
  </si>
  <si>
    <t>AĞU</t>
  </si>
  <si>
    <t>EYL</t>
  </si>
  <si>
    <t>EKİ</t>
  </si>
  <si>
    <t>KAS</t>
  </si>
  <si>
    <t>ARA</t>
  </si>
  <si>
    <t>Annelik İzni</t>
  </si>
  <si>
    <t>Analık Hâli İzni</t>
  </si>
  <si>
    <t>Babalık İzni</t>
  </si>
  <si>
    <t>Süt İzni</t>
  </si>
  <si>
    <t>Engelli Çocuk İzni</t>
  </si>
  <si>
    <t>Evlat Edinme İzni</t>
  </si>
  <si>
    <t>Doğal Afet İzni</t>
  </si>
  <si>
    <t>Ulaşım Yardımı</t>
  </si>
  <si>
    <t>Normal Çalışma</t>
  </si>
  <si>
    <t>BES Kesintisi</t>
  </si>
  <si>
    <t>Damga Vergisi Kesintisi</t>
  </si>
  <si>
    <t>Gelir Vergisi Kesintisi</t>
  </si>
  <si>
    <t>İkramiye Yardımı</t>
  </si>
  <si>
    <t>Nakdi Yardımlar</t>
  </si>
  <si>
    <t>Sendika Üyelik Aidatı Kesintisi</t>
  </si>
  <si>
    <t>Ücretli Sendikal İzin ve Sendika Temsilci Sayısı</t>
  </si>
  <si>
    <t>İş Arama İzni</t>
  </si>
  <si>
    <t>Ücretli Yıllık İzin</t>
  </si>
  <si>
    <t>Kazançlar</t>
  </si>
  <si>
    <t>Kesintiler</t>
  </si>
  <si>
    <t>Cenaze İzni</t>
  </si>
  <si>
    <t>Evlilik İzni</t>
  </si>
  <si>
    <t>Mazeret İzni</t>
  </si>
  <si>
    <t>Yol İzni</t>
  </si>
  <si>
    <t>a) İşçinin eşinin doğum yapması hâlinde 5 takvim günü ücretli sosyal izin verilir.</t>
  </si>
  <si>
    <t>a) İşçinin ikamet ettiği konutun doğal afet nedeniyle hasara uğraması hâlinde 10 iş günü ücretli sosyal izin verilir.</t>
  </si>
  <si>
    <t>Askerlik Yardımı</t>
  </si>
  <si>
    <t>a) Yıllık ücretli izinleri işyerinin kurulu bulunduğu yerden başka bir yerde geçirecek olanlara istemde bulunmaları ve bu hususu belgelemeleri koşulu ile gidiş ve dönüşlerinde yolda geçecek süreleri karşılamak üzere işveren toplam 4 güne kadar ücretsiz yol izni vermek zorundadır.
(Yıllık Ücretli İzin Yönetmeliği / Madde 6)</t>
  </si>
  <si>
    <t>Yıllık Ortalama</t>
  </si>
  <si>
    <t xml:space="preserve">   Yemek Yardımı</t>
  </si>
  <si>
    <t xml:space="preserve">   Ulaşım Yardımı</t>
  </si>
  <si>
    <t xml:space="preserve">   Nakdi Yardımlar
   Sürekliliği Olmayan Yardımlar</t>
  </si>
  <si>
    <t>Cenaze Yardımı (Anne-Baba)</t>
  </si>
  <si>
    <t>Cenaze Yardımı (Eş-Çocuk)</t>
  </si>
  <si>
    <t>Cenaze Yardımı (İşçi-İş Kazası Sonucu)</t>
  </si>
  <si>
    <t>Cenaze Yardımı (İşçi-Tabii Sebepler Sonucu)</t>
  </si>
  <si>
    <t>Eğitim Yardımı (İşçi-Lise)</t>
  </si>
  <si>
    <t>Eğitim Yardımı (İşçi-Yükseköğretim)</t>
  </si>
  <si>
    <t>Eğitim Yardımı (Çocuk-İlköğretim)</t>
  </si>
  <si>
    <t>Eğitim Yardımı (Çocuk-Ortaöğretim)</t>
  </si>
  <si>
    <t>Eğitim Yardımı (Çocuk-Lise)</t>
  </si>
  <si>
    <t>Eğitim Yardımı (Çocuk-Yükseköğretim)</t>
  </si>
  <si>
    <t xml:space="preserve">   Toplam Kazanç
   Net</t>
  </si>
  <si>
    <t>İşveren Maliyeti</t>
  </si>
  <si>
    <t>a) 3 yaşını doldurmamış çocuğu evlat edinen eşlerden birine veya evlat edinene çocuğun aileye fiilen teslim edildiği tarihten itibaren 8 hafta analık hâli izni kullandırılır.
(4857 sayılı İş Kanunu / Madde 74)</t>
  </si>
  <si>
    <t>Miktar</t>
  </si>
  <si>
    <t xml:space="preserve">   İdari Sorumluluk Primi</t>
  </si>
  <si>
    <t xml:space="preserve">   Çocuk Yardımı</t>
  </si>
  <si>
    <t>Bayram Yardımı (Kurban)</t>
  </si>
  <si>
    <t>Bayram Yardımı (Ramazan)</t>
  </si>
  <si>
    <r>
      <t xml:space="preserve">   Sonraki Ayın 5'inde
   </t>
    </r>
    <r>
      <rPr>
        <b/>
        <sz val="16"/>
        <rFont val="Calibri"/>
        <family val="2"/>
        <charset val="162"/>
        <scheme val="minor"/>
      </rPr>
      <t>Net</t>
    </r>
  </si>
  <si>
    <t>Yakacak Yardımı</t>
  </si>
  <si>
    <t>İdari Sorumluluk Primi</t>
  </si>
  <si>
    <t>İş Riski Primi</t>
  </si>
  <si>
    <t>Çocuk Yardımı</t>
  </si>
  <si>
    <t>a) İşçinin eşinin veya çocuğunun vefatı hâlinde 6 takvim günü ücretli sosyal izin verilir.
b) İşçinin annesinin, babasının veya kardeşinin vefatı hâlinde 6 takvim günü ücretli sosyal izin verilir.
c) İşçinin eşinin annesinin, babasının veya kardeşinin vefatı hâlinde 6 takvim günü ücretli sosyal izin verilir.
d) İşçinin amcasının, halasının, dayısının, teyzesinin, dedesinin veya ninesinin vefatı hâlinde 0 iş günü ücretli sosyal izin verilir.
e) Cenazenin il dışında olması veya il dışına götürülmesi hâlinde işçinin annesinin, babasının, kardeşinin, eşinin veya çocuğunun cenazesi için ilave 0 iş günü amcasının, halasının, dayısının, teyzesinin, dedesinin veya ninesinin cenazesi için ilave 0 iş günü ücretli sosyal izin verilir.
f) İşçilerden birinin vefatı hâlinde cenaze işlemleri veya katılımı için ihtiyaç kadar işçiye ücretli sosyal izin verilir.
g) Vefat eden kişi birden fazla personelin yakını ise cenaze izni her personele ayrı ayrı verilir.</t>
  </si>
  <si>
    <t>a) İşçinin evlenmesi hâlinde 6 takvim günü ücretli sosyal izin verilir.
b) İşçinin çocuğunun evlenmesi hâlinde 0 iş günü ücretli sosyal izin verilir.
c) İşçinin evliliğinde, evlilik izninin hangi şekilde kullanılacağı işçinin talebi doğrultusunda değerlendirilir.</t>
  </si>
  <si>
    <t>a) İşçilere, gerekli ve geçerli mazeretleri hâlinde işverenin takdirine bağlı olarak yılda 0 iş günü ücretli sosyal izin verilir.
b) İşçilere, gerekli ve geçerli mazeretleri hâlinde işverenin takdirine bağlı olarak yılda 6 aya kadar ücretsiz sosyal izin verilebilir. Genel müdürün uygun görmesi hâlinde 0 aya kadar uzatılabilir.</t>
  </si>
  <si>
    <t>a) İşyerinde işçi sayısı 50’ye kadar ise yıllık en fazla 25 iş günü ücretli izin verilir.
İşyerinde işçi sayısı 51 ile 100 arasında ise yıllık en fazla 35 iş günü ücretli izin verilir.
İşyerinde işçi sayısı 101 ile 200 arasında ise yıllık en fazla 45 iş günü ücretli izin verilir.
İşyerinde işçi sayısı 201 ile 500 arasında ise yıllık en fazla 65 iş günü ücretli izin verilir.
İşyerinde işçi sayısı 501 ile 1000 arasında ise yıllık en fazla 85 iş günü ücretli izin verilir.
İşyerinde işçi sayısı 1000 işçiden fazla ise yıllık en fazla işçi sayısının % 10'u kadar iş günü ücretli sendikal izin verilir.
(1. Dönem Toplu İş Sözleşmesi / Madde 8)
b) Sendikal faaliyetler için sendikanın yazılı talebi üzerine ve işverenin hizmetlerini aksatmamak suretiyle, işçilere ayrı ayrı olmadan çalışan kişi sayısı karşılığına gelen gün kadar yıllık ücretli sendikal izin verilir.
c) Temsilcilik görevlerini yerine getirmeleri için baştemsilciye haftada 1 gün, diğer temsilcilere ayda 1’er gün ücretli sendikal izin verilir.
d) Toplu iş sözleşmesi yapmak üzere yetkisi kesinleşen sendika; 
işyerinde işçi sayısı 50’ye kadar ise 1,
51 ile 100 arasında ise en çok 2,
101 ile 500 arasında ise en çok 3,
501 ile 1000 arasında ise en çok 4,
1001 ile 2000 arasında ise en çok 6,
2000’den fazla ise en çok 8 işyeri sendika temsilcisini işyerinde çalışan üyeleri arasından atayarak 15 gün içinde kimliklerini işverene bildirir. Bunlardan biri baş temsilci olarak görevlendirilebilir. Temsilcilerin görevi, sendikanın yetkisi süresince devam eder.
(6356 sayılı Sendikalar ve Toplu İş Sözleşmesi Kanunu / Madde 27)</t>
  </si>
  <si>
    <t>Oran</t>
  </si>
  <si>
    <t>Miktar / İlk 6 Ay</t>
  </si>
  <si>
    <t>Miktar / Son 6 Ay</t>
  </si>
  <si>
    <t xml:space="preserve">   BES Kesintisi</t>
  </si>
  <si>
    <t>Güvenlik Sorumlusu</t>
  </si>
  <si>
    <t>Güvenlik Görevlisi</t>
  </si>
  <si>
    <t>Sosyal Yardım</t>
  </si>
  <si>
    <t>a) Hizmeti 6 ay olanlar için 0 iş günü ücretli yıllık izin verilir.
Hizmeti 1-5 yıl olanlar için 17 iş günü ücretli yıllık izin verilir.
Hizmeti 5-10 yıl olanlar için 23 iş günü ücretli yıllık izin verilir.
Hizmeti 10-15 yıl olanlar için 23 iş günü ücretli yıllık izin verilir.
Hizmeti 15 yıldan fazla olanlar için 29 iş günü ücretli yıllık izin verilir.</t>
  </si>
  <si>
    <t xml:space="preserve">   Kıdem Yardımı</t>
  </si>
  <si>
    <r>
      <t xml:space="preserve">   Fazla Sürelerle Çalışma
   </t>
    </r>
    <r>
      <rPr>
        <b/>
        <sz val="16"/>
        <rFont val="Calibri"/>
        <family val="2"/>
        <charset val="162"/>
        <scheme val="minor"/>
      </rPr>
      <t>% 25</t>
    </r>
  </si>
  <si>
    <r>
      <t xml:space="preserve">   Fazla Çalışma
   </t>
    </r>
    <r>
      <rPr>
        <b/>
        <sz val="16"/>
        <rFont val="Calibri"/>
        <family val="2"/>
        <charset val="162"/>
        <scheme val="minor"/>
      </rPr>
      <t>% 60</t>
    </r>
  </si>
  <si>
    <r>
      <t xml:space="preserve">   Resmi Tatillerde Çalışma
   </t>
    </r>
    <r>
      <rPr>
        <b/>
        <sz val="16"/>
        <rFont val="Calibri"/>
        <family val="2"/>
        <charset val="162"/>
        <scheme val="minor"/>
      </rPr>
      <t>% 100</t>
    </r>
  </si>
  <si>
    <t>Kıdem Yardımı</t>
  </si>
  <si>
    <t>Fazla Çalışma (% 60)</t>
  </si>
  <si>
    <t>Fazla Sürelerle Çalışma (%25)</t>
  </si>
  <si>
    <t>Resmi Tatillerde Çalışma (% 100)</t>
  </si>
  <si>
    <t>Gece Çalışma (% 15)</t>
  </si>
  <si>
    <r>
      <t xml:space="preserve">   Sonraki Ayın 5'inde
   Fazla Çalışma (Gündüz-Gece-Resmi Tatil)
   Yemek Yardımı
   </t>
    </r>
    <r>
      <rPr>
        <b/>
        <sz val="16"/>
        <rFont val="Calibri"/>
        <family val="2"/>
        <charset val="162"/>
        <scheme val="minor"/>
      </rPr>
      <t>Net</t>
    </r>
  </si>
  <si>
    <t>Toplam</t>
  </si>
  <si>
    <t>Ortalama</t>
  </si>
  <si>
    <r>
      <t xml:space="preserve">   Gece Çalışma
   </t>
    </r>
    <r>
      <rPr>
        <b/>
        <sz val="16"/>
        <rFont val="Calibri"/>
        <family val="2"/>
        <charset val="162"/>
        <scheme val="minor"/>
      </rPr>
      <t>% 25</t>
    </r>
  </si>
  <si>
    <t xml:space="preserve">   İş Güçlüğü Primi</t>
  </si>
  <si>
    <t xml:space="preserve">   İş Riski Primi / Silah Tazminatı
   (Her Vardiya)</t>
  </si>
  <si>
    <t xml:space="preserve">   Görev Primi / Özel Güvenlik Görevlisi Primi</t>
  </si>
  <si>
    <t>Görev Primi</t>
  </si>
  <si>
    <t>İş Güçlüğü Primi</t>
  </si>
  <si>
    <r>
      <t xml:space="preserve">a) Kadın işçilerin </t>
    </r>
    <r>
      <rPr>
        <b/>
        <sz val="16"/>
        <color theme="0"/>
        <rFont val="Calibri"/>
        <family val="2"/>
        <charset val="162"/>
        <scheme val="minor"/>
      </rPr>
      <t>doğumdan önce 8 ve doğumdan sonra 8 hafta</t>
    </r>
    <r>
      <rPr>
        <sz val="16"/>
        <color theme="0"/>
        <rFont val="Calibri"/>
        <family val="2"/>
        <charset val="162"/>
        <scheme val="minor"/>
      </rPr>
      <t xml:space="preserve"> olmak üzere toplam 16 haftalık süre için çalıştırılmamaları esastır.
(4857 sayılı İş Kanunu / Madde 74)</t>
    </r>
  </si>
  <si>
    <r>
      <t xml:space="preserve">a) İşçilerin en az %70 oranında engelli veya süreğen hastalığı olan çocuğunun tedavisinde, hastalık raporuna dayalı olarak ve çalışan ebeveynden sadece biri tarafından kullanılması kaydıyla, </t>
    </r>
    <r>
      <rPr>
        <b/>
        <sz val="16"/>
        <color theme="0"/>
        <rFont val="Calibri"/>
        <family val="2"/>
        <charset val="162"/>
        <scheme val="minor"/>
      </rPr>
      <t>bir yıl içinde toptan veya bölümler hâlinde 10 güne kadar</t>
    </r>
    <r>
      <rPr>
        <sz val="16"/>
        <color theme="0"/>
        <rFont val="Calibri"/>
        <family val="2"/>
        <charset val="162"/>
        <scheme val="minor"/>
      </rPr>
      <t xml:space="preserve"> ücretli izin verilir.
(4857 sayılı İş Kanunu / Ek Madde 2)</t>
    </r>
  </si>
  <si>
    <r>
      <t xml:space="preserve">a) İşçiye; evlat edinmesi hâlinde </t>
    </r>
    <r>
      <rPr>
        <b/>
        <sz val="16"/>
        <color theme="0"/>
        <rFont val="Calibri"/>
        <family val="2"/>
        <charset val="162"/>
        <scheme val="minor"/>
      </rPr>
      <t>3 gün</t>
    </r>
    <r>
      <rPr>
        <sz val="16"/>
        <color theme="0"/>
        <rFont val="Calibri"/>
        <family val="2"/>
        <charset val="162"/>
        <scheme val="minor"/>
      </rPr>
      <t xml:space="preserve"> ücretli izin verilir.
(4857 sayılı İş Kanunu / Ek Madde 2)</t>
    </r>
  </si>
  <si>
    <r>
      <t xml:space="preserve">a) Bildirim süreleri içinde işveren, işçiye yeni bir iş bulması için gerekli olan iş arama iznini iş saatleri içinde ve ücret kesintisi yapmadan vermeye mecburdur. İş arama izninin süresi </t>
    </r>
    <r>
      <rPr>
        <b/>
        <sz val="16"/>
        <color theme="0"/>
        <rFont val="Calibri"/>
        <family val="2"/>
        <charset val="162"/>
        <scheme val="minor"/>
      </rPr>
      <t>günde 2 saatten az olamaz</t>
    </r>
    <r>
      <rPr>
        <sz val="16"/>
        <color theme="0"/>
        <rFont val="Calibri"/>
        <family val="2"/>
        <charset val="162"/>
        <scheme val="minor"/>
      </rPr>
      <t xml:space="preserve"> ve işçi isterse iş arama izin saatlerini birleştirerek toplu kullanabilir.
(4857 sayılı İş Kanunu / Madde 27)</t>
    </r>
  </si>
  <si>
    <r>
      <t xml:space="preserve">a) Kadın işçilere bir yaşından küçük çocuklarını emzirmeleri için </t>
    </r>
    <r>
      <rPr>
        <b/>
        <sz val="16"/>
        <color theme="0"/>
        <rFont val="Calibri"/>
        <family val="2"/>
        <charset val="162"/>
        <scheme val="minor"/>
      </rPr>
      <t>günde toplam 1,5 saat</t>
    </r>
    <r>
      <rPr>
        <sz val="16"/>
        <color theme="0"/>
        <rFont val="Calibri"/>
        <family val="2"/>
        <charset val="162"/>
        <scheme val="minor"/>
      </rPr>
      <t xml:space="preserve"> süt izni verilir.
(4857 sayılı İş Kanunu / Madde 74)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</si>
</sst>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dd/mm/yyyy;@"/>
    <numFmt numFmtId="165" formatCode="0\ &quot;Gün&quot;"/>
    <numFmt numFmtId="166" formatCode="#,##0.00\ &quot;₺&quot;"/>
    <numFmt numFmtId="167" formatCode="0.000000"/>
    <numFmt numFmtId="168" formatCode="%\ 0"/>
    <numFmt numFmtId="169" formatCode="%\ 0.00"/>
    <numFmt numFmtId="170" formatCode="General\ &quot;₺&quot;"/>
    <numFmt numFmtId="171" formatCode="0.0000000"/>
    <numFmt numFmtId="172" formatCode="0.0"/>
  </numFmts>
  <fonts count="18" x14ac:knownFonts="1">
    <font>
      <sz val="11"/>
      <color rgb="FF000000"/>
      <name val="Calibri"/>
      <family val="2"/>
      <charset val="1"/>
    </font>
    <font>
      <sz val="11"/>
      <color rgb="FF000000"/>
      <name val="Calibri"/>
      <family val="2"/>
      <charset val="162"/>
    </font>
    <font>
      <sz val="11"/>
      <color rgb="FF000000"/>
      <name val="Calibri"/>
      <family val="2"/>
      <charset val="1"/>
    </font>
    <font>
      <sz val="10"/>
      <name val="Arial Tur"/>
      <charset val="162"/>
    </font>
    <font>
      <sz val="8"/>
      <name val="Calibri"/>
      <family val="2"/>
      <charset val="1"/>
    </font>
    <font>
      <sz val="16"/>
      <name val="Calibri"/>
      <family val="2"/>
      <charset val="162"/>
      <scheme val="minor"/>
    </font>
    <font>
      <b/>
      <sz val="16"/>
      <name val="Calibri"/>
      <family val="2"/>
      <charset val="162"/>
      <scheme val="minor"/>
    </font>
    <font>
      <sz val="16"/>
      <color rgb="FFFF0000"/>
      <name val="Calibri"/>
      <family val="2"/>
      <charset val="162"/>
      <scheme val="minor"/>
    </font>
    <font>
      <sz val="20"/>
      <name val="Calibri"/>
      <family val="2"/>
      <charset val="162"/>
      <scheme val="minor"/>
    </font>
    <font>
      <sz val="20"/>
      <color rgb="FFFF0000"/>
      <name val="Calibri"/>
      <family val="2"/>
      <charset val="162"/>
      <scheme val="minor"/>
    </font>
    <font>
      <sz val="15"/>
      <name val="Calibri"/>
      <family val="2"/>
      <charset val="162"/>
      <scheme val="minor"/>
    </font>
    <font>
      <b/>
      <sz val="14"/>
      <name val="Calibri"/>
      <family val="2"/>
      <charset val="162"/>
      <scheme val="minor"/>
    </font>
    <font>
      <b/>
      <sz val="24"/>
      <name val="Calibri"/>
      <family val="2"/>
      <charset val="162"/>
      <scheme val="minor"/>
    </font>
    <font>
      <b/>
      <sz val="24"/>
      <color rgb="FFFF0000"/>
      <name val="Calibri"/>
      <family val="2"/>
      <charset val="162"/>
      <scheme val="minor"/>
    </font>
    <font>
      <b/>
      <sz val="26"/>
      <name val="Calibri"/>
      <family val="2"/>
      <charset val="162"/>
      <scheme val="minor"/>
    </font>
    <font>
      <b/>
      <sz val="26"/>
      <color rgb="FFFF0000"/>
      <name val="Calibri"/>
      <family val="2"/>
      <charset val="162"/>
      <scheme val="minor"/>
    </font>
    <font>
      <sz val="16"/>
      <color theme="0"/>
      <name val="Calibri"/>
      <family val="2"/>
      <charset val="162"/>
      <scheme val="minor"/>
    </font>
    <font>
      <b/>
      <sz val="16"/>
      <color theme="0"/>
      <name val="Calibri"/>
      <family val="2"/>
      <charset val="162"/>
      <scheme val="minor"/>
    </font>
  </fonts>
  <fills count="6">
    <fill>
      <patternFill patternType="none"/>
    </fill>
    <fill>
      <patternFill patternType="gray125"/>
    </fill>
    <fill>
      <patternFill patternType="solid">
        <fgColor theme="0" tint="-0.14999847407452621"/>
        <bgColor indexed="64"/>
      </patternFill>
    </fill>
    <fill>
      <patternFill patternType="solid">
        <fgColor rgb="FFC8E1B4"/>
        <bgColor indexed="64"/>
      </patternFill>
    </fill>
    <fill>
      <patternFill patternType="solid">
        <fgColor theme="8" tint="0.79998168889431442"/>
        <bgColor indexed="64"/>
      </patternFill>
    </fill>
    <fill>
      <patternFill patternType="solid">
        <fgColor rgb="FFC8E1B4"/>
        <bgColor rgb="FFC5E0B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6">
    <xf numFmtId="0" fontId="0" fillId="0" borderId="0"/>
    <xf numFmtId="0" fontId="1" fillId="0" borderId="0"/>
    <xf numFmtId="0" fontId="3" fillId="0" borderId="0"/>
    <xf numFmtId="0" fontId="2" fillId="0" borderId="0"/>
    <xf numFmtId="9" fontId="3" fillId="0" borderId="0" applyFont="0" applyFill="0" applyBorder="0" applyAlignment="0" applyProtection="0"/>
    <xf numFmtId="0" fontId="3" fillId="0" borderId="0" applyFont="0" applyFill="0" applyBorder="0" applyAlignment="0" applyProtection="0"/>
  </cellStyleXfs>
  <cellXfs count="86">
    <xf numFmtId="0" fontId="0" fillId="0" borderId="0" xfId="0"/>
    <xf numFmtId="0" fontId="5" fillId="2" borderId="1" xfId="2" applyFont="1" applyFill="1" applyBorder="1" applyAlignment="1" applyProtection="1">
      <alignment horizontal="center" vertical="center"/>
      <protection hidden="1"/>
    </xf>
    <xf numFmtId="0" fontId="5" fillId="0" borderId="0" xfId="2" applyFont="1" applyAlignment="1" applyProtection="1">
      <alignment horizontal="center" vertical="center"/>
      <protection hidden="1"/>
    </xf>
    <xf numFmtId="4" fontId="5" fillId="2" borderId="1" xfId="2" applyNumberFormat="1" applyFont="1" applyFill="1" applyBorder="1" applyAlignment="1" applyProtection="1">
      <alignment horizontal="center" vertical="center"/>
      <protection hidden="1"/>
    </xf>
    <xf numFmtId="169" fontId="5" fillId="2" borderId="1" xfId="2" applyNumberFormat="1" applyFont="1" applyFill="1" applyBorder="1" applyAlignment="1" applyProtection="1">
      <alignment horizontal="center" vertical="center"/>
      <protection hidden="1"/>
    </xf>
    <xf numFmtId="2" fontId="6" fillId="2" borderId="1" xfId="0" applyNumberFormat="1" applyFont="1" applyFill="1" applyBorder="1" applyAlignment="1" applyProtection="1">
      <alignment horizontal="center" vertical="center"/>
      <protection hidden="1"/>
    </xf>
    <xf numFmtId="166" fontId="14" fillId="4" borderId="1" xfId="2" applyNumberFormat="1" applyFont="1" applyFill="1" applyBorder="1" applyAlignment="1" applyProtection="1">
      <alignment horizontal="center" vertical="center"/>
      <protection hidden="1"/>
    </xf>
    <xf numFmtId="166" fontId="15" fillId="4" borderId="1" xfId="2" applyNumberFormat="1" applyFont="1" applyFill="1" applyBorder="1" applyAlignment="1" applyProtection="1">
      <alignment horizontal="center" vertical="center"/>
      <protection hidden="1"/>
    </xf>
    <xf numFmtId="4" fontId="10" fillId="2" borderId="1" xfId="2" applyNumberFormat="1" applyFont="1" applyFill="1" applyBorder="1" applyAlignment="1" applyProtection="1">
      <alignment horizontal="center" vertical="center" wrapText="1"/>
      <protection hidden="1"/>
    </xf>
    <xf numFmtId="4" fontId="11" fillId="2" borderId="1" xfId="2" applyNumberFormat="1" applyFont="1" applyFill="1" applyBorder="1" applyAlignment="1" applyProtection="1">
      <alignment horizontal="center" vertical="center" wrapText="1"/>
      <protection hidden="1"/>
    </xf>
    <xf numFmtId="172" fontId="5" fillId="2" borderId="1" xfId="2" applyNumberFormat="1" applyFont="1" applyFill="1" applyBorder="1" applyAlignment="1" applyProtection="1">
      <alignment horizontal="center" vertical="center"/>
      <protection hidden="1"/>
    </xf>
    <xf numFmtId="1" fontId="5" fillId="2" borderId="1" xfId="2" applyNumberFormat="1" applyFont="1" applyFill="1" applyBorder="1" applyAlignment="1" applyProtection="1">
      <alignment horizontal="center" vertical="center"/>
      <protection hidden="1"/>
    </xf>
    <xf numFmtId="166" fontId="12" fillId="2" borderId="1" xfId="2" applyNumberFormat="1" applyFont="1" applyFill="1" applyBorder="1" applyAlignment="1" applyProtection="1">
      <alignment horizontal="center" vertical="center"/>
      <protection hidden="1"/>
    </xf>
    <xf numFmtId="166" fontId="13" fillId="2" borderId="1" xfId="2" applyNumberFormat="1" applyFont="1" applyFill="1" applyBorder="1" applyAlignment="1" applyProtection="1">
      <alignment horizontal="center" vertical="center"/>
      <protection hidden="1"/>
    </xf>
    <xf numFmtId="169" fontId="10" fillId="2" borderId="1" xfId="2" applyNumberFormat="1" applyFont="1" applyFill="1" applyBorder="1" applyAlignment="1" applyProtection="1">
      <alignment horizontal="center" vertical="center"/>
      <protection hidden="1"/>
    </xf>
    <xf numFmtId="0" fontId="5" fillId="0" borderId="0" xfId="2" applyFont="1" applyAlignment="1" applyProtection="1">
      <alignment horizontal="right" vertical="center" indent="1"/>
      <protection hidden="1"/>
    </xf>
    <xf numFmtId="0" fontId="16" fillId="0" borderId="0" xfId="2" applyFont="1" applyAlignment="1" applyProtection="1">
      <alignment horizontal="center" vertical="center" wrapText="1"/>
      <protection hidden="1"/>
    </xf>
    <xf numFmtId="166" fontId="16" fillId="0" borderId="0" xfId="2" applyNumberFormat="1" applyFont="1" applyAlignment="1" applyProtection="1">
      <alignment horizontal="center" vertical="center" wrapText="1"/>
      <protection hidden="1"/>
    </xf>
    <xf numFmtId="0" fontId="16" fillId="0" borderId="0" xfId="2" applyFont="1" applyAlignment="1" applyProtection="1">
      <alignment horizontal="center" vertical="center"/>
      <protection hidden="1"/>
    </xf>
    <xf numFmtId="166" fontId="16" fillId="0" borderId="0" xfId="2" applyNumberFormat="1" applyFont="1" applyAlignment="1" applyProtection="1">
      <alignment horizontal="center" vertical="center"/>
      <protection hidden="1"/>
    </xf>
    <xf numFmtId="166" fontId="16" fillId="0" borderId="0" xfId="3" applyNumberFormat="1" applyFont="1" applyAlignment="1" applyProtection="1">
      <alignment horizontal="center" vertical="center"/>
      <protection hidden="1"/>
    </xf>
    <xf numFmtId="2" fontId="16" fillId="0" borderId="0" xfId="2" applyNumberFormat="1" applyFont="1" applyAlignment="1" applyProtection="1">
      <alignment horizontal="center" vertical="center"/>
      <protection hidden="1"/>
    </xf>
    <xf numFmtId="168" fontId="16" fillId="0" borderId="0" xfId="2" applyNumberFormat="1" applyFont="1" applyAlignment="1" applyProtection="1">
      <alignment horizontal="center" vertical="center"/>
      <protection hidden="1"/>
    </xf>
    <xf numFmtId="169" fontId="16" fillId="0" borderId="0" xfId="2" applyNumberFormat="1" applyFont="1" applyAlignment="1" applyProtection="1">
      <alignment horizontal="center" vertical="center" wrapText="1"/>
      <protection hidden="1"/>
    </xf>
    <xf numFmtId="169" fontId="16" fillId="0" borderId="0" xfId="4" applyNumberFormat="1" applyFont="1" applyFill="1" applyBorder="1" applyAlignment="1" applyProtection="1">
      <alignment horizontal="center" vertical="center"/>
      <protection hidden="1"/>
    </xf>
    <xf numFmtId="167" fontId="16" fillId="0" borderId="0" xfId="2" applyNumberFormat="1" applyFont="1" applyAlignment="1" applyProtection="1">
      <alignment horizontal="center" vertical="center"/>
      <protection hidden="1"/>
    </xf>
    <xf numFmtId="0" fontId="16" fillId="0" borderId="0" xfId="3" applyFont="1" applyAlignment="1" applyProtection="1">
      <alignment horizontal="center" vertical="center"/>
      <protection hidden="1"/>
    </xf>
    <xf numFmtId="2" fontId="16" fillId="0" borderId="0" xfId="3" applyNumberFormat="1" applyFont="1" applyAlignment="1" applyProtection="1">
      <alignment horizontal="center" vertical="center"/>
      <protection hidden="1"/>
    </xf>
    <xf numFmtId="166" fontId="16" fillId="0" borderId="0" xfId="4" applyNumberFormat="1" applyFont="1" applyFill="1" applyBorder="1" applyAlignment="1" applyProtection="1">
      <alignment horizontal="center" vertical="center"/>
      <protection hidden="1"/>
    </xf>
    <xf numFmtId="4" fontId="16" fillId="0" borderId="0" xfId="2" applyNumberFormat="1" applyFont="1" applyAlignment="1" applyProtection="1">
      <alignment horizontal="center" vertical="center"/>
      <protection hidden="1"/>
    </xf>
    <xf numFmtId="164" fontId="16" fillId="0" borderId="0" xfId="2" applyNumberFormat="1" applyFont="1" applyAlignment="1" applyProtection="1">
      <alignment horizontal="center" vertical="center"/>
      <protection hidden="1"/>
    </xf>
    <xf numFmtId="164" fontId="16" fillId="0" borderId="0" xfId="0" applyNumberFormat="1" applyFont="1" applyAlignment="1" applyProtection="1">
      <alignment horizontal="center" vertical="center"/>
      <protection hidden="1"/>
    </xf>
    <xf numFmtId="165" fontId="16" fillId="0" borderId="0" xfId="0" applyNumberFormat="1" applyFont="1" applyAlignment="1" applyProtection="1">
      <alignment horizontal="center" vertical="center"/>
      <protection hidden="1"/>
    </xf>
    <xf numFmtId="166" fontId="16" fillId="0" borderId="0" xfId="0" applyNumberFormat="1" applyFont="1" applyAlignment="1" applyProtection="1">
      <alignment horizontal="center" vertical="center"/>
      <protection hidden="1"/>
    </xf>
    <xf numFmtId="3" fontId="16" fillId="0" borderId="0" xfId="2" applyNumberFormat="1" applyFont="1" applyAlignment="1" applyProtection="1">
      <alignment horizontal="center" vertical="center" wrapText="1"/>
      <protection hidden="1"/>
    </xf>
    <xf numFmtId="0" fontId="16" fillId="0" borderId="0" xfId="2" applyFont="1" applyAlignment="1" applyProtection="1">
      <alignment horizontal="right" vertical="center" wrapText="1"/>
      <protection hidden="1"/>
    </xf>
    <xf numFmtId="2" fontId="16" fillId="0" borderId="0" xfId="2" applyNumberFormat="1" applyFont="1" applyAlignment="1" applyProtection="1">
      <alignment horizontal="center" vertical="center" wrapText="1"/>
      <protection hidden="1"/>
    </xf>
    <xf numFmtId="167" fontId="16" fillId="0" borderId="0" xfId="2" applyNumberFormat="1" applyFont="1" applyAlignment="1" applyProtection="1">
      <alignment horizontal="center" vertical="center" wrapText="1"/>
      <protection hidden="1"/>
    </xf>
    <xf numFmtId="165" fontId="16" fillId="0" borderId="0" xfId="2" applyNumberFormat="1" applyFont="1" applyAlignment="1" applyProtection="1">
      <alignment horizontal="center" vertical="center"/>
      <protection hidden="1"/>
    </xf>
    <xf numFmtId="0" fontId="16" fillId="0" borderId="0" xfId="0" applyFont="1" applyAlignment="1" applyProtection="1">
      <alignment horizontal="center" vertical="center" wrapText="1"/>
      <protection hidden="1"/>
    </xf>
    <xf numFmtId="171" fontId="16" fillId="0" borderId="0" xfId="2" applyNumberFormat="1" applyFont="1" applyAlignment="1" applyProtection="1">
      <alignment horizontal="center" vertical="center" wrapText="1"/>
      <protection hidden="1"/>
    </xf>
    <xf numFmtId="0" fontId="16" fillId="0" borderId="0" xfId="2" applyFont="1" applyAlignment="1" applyProtection="1">
      <alignment horizontal="right" vertical="center" wrapText="1" indent="1"/>
      <protection hidden="1"/>
    </xf>
    <xf numFmtId="0" fontId="16" fillId="0" borderId="0" xfId="0" applyFont="1" applyAlignment="1" applyProtection="1">
      <alignment horizontal="right" vertical="center" wrapText="1" indent="1"/>
      <protection hidden="1"/>
    </xf>
    <xf numFmtId="49" fontId="16" fillId="0" borderId="0" xfId="0" applyNumberFormat="1" applyFont="1" applyAlignment="1" applyProtection="1">
      <alignment horizontal="center" vertical="center" wrapText="1"/>
      <protection hidden="1"/>
    </xf>
    <xf numFmtId="2" fontId="16" fillId="0" borderId="0" xfId="2" applyNumberFormat="1" applyFont="1" applyAlignment="1" applyProtection="1">
      <alignment horizontal="right" vertical="center" wrapText="1" indent="1"/>
      <protection hidden="1"/>
    </xf>
    <xf numFmtId="49" fontId="16" fillId="0" borderId="0" xfId="2" applyNumberFormat="1" applyFont="1" applyAlignment="1" applyProtection="1">
      <alignment horizontal="center" vertical="center" wrapText="1"/>
      <protection hidden="1"/>
    </xf>
    <xf numFmtId="4" fontId="16" fillId="0" borderId="0" xfId="2" applyNumberFormat="1" applyFont="1" applyAlignment="1" applyProtection="1">
      <alignment horizontal="center" vertical="center" wrapText="1"/>
      <protection hidden="1"/>
    </xf>
    <xf numFmtId="2" fontId="16" fillId="0" borderId="0" xfId="3" applyNumberFormat="1" applyFont="1" applyAlignment="1" applyProtection="1">
      <alignment horizontal="center" vertical="center" wrapText="1"/>
      <protection hidden="1"/>
    </xf>
    <xf numFmtId="49" fontId="16" fillId="0" borderId="0" xfId="3" applyNumberFormat="1" applyFont="1" applyAlignment="1" applyProtection="1">
      <alignment horizontal="center" vertical="center"/>
      <protection hidden="1"/>
    </xf>
    <xf numFmtId="169" fontId="16" fillId="0" borderId="0" xfId="2" applyNumberFormat="1" applyFont="1" applyAlignment="1" applyProtection="1">
      <alignment horizontal="center" vertical="center"/>
      <protection hidden="1"/>
    </xf>
    <xf numFmtId="1" fontId="5" fillId="3" borderId="1" xfId="2" applyNumberFormat="1" applyFont="1" applyFill="1" applyBorder="1" applyAlignment="1" applyProtection="1">
      <alignment horizontal="center" vertical="center"/>
      <protection locked="0" hidden="1"/>
    </xf>
    <xf numFmtId="172" fontId="5" fillId="3" borderId="1" xfId="3" applyNumberFormat="1" applyFont="1" applyFill="1" applyBorder="1" applyAlignment="1" applyProtection="1">
      <alignment horizontal="center" vertical="center"/>
      <protection locked="0" hidden="1"/>
    </xf>
    <xf numFmtId="2" fontId="5" fillId="5" borderId="1" xfId="2" applyNumberFormat="1" applyFont="1" applyFill="1" applyBorder="1" applyAlignment="1" applyProtection="1">
      <alignment horizontal="center" vertical="center" wrapText="1"/>
      <protection locked="0" hidden="1"/>
    </xf>
    <xf numFmtId="168" fontId="5" fillId="3" borderId="1" xfId="2" applyNumberFormat="1" applyFont="1" applyFill="1" applyBorder="1" applyAlignment="1" applyProtection="1">
      <alignment horizontal="center" vertical="center"/>
      <protection locked="0" hidden="1"/>
    </xf>
    <xf numFmtId="2" fontId="5" fillId="2" borderId="1" xfId="2" applyNumberFormat="1" applyFont="1" applyFill="1" applyBorder="1" applyAlignment="1" applyProtection="1">
      <alignment horizontal="center" textRotation="90" wrapText="1"/>
      <protection hidden="1"/>
    </xf>
    <xf numFmtId="2" fontId="7" fillId="2" borderId="1" xfId="2" applyNumberFormat="1" applyFont="1" applyFill="1" applyBorder="1" applyAlignment="1" applyProtection="1">
      <alignment horizontal="center" textRotation="90" wrapText="1"/>
      <protection hidden="1"/>
    </xf>
    <xf numFmtId="0" fontId="5" fillId="2" borderId="8" xfId="0" applyFont="1" applyFill="1" applyBorder="1" applyAlignment="1" applyProtection="1">
      <alignment horizontal="center" vertical="center" wrapText="1"/>
      <protection hidden="1"/>
    </xf>
    <xf numFmtId="0" fontId="5" fillId="2" borderId="9" xfId="0" applyFont="1" applyFill="1" applyBorder="1" applyAlignment="1" applyProtection="1">
      <alignment horizontal="center" vertical="center" wrapText="1"/>
      <protection hidden="1"/>
    </xf>
    <xf numFmtId="0" fontId="5" fillId="2" borderId="0" xfId="0" applyFont="1" applyFill="1" applyAlignment="1" applyProtection="1">
      <alignment horizontal="left" vertical="center" wrapText="1"/>
      <protection hidden="1"/>
    </xf>
    <xf numFmtId="0" fontId="5" fillId="2" borderId="5" xfId="0" applyFont="1" applyFill="1" applyBorder="1" applyAlignment="1" applyProtection="1">
      <alignment horizontal="center" vertical="center" wrapText="1"/>
      <protection hidden="1"/>
    </xf>
    <xf numFmtId="0" fontId="5" fillId="2" borderId="6" xfId="0" applyFont="1" applyFill="1" applyBorder="1" applyAlignment="1" applyProtection="1">
      <alignment horizontal="center" vertical="center" wrapText="1"/>
      <protection hidden="1"/>
    </xf>
    <xf numFmtId="0" fontId="5" fillId="2" borderId="7" xfId="0" applyFont="1" applyFill="1" applyBorder="1" applyAlignment="1" applyProtection="1">
      <alignment horizontal="center" vertical="center" wrapText="1"/>
      <protection hidden="1"/>
    </xf>
    <xf numFmtId="0" fontId="5" fillId="3" borderId="1" xfId="2" applyFont="1" applyFill="1" applyBorder="1" applyAlignment="1" applyProtection="1">
      <alignment horizontal="center" vertical="center" textRotation="90" wrapText="1"/>
      <protection locked="0" hidden="1"/>
    </xf>
    <xf numFmtId="0" fontId="5" fillId="2" borderId="2" xfId="0" applyFont="1" applyFill="1" applyBorder="1" applyAlignment="1" applyProtection="1">
      <alignment horizontal="center" vertical="center" wrapText="1"/>
      <protection hidden="1"/>
    </xf>
    <xf numFmtId="0" fontId="5" fillId="2" borderId="3" xfId="0" applyFont="1" applyFill="1" applyBorder="1" applyAlignment="1" applyProtection="1">
      <alignment horizontal="center" vertical="center" wrapText="1"/>
      <protection hidden="1"/>
    </xf>
    <xf numFmtId="0" fontId="5" fillId="2" borderId="4" xfId="0" applyFont="1" applyFill="1" applyBorder="1" applyAlignment="1" applyProtection="1">
      <alignment horizontal="center" vertical="center" wrapText="1"/>
      <protection hidden="1"/>
    </xf>
    <xf numFmtId="0" fontId="5" fillId="2" borderId="1" xfId="2" applyFont="1" applyFill="1" applyBorder="1" applyAlignment="1" applyProtection="1">
      <alignment horizontal="center" vertical="center"/>
      <protection hidden="1"/>
    </xf>
    <xf numFmtId="0" fontId="5" fillId="3" borderId="1" xfId="0" applyFont="1" applyFill="1" applyBorder="1" applyAlignment="1" applyProtection="1">
      <alignment horizontal="center" vertical="center" textRotation="90" wrapText="1"/>
      <protection locked="0" hidden="1"/>
    </xf>
    <xf numFmtId="2" fontId="5" fillId="2" borderId="5" xfId="2" applyNumberFormat="1" applyFont="1" applyFill="1" applyBorder="1" applyAlignment="1" applyProtection="1">
      <alignment horizontal="center" textRotation="90" wrapText="1"/>
      <protection hidden="1"/>
    </xf>
    <xf numFmtId="2" fontId="5" fillId="2" borderId="6" xfId="2" applyNumberFormat="1" applyFont="1" applyFill="1" applyBorder="1" applyAlignment="1" applyProtection="1">
      <alignment horizontal="center" textRotation="90" wrapText="1"/>
      <protection hidden="1"/>
    </xf>
    <xf numFmtId="2" fontId="5" fillId="2" borderId="7" xfId="2" applyNumberFormat="1" applyFont="1" applyFill="1" applyBorder="1" applyAlignment="1" applyProtection="1">
      <alignment horizontal="center" textRotation="90" wrapText="1"/>
      <protection hidden="1"/>
    </xf>
    <xf numFmtId="2" fontId="5" fillId="2" borderId="8" xfId="2" applyNumberFormat="1" applyFont="1" applyFill="1" applyBorder="1" applyAlignment="1" applyProtection="1">
      <alignment horizontal="center" textRotation="90" wrapText="1"/>
      <protection hidden="1"/>
    </xf>
    <xf numFmtId="2" fontId="5" fillId="2" borderId="0" xfId="2" applyNumberFormat="1" applyFont="1" applyFill="1" applyAlignment="1" applyProtection="1">
      <alignment horizontal="center" textRotation="90" wrapText="1"/>
      <protection hidden="1"/>
    </xf>
    <xf numFmtId="2" fontId="5" fillId="2" borderId="9" xfId="2" applyNumberFormat="1" applyFont="1" applyFill="1" applyBorder="1" applyAlignment="1" applyProtection="1">
      <alignment horizontal="center" textRotation="90" wrapText="1"/>
      <protection hidden="1"/>
    </xf>
    <xf numFmtId="2" fontId="5" fillId="2" borderId="2" xfId="2" applyNumberFormat="1" applyFont="1" applyFill="1" applyBorder="1" applyAlignment="1" applyProtection="1">
      <alignment horizontal="center" textRotation="90" wrapText="1"/>
      <protection hidden="1"/>
    </xf>
    <xf numFmtId="2" fontId="5" fillId="2" borderId="3" xfId="2" applyNumberFormat="1" applyFont="1" applyFill="1" applyBorder="1" applyAlignment="1" applyProtection="1">
      <alignment horizontal="center" textRotation="90" wrapText="1"/>
      <protection hidden="1"/>
    </xf>
    <xf numFmtId="2" fontId="5" fillId="2" borderId="4" xfId="2" applyNumberFormat="1" applyFont="1" applyFill="1" applyBorder="1" applyAlignment="1" applyProtection="1">
      <alignment horizontal="center" textRotation="90" wrapText="1"/>
      <protection hidden="1"/>
    </xf>
    <xf numFmtId="0" fontId="5" fillId="2" borderId="10" xfId="0" applyFont="1" applyFill="1" applyBorder="1" applyAlignment="1" applyProtection="1">
      <alignment horizontal="center" vertical="center" wrapText="1"/>
      <protection hidden="1"/>
    </xf>
    <xf numFmtId="0" fontId="5" fillId="2" borderId="11" xfId="0" applyFont="1" applyFill="1" applyBorder="1" applyAlignment="1" applyProtection="1">
      <alignment horizontal="center" vertical="center" wrapText="1"/>
      <protection hidden="1"/>
    </xf>
    <xf numFmtId="0" fontId="5" fillId="2" borderId="12" xfId="0" applyFont="1" applyFill="1" applyBorder="1" applyAlignment="1" applyProtection="1">
      <alignment horizontal="center" vertical="center" wrapText="1"/>
      <protection hidden="1"/>
    </xf>
    <xf numFmtId="0" fontId="5" fillId="2" borderId="0" xfId="2" applyFont="1" applyFill="1" applyAlignment="1" applyProtection="1">
      <alignment horizontal="center" vertical="center"/>
      <protection hidden="1"/>
    </xf>
    <xf numFmtId="2" fontId="8" fillId="3" borderId="1" xfId="2" applyNumberFormat="1" applyFont="1" applyFill="1" applyBorder="1" applyAlignment="1" applyProtection="1">
      <alignment horizontal="center" vertical="center" textRotation="90" wrapText="1"/>
      <protection locked="0" hidden="1"/>
    </xf>
    <xf numFmtId="170" fontId="9" fillId="2" borderId="10" xfId="2" applyNumberFormat="1" applyFont="1" applyFill="1" applyBorder="1" applyAlignment="1" applyProtection="1">
      <alignment horizontal="center" vertical="center" textRotation="90" wrapText="1"/>
      <protection hidden="1"/>
    </xf>
    <xf numFmtId="170" fontId="9" fillId="2" borderId="11" xfId="2" applyNumberFormat="1" applyFont="1" applyFill="1" applyBorder="1" applyAlignment="1" applyProtection="1">
      <alignment horizontal="center" vertical="center" textRotation="90" wrapText="1"/>
      <protection hidden="1"/>
    </xf>
    <xf numFmtId="170" fontId="9" fillId="2" borderId="12" xfId="2" applyNumberFormat="1" applyFont="1" applyFill="1" applyBorder="1" applyAlignment="1" applyProtection="1">
      <alignment horizontal="center" vertical="center" textRotation="90" wrapText="1"/>
      <protection hidden="1"/>
    </xf>
    <xf numFmtId="2" fontId="5" fillId="2" borderId="1" xfId="0" applyNumberFormat="1" applyFont="1" applyFill="1" applyBorder="1" applyAlignment="1" applyProtection="1">
      <alignment horizontal="center" textRotation="90" wrapText="1"/>
      <protection hidden="1"/>
    </xf>
  </cellXfs>
  <cellStyles count="6">
    <cellStyle name="Açıklama Metni" xfId="1" builtinId="53" customBuiltin="1"/>
    <cellStyle name="Normal" xfId="0" builtinId="0"/>
    <cellStyle name="Normal 2" xfId="2" xr:uid="{00000000-0005-0000-0000-000003000000}"/>
    <cellStyle name="Normal 2 2" xfId="3" xr:uid="{00000000-0005-0000-0000-000004000000}"/>
    <cellStyle name="Virgül 2" xfId="5" xr:uid="{00000000-0005-0000-0000-000005000000}"/>
    <cellStyle name="Yüzde 2" xfId="4" xr:uid="{00000000-0005-0000-0000-000006000000}"/>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FE699"/>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5E0B4"/>
      <rgbColor rgb="FFFFFF99"/>
      <rgbColor rgb="FF99CCFF"/>
      <rgbColor rgb="FFFF99CC"/>
      <rgbColor rgb="FFCC99FF"/>
      <rgbColor rgb="FFF8CBAD"/>
      <rgbColor rgb="FF3366FF"/>
      <rgbColor rgb="FF33CCCC"/>
      <rgbColor rgb="FF99CC00"/>
      <rgbColor rgb="FFFFCC00"/>
      <rgbColor rgb="FFFF9900"/>
      <rgbColor rgb="FFFF3333"/>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DAEEF3"/>
      <color rgb="FFC8E1B4"/>
      <color rgb="FF003300"/>
      <color rgb="FF9933FF"/>
      <color rgb="FFAAD7E1"/>
      <color rgb="FFAAD7DC"/>
      <color rgb="FFAAD7E6"/>
      <color rgb="FFAACDE6"/>
      <color rgb="FFAFCDE6"/>
      <color rgb="FFAFE1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6821142851852943"/>
          <c:y val="1.6407513119655142E-2"/>
          <c:w val="0.22938183964581099"/>
          <c:h val="0.96718497376068968"/>
        </c:manualLayout>
      </c:layout>
      <c:barChart>
        <c:barDir val="bar"/>
        <c:grouping val="clustered"/>
        <c:varyColors val="0"/>
        <c:ser>
          <c:idx val="0"/>
          <c:order val="0"/>
          <c:spPr>
            <a:solidFill>
              <a:schemeClr val="tx1"/>
            </a:solidFill>
            <a:ln>
              <a:noFill/>
            </a:ln>
            <a:effectLst/>
          </c:spPr>
          <c:invertIfNegative val="0"/>
          <c:dPt>
            <c:idx val="11"/>
            <c:invertIfNegative val="0"/>
            <c:bubble3D val="0"/>
            <c:spPr>
              <a:solidFill>
                <a:schemeClr val="tx1"/>
              </a:solidFill>
              <a:ln>
                <a:noFill/>
              </a:ln>
              <a:effectLst/>
            </c:spPr>
            <c:extLst>
              <c:ext xmlns:c16="http://schemas.microsoft.com/office/drawing/2014/chart" uri="{C3380CC4-5D6E-409C-BE32-E72D297353CC}">
                <c16:uniqueId val="{00000027-15C5-4CF9-A126-8061EA1D968F}"/>
              </c:ext>
            </c:extLst>
          </c:dPt>
          <c:dPt>
            <c:idx val="12"/>
            <c:invertIfNegative val="0"/>
            <c:bubble3D val="0"/>
            <c:spPr>
              <a:solidFill>
                <a:schemeClr val="tx1"/>
              </a:solidFill>
              <a:ln>
                <a:noFill/>
              </a:ln>
              <a:effectLst/>
            </c:spPr>
            <c:extLst>
              <c:ext xmlns:c16="http://schemas.microsoft.com/office/drawing/2014/chart" uri="{C3380CC4-5D6E-409C-BE32-E72D297353CC}">
                <c16:uniqueId val="{00000028-15C5-4CF9-A126-8061EA1D968F}"/>
              </c:ext>
            </c:extLst>
          </c:dPt>
          <c:dPt>
            <c:idx val="13"/>
            <c:invertIfNegative val="0"/>
            <c:bubble3D val="0"/>
            <c:spPr>
              <a:solidFill>
                <a:schemeClr val="tx1"/>
              </a:solidFill>
              <a:ln>
                <a:noFill/>
              </a:ln>
              <a:effectLst/>
            </c:spPr>
            <c:extLst>
              <c:ext xmlns:c16="http://schemas.microsoft.com/office/drawing/2014/chart" uri="{C3380CC4-5D6E-409C-BE32-E72D297353CC}">
                <c16:uniqueId val="{00000029-15C5-4CF9-A126-8061EA1D968F}"/>
              </c:ext>
            </c:extLst>
          </c:dPt>
          <c:dPt>
            <c:idx val="14"/>
            <c:invertIfNegative val="0"/>
            <c:bubble3D val="0"/>
            <c:spPr>
              <a:solidFill>
                <a:schemeClr val="tx1"/>
              </a:solidFill>
              <a:ln>
                <a:noFill/>
              </a:ln>
              <a:effectLst/>
            </c:spPr>
            <c:extLst>
              <c:ext xmlns:c16="http://schemas.microsoft.com/office/drawing/2014/chart" uri="{C3380CC4-5D6E-409C-BE32-E72D297353CC}">
                <c16:uniqueId val="{0000002A-15C5-4CF9-A126-8061EA1D968F}"/>
              </c:ext>
            </c:extLst>
          </c:dPt>
          <c:dPt>
            <c:idx val="15"/>
            <c:invertIfNegative val="0"/>
            <c:bubble3D val="0"/>
            <c:spPr>
              <a:solidFill>
                <a:schemeClr val="tx1"/>
              </a:solidFill>
              <a:ln>
                <a:noFill/>
              </a:ln>
              <a:effectLst/>
            </c:spPr>
            <c:extLst>
              <c:ext xmlns:c16="http://schemas.microsoft.com/office/drawing/2014/chart" uri="{C3380CC4-5D6E-409C-BE32-E72D297353CC}">
                <c16:uniqueId val="{0000002B-15C5-4CF9-A126-8061EA1D968F}"/>
              </c:ext>
            </c:extLst>
          </c:dPt>
          <c:dPt>
            <c:idx val="16"/>
            <c:invertIfNegative val="0"/>
            <c:bubble3D val="0"/>
            <c:spPr>
              <a:solidFill>
                <a:schemeClr val="tx1"/>
              </a:solidFill>
              <a:ln>
                <a:noFill/>
              </a:ln>
              <a:effectLst/>
            </c:spPr>
            <c:extLst>
              <c:ext xmlns:c16="http://schemas.microsoft.com/office/drawing/2014/chart" uri="{C3380CC4-5D6E-409C-BE32-E72D297353CC}">
                <c16:uniqueId val="{0000002C-15C5-4CF9-A126-8061EA1D968F}"/>
              </c:ext>
            </c:extLst>
          </c:dPt>
          <c:dPt>
            <c:idx val="17"/>
            <c:invertIfNegative val="0"/>
            <c:bubble3D val="0"/>
            <c:spPr>
              <a:solidFill>
                <a:srgbClr val="C00000"/>
              </a:solidFill>
              <a:ln>
                <a:noFill/>
              </a:ln>
              <a:effectLst/>
            </c:spPr>
            <c:extLst>
              <c:ext xmlns:c16="http://schemas.microsoft.com/office/drawing/2014/chart" uri="{C3380CC4-5D6E-409C-BE32-E72D297353CC}">
                <c16:uniqueId val="{0000002D-15C5-4CF9-A126-8061EA1D968F}"/>
              </c:ext>
            </c:extLst>
          </c:dPt>
          <c:dPt>
            <c:idx val="18"/>
            <c:invertIfNegative val="0"/>
            <c:bubble3D val="0"/>
            <c:spPr>
              <a:solidFill>
                <a:srgbClr val="C00000"/>
              </a:solidFill>
              <a:ln>
                <a:noFill/>
              </a:ln>
              <a:effectLst/>
            </c:spPr>
            <c:extLst>
              <c:ext xmlns:c16="http://schemas.microsoft.com/office/drawing/2014/chart" uri="{C3380CC4-5D6E-409C-BE32-E72D297353CC}">
                <c16:uniqueId val="{00000035-B7D2-4BCE-BB62-19949372B699}"/>
              </c:ext>
            </c:extLst>
          </c:dPt>
          <c:dPt>
            <c:idx val="19"/>
            <c:invertIfNegative val="0"/>
            <c:bubble3D val="0"/>
            <c:spPr>
              <a:solidFill>
                <a:srgbClr val="C00000"/>
              </a:solidFill>
              <a:ln>
                <a:noFill/>
              </a:ln>
              <a:effectLst/>
            </c:spPr>
            <c:extLst>
              <c:ext xmlns:c16="http://schemas.microsoft.com/office/drawing/2014/chart" uri="{C3380CC4-5D6E-409C-BE32-E72D297353CC}">
                <c16:uniqueId val="{00000036-B7D2-4BCE-BB62-19949372B699}"/>
              </c:ext>
            </c:extLst>
          </c:dPt>
          <c:dPt>
            <c:idx val="20"/>
            <c:invertIfNegative val="0"/>
            <c:bubble3D val="0"/>
            <c:spPr>
              <a:solidFill>
                <a:srgbClr val="C00000"/>
              </a:solidFill>
              <a:ln>
                <a:noFill/>
              </a:ln>
              <a:effectLst/>
            </c:spPr>
            <c:extLst>
              <c:ext xmlns:c16="http://schemas.microsoft.com/office/drawing/2014/chart" uri="{C3380CC4-5D6E-409C-BE32-E72D297353CC}">
                <c16:uniqueId val="{0000000F-45CA-4018-8A5C-C7D91A61B798}"/>
              </c:ext>
            </c:extLst>
          </c:dPt>
          <c:dPt>
            <c:idx val="21"/>
            <c:invertIfNegative val="0"/>
            <c:bubble3D val="0"/>
            <c:spPr>
              <a:solidFill>
                <a:srgbClr val="C00000"/>
              </a:solidFill>
              <a:ln>
                <a:noFill/>
              </a:ln>
              <a:effectLst/>
            </c:spPr>
            <c:extLst>
              <c:ext xmlns:c16="http://schemas.microsoft.com/office/drawing/2014/chart" uri="{C3380CC4-5D6E-409C-BE32-E72D297353CC}">
                <c16:uniqueId val="{0000000E-45CA-4018-8A5C-C7D91A61B798}"/>
              </c:ext>
            </c:extLst>
          </c:dPt>
          <c:dPt>
            <c:idx val="22"/>
            <c:invertIfNegative val="0"/>
            <c:bubble3D val="0"/>
            <c:spPr>
              <a:solidFill>
                <a:schemeClr val="bg1">
                  <a:lumMod val="50000"/>
                </a:schemeClr>
              </a:solidFill>
              <a:ln>
                <a:noFill/>
              </a:ln>
              <a:effectLst/>
            </c:spPr>
            <c:extLst>
              <c:ext xmlns:c16="http://schemas.microsoft.com/office/drawing/2014/chart" uri="{C3380CC4-5D6E-409C-BE32-E72D297353CC}">
                <c16:uniqueId val="{0000000D-45CA-4018-8A5C-C7D91A61B798}"/>
              </c:ext>
            </c:extLst>
          </c:dPt>
          <c:dPt>
            <c:idx val="23"/>
            <c:invertIfNegative val="0"/>
            <c:bubble3D val="0"/>
            <c:spPr>
              <a:solidFill>
                <a:schemeClr val="tx1"/>
              </a:solidFill>
              <a:ln>
                <a:noFill/>
              </a:ln>
              <a:effectLst/>
            </c:spPr>
            <c:extLst>
              <c:ext xmlns:c16="http://schemas.microsoft.com/office/drawing/2014/chart" uri="{C3380CC4-5D6E-409C-BE32-E72D297353CC}">
                <c16:uniqueId val="{00000015-E42F-428B-802F-3B6F8ADE344D}"/>
              </c:ext>
            </c:extLst>
          </c:dPt>
          <c:dPt>
            <c:idx val="24"/>
            <c:invertIfNegative val="0"/>
            <c:bubble3D val="0"/>
            <c:spPr>
              <a:solidFill>
                <a:schemeClr val="tx1"/>
              </a:solidFill>
              <a:ln>
                <a:noFill/>
              </a:ln>
              <a:effectLst/>
            </c:spPr>
            <c:extLst>
              <c:ext xmlns:c16="http://schemas.microsoft.com/office/drawing/2014/chart" uri="{C3380CC4-5D6E-409C-BE32-E72D297353CC}">
                <c16:uniqueId val="{0000000A-45CA-4018-8A5C-C7D91A61B798}"/>
              </c:ext>
            </c:extLst>
          </c:dPt>
          <c:dPt>
            <c:idx val="25"/>
            <c:invertIfNegative val="0"/>
            <c:bubble3D val="0"/>
            <c:spPr>
              <a:solidFill>
                <a:schemeClr val="tx1"/>
              </a:solidFill>
              <a:ln>
                <a:noFill/>
              </a:ln>
              <a:effectLst/>
            </c:spPr>
            <c:extLst>
              <c:ext xmlns:c16="http://schemas.microsoft.com/office/drawing/2014/chart" uri="{C3380CC4-5D6E-409C-BE32-E72D297353CC}">
                <c16:uniqueId val="{00000009-45CA-4018-8A5C-C7D91A61B798}"/>
              </c:ext>
            </c:extLst>
          </c:dPt>
          <c:dPt>
            <c:idx val="26"/>
            <c:invertIfNegative val="0"/>
            <c:bubble3D val="0"/>
            <c:spPr>
              <a:solidFill>
                <a:srgbClr val="C00000"/>
              </a:solidFill>
              <a:ln>
                <a:noFill/>
              </a:ln>
              <a:effectLst/>
            </c:spPr>
            <c:extLst>
              <c:ext xmlns:c16="http://schemas.microsoft.com/office/drawing/2014/chart" uri="{C3380CC4-5D6E-409C-BE32-E72D297353CC}">
                <c16:uniqueId val="{0000000B-45CA-4018-8A5C-C7D91A61B798}"/>
              </c:ext>
            </c:extLst>
          </c:dPt>
          <c:dPt>
            <c:idx val="27"/>
            <c:invertIfNegative val="0"/>
            <c:bubble3D val="0"/>
            <c:spPr>
              <a:solidFill>
                <a:srgbClr val="C00000"/>
              </a:solidFill>
              <a:ln>
                <a:noFill/>
              </a:ln>
              <a:effectLst/>
            </c:spPr>
            <c:extLst>
              <c:ext xmlns:c16="http://schemas.microsoft.com/office/drawing/2014/chart" uri="{C3380CC4-5D6E-409C-BE32-E72D297353CC}">
                <c16:uniqueId val="{00000008-45CA-4018-8A5C-C7D91A61B798}"/>
              </c:ext>
            </c:extLst>
          </c:dPt>
          <c:dPt>
            <c:idx val="28"/>
            <c:invertIfNegative val="0"/>
            <c:bubble3D val="0"/>
            <c:spPr>
              <a:solidFill>
                <a:srgbClr val="C00000"/>
              </a:solidFill>
              <a:ln>
                <a:noFill/>
              </a:ln>
              <a:effectLst/>
            </c:spPr>
            <c:extLst>
              <c:ext xmlns:c16="http://schemas.microsoft.com/office/drawing/2014/chart" uri="{C3380CC4-5D6E-409C-BE32-E72D297353CC}">
                <c16:uniqueId val="{0000000C-45CA-4018-8A5C-C7D91A61B798}"/>
              </c:ext>
            </c:extLst>
          </c:dPt>
          <c:dPt>
            <c:idx val="29"/>
            <c:invertIfNegative val="0"/>
            <c:bubble3D val="0"/>
            <c:spPr>
              <a:solidFill>
                <a:srgbClr val="C00000"/>
              </a:solidFill>
              <a:ln>
                <a:noFill/>
              </a:ln>
              <a:effectLst/>
            </c:spPr>
            <c:extLst>
              <c:ext xmlns:c16="http://schemas.microsoft.com/office/drawing/2014/chart" uri="{C3380CC4-5D6E-409C-BE32-E72D297353CC}">
                <c16:uniqueId val="{00000007-45CA-4018-8A5C-C7D91A61B798}"/>
              </c:ext>
            </c:extLst>
          </c:dPt>
          <c:dPt>
            <c:idx val="30"/>
            <c:invertIfNegative val="0"/>
            <c:bubble3D val="0"/>
            <c:spPr>
              <a:solidFill>
                <a:srgbClr val="C00000"/>
              </a:solidFill>
              <a:ln>
                <a:noFill/>
              </a:ln>
              <a:effectLst/>
            </c:spPr>
            <c:extLst>
              <c:ext xmlns:c16="http://schemas.microsoft.com/office/drawing/2014/chart" uri="{C3380CC4-5D6E-409C-BE32-E72D297353CC}">
                <c16:uniqueId val="{00000013-D68E-4191-8C49-7635405731D1}"/>
              </c:ext>
            </c:extLst>
          </c:dPt>
          <c:dPt>
            <c:idx val="31"/>
            <c:invertIfNegative val="0"/>
            <c:bubble3D val="0"/>
            <c:spPr>
              <a:solidFill>
                <a:srgbClr val="C00000"/>
              </a:solidFill>
              <a:ln>
                <a:noFill/>
              </a:ln>
              <a:effectLst/>
            </c:spPr>
            <c:extLst>
              <c:ext xmlns:c16="http://schemas.microsoft.com/office/drawing/2014/chart" uri="{C3380CC4-5D6E-409C-BE32-E72D297353CC}">
                <c16:uniqueId val="{00000017-D7E6-45C6-BD44-9DAF6A5B6F82}"/>
              </c:ext>
            </c:extLst>
          </c:dPt>
          <c:dPt>
            <c:idx val="32"/>
            <c:invertIfNegative val="0"/>
            <c:bubble3D val="0"/>
            <c:spPr>
              <a:solidFill>
                <a:srgbClr val="C00000"/>
              </a:solidFill>
              <a:ln>
                <a:noFill/>
              </a:ln>
              <a:effectLst/>
            </c:spPr>
            <c:extLst>
              <c:ext xmlns:c16="http://schemas.microsoft.com/office/drawing/2014/chart" uri="{C3380CC4-5D6E-409C-BE32-E72D297353CC}">
                <c16:uniqueId val="{00000018-D7E6-45C6-BD44-9DAF6A5B6F82}"/>
              </c:ext>
            </c:extLst>
          </c:dPt>
          <c:dPt>
            <c:idx val="33"/>
            <c:invertIfNegative val="0"/>
            <c:bubble3D val="0"/>
            <c:spPr>
              <a:solidFill>
                <a:srgbClr val="C00000"/>
              </a:solidFill>
              <a:ln>
                <a:noFill/>
              </a:ln>
              <a:effectLst/>
            </c:spPr>
            <c:extLst>
              <c:ext xmlns:c16="http://schemas.microsoft.com/office/drawing/2014/chart" uri="{C3380CC4-5D6E-409C-BE32-E72D297353CC}">
                <c16:uniqueId val="{0000001D-B20F-4A15-8DC8-56B8EB5F98BA}"/>
              </c:ext>
            </c:extLst>
          </c:dPt>
          <c:dPt>
            <c:idx val="34"/>
            <c:invertIfNegative val="0"/>
            <c:bubble3D val="0"/>
            <c:spPr>
              <a:solidFill>
                <a:srgbClr val="C00000"/>
              </a:solidFill>
              <a:ln>
                <a:noFill/>
              </a:ln>
              <a:effectLst/>
            </c:spPr>
            <c:extLst>
              <c:ext xmlns:c16="http://schemas.microsoft.com/office/drawing/2014/chart" uri="{C3380CC4-5D6E-409C-BE32-E72D297353CC}">
                <c16:uniqueId val="{0000001C-B20F-4A15-8DC8-56B8EB5F98BA}"/>
              </c:ext>
            </c:extLst>
          </c:dPt>
          <c:dPt>
            <c:idx val="35"/>
            <c:invertIfNegative val="0"/>
            <c:bubble3D val="0"/>
            <c:spPr>
              <a:solidFill>
                <a:srgbClr val="C00000"/>
              </a:solidFill>
              <a:ln>
                <a:noFill/>
              </a:ln>
              <a:effectLst/>
            </c:spPr>
            <c:extLst>
              <c:ext xmlns:c16="http://schemas.microsoft.com/office/drawing/2014/chart" uri="{C3380CC4-5D6E-409C-BE32-E72D297353CC}">
                <c16:uniqueId val="{0000001E-B20F-4A15-8DC8-56B8EB5F98BA}"/>
              </c:ext>
            </c:extLst>
          </c:dPt>
          <c:dPt>
            <c:idx val="36"/>
            <c:invertIfNegative val="0"/>
            <c:bubble3D val="0"/>
            <c:spPr>
              <a:solidFill>
                <a:srgbClr val="C00000"/>
              </a:solidFill>
              <a:ln>
                <a:noFill/>
              </a:ln>
              <a:effectLst/>
            </c:spPr>
            <c:extLst>
              <c:ext xmlns:c16="http://schemas.microsoft.com/office/drawing/2014/chart" uri="{C3380CC4-5D6E-409C-BE32-E72D297353CC}">
                <c16:uniqueId val="{0000001B-B20F-4A15-8DC8-56B8EB5F98BA}"/>
              </c:ext>
            </c:extLst>
          </c:dPt>
          <c:dPt>
            <c:idx val="37"/>
            <c:invertIfNegative val="0"/>
            <c:bubble3D val="0"/>
            <c:spPr>
              <a:solidFill>
                <a:srgbClr val="C00000"/>
              </a:solidFill>
              <a:ln>
                <a:noFill/>
              </a:ln>
              <a:effectLst/>
            </c:spPr>
            <c:extLst>
              <c:ext xmlns:c16="http://schemas.microsoft.com/office/drawing/2014/chart" uri="{C3380CC4-5D6E-409C-BE32-E72D297353CC}">
                <c16:uniqueId val="{00000023-8CC3-4E54-9960-0F980A27CEC9}"/>
              </c:ext>
            </c:extLst>
          </c:dPt>
          <c:dPt>
            <c:idx val="38"/>
            <c:invertIfNegative val="0"/>
            <c:bubble3D val="0"/>
            <c:spPr>
              <a:solidFill>
                <a:schemeClr val="bg1">
                  <a:lumMod val="50000"/>
                </a:schemeClr>
              </a:solidFill>
              <a:ln>
                <a:noFill/>
              </a:ln>
              <a:effectLst/>
            </c:spPr>
            <c:extLst>
              <c:ext xmlns:c16="http://schemas.microsoft.com/office/drawing/2014/chart" uri="{C3380CC4-5D6E-409C-BE32-E72D297353CC}">
                <c16:uniqueId val="{00000024-8CC3-4E54-9960-0F980A27CEC9}"/>
              </c:ext>
            </c:extLst>
          </c:dPt>
          <c:dLbls>
            <c:spPr>
              <a:noFill/>
              <a:ln>
                <a:noFill/>
              </a:ln>
              <a:effectLst/>
            </c:spPr>
            <c:txPr>
              <a:bodyPr rot="0" spcFirstLastPara="1" vertOverflow="ellipsis" vert="horz" wrap="square" anchor="ctr" anchorCtr="1"/>
              <a:lstStyle/>
              <a:p>
                <a:pPr>
                  <a:defRPr sz="1600" b="0" i="0" u="none" strike="noStrike" kern="1200" baseline="0">
                    <a:solidFill>
                      <a:schemeClr val="tx1">
                        <a:lumMod val="75000"/>
                        <a:lumOff val="25000"/>
                      </a:schemeClr>
                    </a:solidFill>
                    <a:latin typeface="+mn-lt"/>
                    <a:ea typeface="+mn-ea"/>
                    <a:cs typeface="+mn-cs"/>
                  </a:defRPr>
                </a:pPr>
                <a:endParaRPr lang="tr-T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'Özet Tablo'!$AC$1:$AC$24</c:f>
              <c:strCache>
                <c:ptCount val="24"/>
                <c:pt idx="0">
                  <c:v>Normal Çalışma</c:v>
                </c:pt>
                <c:pt idx="1">
                  <c:v>Kıdem Yardımı</c:v>
                </c:pt>
                <c:pt idx="2">
                  <c:v>Fazla Çalışma (% 60)</c:v>
                </c:pt>
                <c:pt idx="3">
                  <c:v>Fazla Sürelerle Çalışma (%25)</c:v>
                </c:pt>
                <c:pt idx="4">
                  <c:v>Resmi Tatillerde Çalışma (% 100)</c:v>
                </c:pt>
                <c:pt idx="5">
                  <c:v>Gece Çalışma (% 15)</c:v>
                </c:pt>
                <c:pt idx="6">
                  <c:v>Yemek Yardımı</c:v>
                </c:pt>
                <c:pt idx="7">
                  <c:v>Ulaşım Yardımı</c:v>
                </c:pt>
                <c:pt idx="8">
                  <c:v>İkramiye Yardımı</c:v>
                </c:pt>
                <c:pt idx="9">
                  <c:v>Sosyal Yardım</c:v>
                </c:pt>
                <c:pt idx="10">
                  <c:v>Yakacak Yardımı</c:v>
                </c:pt>
                <c:pt idx="11">
                  <c:v>Görev Primi</c:v>
                </c:pt>
                <c:pt idx="12">
                  <c:v>İdari Sorumluluk Primi</c:v>
                </c:pt>
                <c:pt idx="13">
                  <c:v>İş Güçlüğü Primi</c:v>
                </c:pt>
                <c:pt idx="14">
                  <c:v>İş Riski Primi</c:v>
                </c:pt>
                <c:pt idx="15">
                  <c:v>Çocuk Yardımı</c:v>
                </c:pt>
                <c:pt idx="16">
                  <c:v>Nakdi Yardımlar</c:v>
                </c:pt>
                <c:pt idx="17">
                  <c:v>Sendika Üyelik Aidatı Kesintisi</c:v>
                </c:pt>
                <c:pt idx="18">
                  <c:v>BES Kesintisi</c:v>
                </c:pt>
                <c:pt idx="19">
                  <c:v>Damga Vergisi Kesintisi</c:v>
                </c:pt>
                <c:pt idx="20">
                  <c:v>SGK Prim Kesintisi</c:v>
                </c:pt>
                <c:pt idx="21">
                  <c:v>SGK İşsizlik Primi Kesintisi</c:v>
                </c:pt>
                <c:pt idx="22">
                  <c:v>Gelir Vergisi Kesintisi</c:v>
                </c:pt>
                <c:pt idx="23">
                  <c:v>İşveren Maliyeti</c:v>
                </c:pt>
              </c:strCache>
            </c:strRef>
          </c:cat>
          <c:val>
            <c:numRef>
              <c:f>'Özet Tablo'!$AD$1:$AD$24</c:f>
              <c:numCache>
                <c:formatCode>#,##0.00\ "₺"</c:formatCode>
                <c:ptCount val="24"/>
                <c:pt idx="0">
                  <c:v>52730.197305339992</c:v>
                </c:pt>
                <c:pt idx="1">
                  <c:v>62.012896550410538</c:v>
                </c:pt>
                <c:pt idx="2">
                  <c:v>0</c:v>
                </c:pt>
                <c:pt idx="3">
                  <c:v>0</c:v>
                </c:pt>
                <c:pt idx="4">
                  <c:v>0</c:v>
                </c:pt>
                <c:pt idx="5">
                  <c:v>4159.8566862560001</c:v>
                </c:pt>
                <c:pt idx="6">
                  <c:v>6600</c:v>
                </c:pt>
                <c:pt idx="7">
                  <c:v>2539.5333333333333</c:v>
                </c:pt>
                <c:pt idx="8">
                  <c:v>8496.6773418433677</c:v>
                </c:pt>
                <c:pt idx="9">
                  <c:v>3609.0927229706917</c:v>
                </c:pt>
                <c:pt idx="10">
                  <c:v>323.81975584315336</c:v>
                </c:pt>
                <c:pt idx="11">
                  <c:v>1426.3815643499893</c:v>
                </c:pt>
                <c:pt idx="12">
                  <c:v>0</c:v>
                </c:pt>
                <c:pt idx="13">
                  <c:v>842.75124999999991</c:v>
                </c:pt>
                <c:pt idx="14">
                  <c:v>0</c:v>
                </c:pt>
                <c:pt idx="15">
                  <c:v>682.00400449999995</c:v>
                </c:pt>
                <c:pt idx="16">
                  <c:v>0</c:v>
                </c:pt>
                <c:pt idx="17">
                  <c:v>2695.645</c:v>
                </c:pt>
                <c:pt idx="18">
                  <c:v>0</c:v>
                </c:pt>
                <c:pt idx="19">
                  <c:v>632.53347451216075</c:v>
                </c:pt>
                <c:pt idx="20">
                  <c:v>16201.177114848813</c:v>
                </c:pt>
                <c:pt idx="21">
                  <c:v>1157.2269367749154</c:v>
                </c:pt>
                <c:pt idx="22">
                  <c:v>17797.918333333335</c:v>
                </c:pt>
                <c:pt idx="23">
                  <c:v>143257.42138427761</c:v>
                </c:pt>
              </c:numCache>
            </c:numRef>
          </c:val>
          <c:extLst>
            <c:ext xmlns:c16="http://schemas.microsoft.com/office/drawing/2014/chart" uri="{C3380CC4-5D6E-409C-BE32-E72D297353CC}">
              <c16:uniqueId val="{00000000-755B-478D-AB69-BF223AA4AC7C}"/>
            </c:ext>
          </c:extLst>
        </c:ser>
        <c:dLbls>
          <c:dLblPos val="outEnd"/>
          <c:showLegendKey val="0"/>
          <c:showVal val="1"/>
          <c:showCatName val="0"/>
          <c:showSerName val="0"/>
          <c:showPercent val="0"/>
          <c:showBubbleSize val="0"/>
        </c:dLbls>
        <c:gapWidth val="182"/>
        <c:axId val="552148752"/>
        <c:axId val="552147112"/>
      </c:barChart>
      <c:catAx>
        <c:axId val="55214875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tr-TR"/>
          </a:p>
        </c:txPr>
        <c:crossAx val="552147112"/>
        <c:crosses val="autoZero"/>
        <c:auto val="1"/>
        <c:lblAlgn val="ctr"/>
        <c:lblOffset val="100"/>
        <c:tickMarkSkip val="1"/>
        <c:noMultiLvlLbl val="0"/>
      </c:catAx>
      <c:valAx>
        <c:axId val="552147112"/>
        <c:scaling>
          <c:orientation val="minMax"/>
        </c:scaling>
        <c:delete val="1"/>
        <c:axPos val="t"/>
        <c:numFmt formatCode="#,##0.00\ &quot;₺&quot;" sourceLinked="1"/>
        <c:majorTickMark val="out"/>
        <c:minorTickMark val="none"/>
        <c:tickLblPos val="nextTo"/>
        <c:crossAx val="5521487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85000"/>
      </a:schemeClr>
    </a:solidFill>
    <a:ln w="9525" cap="flat" cmpd="sng" algn="ctr">
      <a:solidFill>
        <a:schemeClr val="tx1">
          <a:lumMod val="15000"/>
          <a:lumOff val="85000"/>
        </a:schemeClr>
      </a:solidFill>
      <a:round/>
    </a:ln>
    <a:effectLst/>
  </c:spPr>
  <c:txPr>
    <a:bodyPr/>
    <a:lstStyle/>
    <a:p>
      <a:pPr>
        <a:defRPr sz="1600"/>
      </a:pPr>
      <a:endParaRPr lang="tr-T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explosion val="4"/>
            <c:spPr>
              <a:solidFill>
                <a:schemeClr val="tx1"/>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1-5D9F-40F4-A256-823C9FF01F41}"/>
              </c:ext>
            </c:extLst>
          </c:dPt>
          <c:dPt>
            <c:idx val="1"/>
            <c:bubble3D val="0"/>
            <c:explosion val="5"/>
            <c:spPr>
              <a:solidFill>
                <a:srgbClr val="C00000"/>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3-5D9F-40F4-A256-823C9FF01F41}"/>
              </c:ext>
            </c:extLst>
          </c:dPt>
          <c:dLbls>
            <c:dLbl>
              <c:idx val="0"/>
              <c:layout>
                <c:manualLayout>
                  <c:x val="0"/>
                  <c:y val="-0.2727330235099843"/>
                </c:manualLayout>
              </c:layout>
              <c:tx>
                <c:rich>
                  <a:bodyPr rot="0" spcFirstLastPara="1" vertOverflow="ellipsis" vert="horz" wrap="square" lIns="0" tIns="0" rIns="0" bIns="0" anchor="ctr" anchorCtr="0">
                    <a:noAutofit/>
                  </a:bodyPr>
                  <a:lstStyle/>
                  <a:p>
                    <a:pPr lvl="1" algn="ctr" rtl="0">
                      <a:defRPr sz="2000" b="1" i="0" u="none" strike="noStrike" kern="1200" baseline="0">
                        <a:solidFill>
                          <a:sysClr val="windowText" lastClr="000000"/>
                        </a:solidFill>
                        <a:latin typeface="+mn-lt"/>
                        <a:ea typeface="+mn-ea"/>
                        <a:cs typeface="+mn-cs"/>
                      </a:defRPr>
                    </a:pPr>
                    <a:r>
                      <a:rPr lang="en-US" sz="2000" i="0" u="sng" baseline="0">
                        <a:solidFill>
                          <a:sysClr val="windowText" lastClr="000000"/>
                        </a:solidFill>
                      </a:rPr>
                      <a:t>Kazançlar</a:t>
                    </a:r>
                  </a:p>
                  <a:p>
                    <a:pPr lvl="1" algn="ctr" rtl="0">
                      <a:defRPr sz="2000" b="1" i="0" u="none" strike="noStrike" kern="1200" baseline="0">
                        <a:solidFill>
                          <a:sysClr val="windowText" lastClr="000000"/>
                        </a:solidFill>
                        <a:latin typeface="+mn-lt"/>
                        <a:ea typeface="+mn-ea"/>
                        <a:cs typeface="+mn-cs"/>
                      </a:defRPr>
                    </a:pPr>
                    <a:fld id="{18CB9E8E-A975-43C0-A56F-BEEBC923E687}" type="VALUE">
                      <a:rPr lang="en-US" sz="2000" i="0">
                        <a:solidFill>
                          <a:sysClr val="windowText" lastClr="000000"/>
                        </a:solidFill>
                      </a:rPr>
                      <a:pPr lvl="1" algn="ctr" rtl="0">
                        <a:defRPr sz="2000" b="1" i="0" u="none" strike="noStrike" kern="1200" baseline="0">
                          <a:solidFill>
                            <a:sysClr val="windowText" lastClr="000000"/>
                          </a:solidFill>
                          <a:latin typeface="+mn-lt"/>
                          <a:ea typeface="+mn-ea"/>
                          <a:cs typeface="+mn-cs"/>
                        </a:defRPr>
                      </a:pPr>
                      <a:t>[DEĞER]</a:t>
                    </a:fld>
                    <a:endParaRPr lang="en-US" sz="2000" i="0" baseline="0">
                      <a:solidFill>
                        <a:sysClr val="windowText" lastClr="000000"/>
                      </a:solidFill>
                    </a:endParaRPr>
                  </a:p>
                  <a:p>
                    <a:pPr lvl="1" algn="ctr" rtl="0">
                      <a:defRPr sz="2000" b="1" i="0" u="none" strike="noStrike" kern="1200" baseline="0">
                        <a:solidFill>
                          <a:sysClr val="windowText" lastClr="000000"/>
                        </a:solidFill>
                        <a:latin typeface="+mn-lt"/>
                        <a:ea typeface="+mn-ea"/>
                        <a:cs typeface="+mn-cs"/>
                      </a:defRPr>
                    </a:pPr>
                    <a:fld id="{ED1D6583-AC77-4CB8-8AE1-8BB6A6F10BE5}" type="PERCENTAGE">
                      <a:rPr lang="en-US" sz="2000" i="0">
                        <a:solidFill>
                          <a:sysClr val="windowText" lastClr="000000"/>
                        </a:solidFill>
                      </a:rPr>
                      <a:pPr lvl="1" algn="ctr" rtl="0">
                        <a:defRPr sz="2000" b="1" i="0" u="none" strike="noStrike" kern="1200" baseline="0">
                          <a:solidFill>
                            <a:sysClr val="windowText" lastClr="000000"/>
                          </a:solidFill>
                          <a:latin typeface="+mn-lt"/>
                          <a:ea typeface="+mn-ea"/>
                          <a:cs typeface="+mn-cs"/>
                        </a:defRPr>
                      </a:pPr>
                      <a:t>[YÜZDE]</a:t>
                    </a:fld>
                    <a:endParaRPr lang="tr-TR"/>
                  </a:p>
                </c:rich>
              </c:tx>
              <c:numFmt formatCode="%\ 0.00" sourceLinked="0"/>
              <c:spPr>
                <a:noFill/>
                <a:ln>
                  <a:noFill/>
                </a:ln>
                <a:effectLst/>
              </c:spPr>
              <c:dLblPos val="bestFit"/>
              <c:showLegendKey val="0"/>
              <c:showVal val="0"/>
              <c:showCatName val="0"/>
              <c:showSerName val="0"/>
              <c:showPercent val="1"/>
              <c:showBubbleSize val="0"/>
              <c:separator>
</c:separator>
              <c:extLst>
                <c:ext xmlns:c15="http://schemas.microsoft.com/office/drawing/2012/chart" uri="{CE6537A1-D6FC-4f65-9D91-7224C49458BB}">
                  <c15:spPr xmlns:c15="http://schemas.microsoft.com/office/drawing/2012/chart">
                    <a:prstGeom prst="rect">
                      <a:avLst/>
                    </a:prstGeom>
                  </c15:spPr>
                  <c15:layout>
                    <c:manualLayout>
                      <c:w val="1"/>
                      <c:h val="0.2"/>
                    </c:manualLayout>
                  </c15:layout>
                  <c15:dlblFieldTable/>
                  <c15:showDataLabelsRange val="0"/>
                </c:ext>
                <c:ext xmlns:c16="http://schemas.microsoft.com/office/drawing/2014/chart" uri="{C3380CC4-5D6E-409C-BE32-E72D297353CC}">
                  <c16:uniqueId val="{00000001-5D9F-40F4-A256-823C9FF01F41}"/>
                </c:ext>
              </c:extLst>
            </c:dLbl>
            <c:dLbl>
              <c:idx val="1"/>
              <c:layout>
                <c:manualLayout>
                  <c:x val="0"/>
                  <c:y val="0.28660887761598208"/>
                </c:manualLayout>
              </c:layout>
              <c:tx>
                <c:rich>
                  <a:bodyPr rot="0" spcFirstLastPara="1" vertOverflow="ellipsis" vert="horz" wrap="square" lIns="0" tIns="0" rIns="0" bIns="0" anchor="t" anchorCtr="0">
                    <a:noAutofit/>
                  </a:bodyPr>
                  <a:lstStyle/>
                  <a:p>
                    <a:pPr lvl="1" algn="ctr" rtl="0">
                      <a:defRPr sz="2000" b="1" i="0" u="none" strike="noStrike" kern="1200" baseline="0">
                        <a:solidFill>
                          <a:srgbClr val="C00000"/>
                        </a:solidFill>
                        <a:latin typeface="+mn-lt"/>
                        <a:ea typeface="+mn-ea"/>
                        <a:cs typeface="+mn-cs"/>
                      </a:defRPr>
                    </a:pPr>
                    <a:r>
                      <a:rPr lang="en-US" sz="2000" b="1" i="0" u="sng" strike="noStrike" baseline="0">
                        <a:solidFill>
                          <a:srgbClr val="C00000"/>
                        </a:solidFill>
                      </a:rPr>
                      <a:t>Kesintiler</a:t>
                    </a:r>
                    <a:br>
                      <a:rPr lang="en-US" sz="2000" b="1" i="0" u="none" strike="noStrike" baseline="0">
                        <a:solidFill>
                          <a:srgbClr val="C00000"/>
                        </a:solidFill>
                      </a:rPr>
                    </a:br>
                    <a:fld id="{D48269F3-90DB-4B96-9E27-A88140910F88}" type="VALUE">
                      <a:rPr lang="en-US" sz="2000">
                        <a:solidFill>
                          <a:srgbClr val="C00000"/>
                        </a:solidFill>
                      </a:rPr>
                      <a:pPr lvl="1" algn="ctr" rtl="0">
                        <a:defRPr sz="2000" b="1" i="0" u="none" strike="noStrike" kern="1200" baseline="0">
                          <a:solidFill>
                            <a:srgbClr val="C00000"/>
                          </a:solidFill>
                          <a:latin typeface="+mn-lt"/>
                          <a:ea typeface="+mn-ea"/>
                          <a:cs typeface="+mn-cs"/>
                        </a:defRPr>
                      </a:pPr>
                      <a:t>[DEĞER]</a:t>
                    </a:fld>
                    <a:endParaRPr lang="en-US" sz="2000" baseline="0">
                      <a:solidFill>
                        <a:srgbClr val="C00000"/>
                      </a:solidFill>
                    </a:endParaRPr>
                  </a:p>
                  <a:p>
                    <a:pPr lvl="1" algn="ctr" rtl="0">
                      <a:defRPr sz="2000" b="1" i="0" u="none" strike="noStrike" kern="1200" baseline="0">
                        <a:solidFill>
                          <a:srgbClr val="C00000"/>
                        </a:solidFill>
                        <a:latin typeface="+mn-lt"/>
                        <a:ea typeface="+mn-ea"/>
                        <a:cs typeface="+mn-cs"/>
                      </a:defRPr>
                    </a:pPr>
                    <a:fld id="{C4F91586-97B1-4B5B-B426-9B699746C01D}" type="PERCENTAGE">
                      <a:rPr lang="en-US" sz="2000">
                        <a:solidFill>
                          <a:srgbClr val="C00000"/>
                        </a:solidFill>
                      </a:rPr>
                      <a:pPr lvl="1" algn="ctr" rtl="0">
                        <a:defRPr sz="2000" b="1" i="0" u="none" strike="noStrike" kern="1200" baseline="0">
                          <a:solidFill>
                            <a:srgbClr val="C00000"/>
                          </a:solidFill>
                          <a:latin typeface="+mn-lt"/>
                          <a:ea typeface="+mn-ea"/>
                          <a:cs typeface="+mn-cs"/>
                        </a:defRPr>
                      </a:pPr>
                      <a:t>[YÜZDE]</a:t>
                    </a:fld>
                    <a:endParaRPr lang="tr-TR"/>
                  </a:p>
                </c:rich>
              </c:tx>
              <c:numFmt formatCode="%\ 0.00" sourceLinked="0"/>
              <c:spPr>
                <a:noFill/>
                <a:ln>
                  <a:noFill/>
                </a:ln>
                <a:effectLst/>
              </c:spPr>
              <c:dLblPos val="bestFit"/>
              <c:showLegendKey val="0"/>
              <c:showVal val="0"/>
              <c:showCatName val="0"/>
              <c:showSerName val="0"/>
              <c:showPercent val="1"/>
              <c:showBubbleSize val="0"/>
              <c:separator>
</c:separator>
              <c:extLst>
                <c:ext xmlns:c15="http://schemas.microsoft.com/office/drawing/2012/chart" uri="{CE6537A1-D6FC-4f65-9D91-7224C49458BB}">
                  <c15:spPr xmlns:c15="http://schemas.microsoft.com/office/drawing/2012/chart">
                    <a:prstGeom prst="rect">
                      <a:avLst/>
                    </a:prstGeom>
                  </c15:spPr>
                  <c15:layout>
                    <c:manualLayout>
                      <c:w val="1"/>
                      <c:h val="0.18251962962962964"/>
                    </c:manualLayout>
                  </c15:layout>
                  <c15:dlblFieldTable/>
                  <c15:showDataLabelsRange val="0"/>
                </c:ext>
                <c:ext xmlns:c16="http://schemas.microsoft.com/office/drawing/2014/chart" uri="{C3380CC4-5D6E-409C-BE32-E72D297353CC}">
                  <c16:uniqueId val="{00000003-5D9F-40F4-A256-823C9FF01F41}"/>
                </c:ext>
              </c:extLst>
            </c:dLbl>
            <c:numFmt formatCode="%\ 0.00" sourceLinked="0"/>
            <c:spPr>
              <a:noFill/>
              <a:ln>
                <a:noFill/>
              </a:ln>
              <a:effectLst/>
            </c:spPr>
            <c:txPr>
              <a:bodyPr rot="0" spcFirstLastPara="1" vertOverflow="ellipsis" vert="horz" wrap="square" lIns="0" tIns="0" rIns="0" bIns="0" anchor="ctr" anchorCtr="0">
                <a:spAutoFit/>
              </a:bodyPr>
              <a:lstStyle/>
              <a:p>
                <a:pPr algn="ctr">
                  <a:defRPr sz="1300" b="1" i="0" u="none" strike="noStrike" kern="1200" baseline="0">
                    <a:solidFill>
                      <a:schemeClr val="lt1"/>
                    </a:solidFill>
                    <a:latin typeface="+mn-lt"/>
                    <a:ea typeface="+mn-ea"/>
                    <a:cs typeface="+mn-cs"/>
                  </a:defRPr>
                </a:pPr>
                <a:endParaRPr lang="tr-TR"/>
              </a:p>
            </c:txPr>
            <c:dLblPos val="ctr"/>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'Özet Tablo'!$AC$25:$AC$26</c:f>
              <c:strCache>
                <c:ptCount val="2"/>
                <c:pt idx="0">
                  <c:v>Kazançlar</c:v>
                </c:pt>
                <c:pt idx="1">
                  <c:v>Kesintiler</c:v>
                </c:pt>
              </c:strCache>
            </c:strRef>
          </c:cat>
          <c:val>
            <c:numRef>
              <c:f>'Özet Tablo'!$AD$25:$AD$26</c:f>
              <c:numCache>
                <c:formatCode>#,##0.00\ "₺"</c:formatCode>
                <c:ptCount val="2"/>
                <c:pt idx="0">
                  <c:v>84483.242818024548</c:v>
                </c:pt>
                <c:pt idx="1">
                  <c:v>38484.500859466963</c:v>
                </c:pt>
              </c:numCache>
            </c:numRef>
          </c:val>
          <c:extLst>
            <c:ext xmlns:c16="http://schemas.microsoft.com/office/drawing/2014/chart" uri="{C3380CC4-5D6E-409C-BE32-E72D297353CC}">
              <c16:uniqueId val="{00000004-5D9F-40F4-A256-823C9FF01F41}"/>
            </c:ext>
          </c:extLst>
        </c:ser>
        <c:dLbls>
          <c:dLblPos val="inEnd"/>
          <c:showLegendKey val="0"/>
          <c:showVal val="1"/>
          <c:showCatName val="1"/>
          <c:showSerName val="0"/>
          <c:showPercent val="0"/>
          <c:showBubbleSize val="0"/>
          <c:showLeaderLines val="0"/>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85000"/>
      </a:schemeClr>
    </a:solidFill>
    <a:ln w="9525" cap="flat" cmpd="sng" algn="ctr">
      <a:noFill/>
      <a:round/>
    </a:ln>
    <a:effectLst/>
  </c:spPr>
  <c:txPr>
    <a:bodyPr/>
    <a:lstStyle/>
    <a:p>
      <a:pPr>
        <a:defRPr/>
      </a:pPr>
      <a:endParaRPr lang="tr-T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22</xdr:col>
      <xdr:colOff>53463</xdr:colOff>
      <xdr:row>0</xdr:row>
      <xdr:rowOff>70921</xdr:rowOff>
    </xdr:from>
    <xdr:to>
      <xdr:col>22</xdr:col>
      <xdr:colOff>7290954</xdr:colOff>
      <xdr:row>27</xdr:row>
      <xdr:rowOff>398319</xdr:rowOff>
    </xdr:to>
    <xdr:graphicFrame macro="">
      <xdr:nvGraphicFramePr>
        <xdr:cNvPr id="7" name="Grafik 6">
          <a:extLst>
            <a:ext uri="{FF2B5EF4-FFF2-40B4-BE49-F238E27FC236}">
              <a16:creationId xmlns:a16="http://schemas.microsoft.com/office/drawing/2014/main" id="{80F8C963-D5D5-4BCD-8610-182E47B88E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22</xdr:col>
      <xdr:colOff>4966692</xdr:colOff>
      <xdr:row>8</xdr:row>
      <xdr:rowOff>125886</xdr:rowOff>
    </xdr:from>
    <xdr:to>
      <xdr:col>22</xdr:col>
      <xdr:colOff>7306692</xdr:colOff>
      <xdr:row>19</xdr:row>
      <xdr:rowOff>5969</xdr:rowOff>
    </xdr:to>
    <xdr:graphicFrame macro="">
      <xdr:nvGraphicFramePr>
        <xdr:cNvPr id="3" name="Grafik 2">
          <a:extLst>
            <a:ext uri="{FF2B5EF4-FFF2-40B4-BE49-F238E27FC236}">
              <a16:creationId xmlns:a16="http://schemas.microsoft.com/office/drawing/2014/main" id="{7ADA3213-C9FB-42E9-8CD0-901898DBDF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Print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QG363"/>
  <sheetViews>
    <sheetView showGridLines="0" showRowColHeaders="0" tabSelected="1" showWhiteSpace="0" zoomScale="50" zoomScaleNormal="50" zoomScaleSheetLayoutView="40" zoomScalePageLayoutView="55" workbookViewId="0">
      <pane xSplit="2" topLeftCell="C1" activePane="topRight" state="frozen"/>
      <selection pane="topRight" sqref="A1:A14"/>
    </sheetView>
  </sheetViews>
  <sheetFormatPr defaultColWidth="0" defaultRowHeight="0" customHeight="1" zeroHeight="1" x14ac:dyDescent="0.25"/>
  <cols>
    <col min="1" max="18" width="12.7109375" style="2" customWidth="1"/>
    <col min="19" max="21" width="35.7109375" style="2" customWidth="1"/>
    <col min="22" max="22" width="12.7109375" style="2" customWidth="1"/>
    <col min="23" max="23" width="110.7109375" style="2" customWidth="1"/>
    <col min="24" max="24" width="12.7109375" style="2" customWidth="1"/>
    <col min="25" max="25" width="5.7109375" style="2" customWidth="1"/>
    <col min="26" max="26" width="80.7109375" style="2" customWidth="1"/>
    <col min="27" max="27" width="5.7109375" style="2" customWidth="1"/>
    <col min="28" max="28" width="1.7109375" style="2" customWidth="1"/>
    <col min="29" max="31" width="0.140625" style="18" customWidth="1"/>
    <col min="32" max="77" width="5.7109375" style="18" hidden="1" customWidth="1"/>
    <col min="78" max="80" width="20.7109375" style="18" hidden="1" customWidth="1"/>
    <col min="81" max="81" width="1.7109375" style="2" customWidth="1"/>
    <col min="82" max="449" width="0" style="2" hidden="1" customWidth="1"/>
    <col min="450" max="16384" width="5.7109375" style="2" hidden="1"/>
  </cols>
  <sheetData>
    <row r="1" spans="1:81" ht="39.950000000000003" customHeight="1" x14ac:dyDescent="0.25">
      <c r="A1" s="81" t="s">
        <v>84</v>
      </c>
      <c r="B1" s="82">
        <f>COUNTIF($A$1,"Güvenlik Sorumlusu")*($AH$39)
+COUNTIF($A$1,"Güvenlik Görevlisi")*($AH$40)</f>
        <v>2938.43</v>
      </c>
      <c r="C1" s="54" t="s">
        <v>87</v>
      </c>
      <c r="D1" s="54" t="s">
        <v>89</v>
      </c>
      <c r="E1" s="54" t="s">
        <v>88</v>
      </c>
      <c r="F1" s="85" t="s">
        <v>90</v>
      </c>
      <c r="G1" s="54" t="s">
        <v>99</v>
      </c>
      <c r="H1" s="54" t="s">
        <v>49</v>
      </c>
      <c r="I1" s="54" t="s">
        <v>50</v>
      </c>
      <c r="J1" s="54" t="s">
        <v>102</v>
      </c>
      <c r="K1" s="54" t="s">
        <v>66</v>
      </c>
      <c r="L1" s="54" t="s">
        <v>100</v>
      </c>
      <c r="M1" s="54" t="s">
        <v>101</v>
      </c>
      <c r="N1" s="54" t="s">
        <v>67</v>
      </c>
      <c r="O1" s="68" t="s">
        <v>51</v>
      </c>
      <c r="P1" s="69"/>
      <c r="Q1" s="70"/>
      <c r="R1" s="54" t="s">
        <v>82</v>
      </c>
      <c r="S1" s="54" t="s">
        <v>70</v>
      </c>
      <c r="T1" s="54" t="s">
        <v>96</v>
      </c>
      <c r="U1" s="55" t="s">
        <v>62</v>
      </c>
      <c r="V1" s="62" t="s">
        <v>48</v>
      </c>
      <c r="W1" s="66"/>
      <c r="X1" s="67" t="s">
        <v>37</v>
      </c>
      <c r="Y1" s="59"/>
      <c r="Z1" s="60"/>
      <c r="AA1" s="61"/>
      <c r="AB1" s="77"/>
      <c r="AC1" s="16" t="s">
        <v>28</v>
      </c>
      <c r="AD1" s="17">
        <f t="shared" ref="AD1:AD2" ca="1" si="0">IF(AE1&gt;0,AE1,AE1*-1)</f>
        <v>52730.197305339992</v>
      </c>
      <c r="AE1" s="17">
        <f ca="1">COUNTIF(V1,"Ocak")*(AT15)
+COUNTIF(V1,"Şubat")*(AT16)
+COUNTIF(V1,"Mart")*(AT17)
+COUNTIF(V1,"Nisan")*(AT18)
+COUNTIF(V1,"Mayıs")*(AT19)
+COUNTIF(V1,"Haziran")*(AT20)
+COUNTIF(V1,"Temmuz")*(AT21)
+COUNTIF(V1,"Ağustos")*(AT22)
+COUNTIF(V1,"Eylül")*(AT23)
+COUNTIF(V1,"Ekim")*(AT24)
+COUNTIF(V1,"Kasım")*(AT25)
+COUNTIF(V1,"Aralık")*(AT26)
+COUNTIF(V1,"Yıllık Toplam")*(AT27)
+COUNTIF(V1,"Yıllık Ortalama")*(AT28)</f>
        <v>52730.197305340036</v>
      </c>
      <c r="AJ1" s="19">
        <f t="shared" ref="AJ1:AJ12" si="1">(AO15/7.5*1.25*E15)</f>
        <v>0</v>
      </c>
      <c r="AK1" s="19">
        <f t="shared" ref="AK1:AK12" ca="1" si="2">(AJ1*BD44)</f>
        <v>0</v>
      </c>
      <c r="AL1" s="19">
        <f t="shared" ref="AL1:AL12" si="3">(AO15/7.5*2*F15)</f>
        <v>0</v>
      </c>
      <c r="AM1" s="19">
        <f t="shared" ref="AM1:AM12" ca="1" si="4">(AL1*BD44)</f>
        <v>0</v>
      </c>
      <c r="AN1" s="19">
        <f t="shared" ref="AN1:AN12" si="5">(AO15/7.5*0.25*G15)</f>
        <v>5886.8639999999996</v>
      </c>
      <c r="AO1" s="19">
        <f t="shared" ref="AO1:AO12" ca="1" si="6">(AN1*BD44)</f>
        <v>4208.5779422400001</v>
      </c>
      <c r="AP1" s="17">
        <f t="shared" ref="AP1:AP12" si="7">(300*H15)</f>
        <v>6600</v>
      </c>
      <c r="AQ1" s="19">
        <f t="shared" ref="AQ1:AQ12" ca="1" si="8">(AR1+AU1+AY1+AJ29+AN29)</f>
        <v>6600</v>
      </c>
      <c r="AR1" s="19">
        <f>(AP1)</f>
        <v>6600</v>
      </c>
      <c r="AS1" s="19">
        <f>(AR1)</f>
        <v>6600</v>
      </c>
      <c r="AT1" s="19">
        <f>(AR1-AS1)</f>
        <v>0</v>
      </c>
      <c r="AU1" s="19">
        <f>(AT1*0.00759*-1)</f>
        <v>0</v>
      </c>
      <c r="AV1" s="19">
        <f>(AR1)</f>
        <v>6600</v>
      </c>
      <c r="AW1" s="19">
        <f t="shared" ref="AW1:AW6" si="9">IF($AH$13*H15&gt;=AV1,AV1,$AH$13*H15)</f>
        <v>6600</v>
      </c>
      <c r="AX1" s="19">
        <f>(AV1-AW1)</f>
        <v>0</v>
      </c>
      <c r="AY1" s="19">
        <f>(AX1*0.14*-1)</f>
        <v>0</v>
      </c>
      <c r="AZ1" s="20">
        <f t="shared" ref="AZ1:AZ12" si="10">COUNTIF(O15,"Yok")*(0)
+COUNTIF(O15,"Askerlik Yardımı")*($BQ$30)
+COUNTIF(O15,"Bayram Yardımı (Kurban)")*($BQ$31)
+COUNTIF(O15,"Bayram Yardımı (Ramazan)")*($BQ$32)
+COUNTIF(O15,"Cenaze Yardımı (Anne-Baba)")*($BQ$33)
+COUNTIF(O15,"Cenaze Yardımı (Eş-Çocuk)")*($BQ$34)
+COUNTIF(O15,"Cenaze Yardımı (İşçi-İş Kazası Sonucu)")*($BQ$35)
+COUNTIF(O15,"Cenaze Yardımı (İşçi-Tabii Sebepler Sonucu)")*($BQ$36)
+COUNTIF(O15,"Doğal Afet Yardımı")*($BQ$37)
+COUNTIF(O15,"Eğitim Yardımı (Çocuk-İlköğretim)")*($BQ$38)
+COUNTIF(O15,"Eğitim Yardımı (Çocuk-Ortaöğretim)")*($BQ$39)
+COUNTIF(O15,"Eğitim Yardımı (Çocuk-Lise)")*($BQ$40)
+COUNTIF(O15,"Eğitim Yardımı (Çocuk-Yükseköğretim)")*($BQ$41)
+COUNTIF(O15,"Eğitim Yardımı (İşçi-Lise)")*($BQ$42)
+COUNTIF(O15,"Eğitim Yardımı (İşçi-Yükseköğretim)")*($BQ$43)
+COUNTIF(O15,"Evlilik Yardımı")*($BQ$44)
+COUNTIF(P15,"Yok")*(0)
+COUNTIF(P15,"Askerlik Yardımı")*($BQ$30)
+COUNTIF(P15,"Bayram Yardımı (Kurban)")*($BQ$31)
+COUNTIF(P15,"Bayram Yardımı (Ramazan)")*($BQ$32)
+COUNTIF(P15,"Cenaze Yardımı (Anne-Baba)")*($BQ$33)
+COUNTIF(P15,"Cenaze Yardımı (Eş-Çocuk)")*($BQ$34)
+COUNTIF(P15,"Cenaze Yardımı (İşçi-İş Kazası Sonucu)")*($BQ$35)
+COUNTIF(P15,"Cenaze Yardımı (İşçi-Tabii Sebepler Sonucu)")*($BQ$36)
+COUNTIF(P15,"Doğal Afet Yardımı")*($BQ$37)
+COUNTIF(P15,"Eğitim Yardımı (Çocuk-İlköğretim)")*($BQ$38)
+COUNTIF(P15,"Eğitim Yardımı (Çocuk-Ortaöğretim)")*($BQ$39)
+COUNTIF(P15,"Eğitim Yardımı (Çocuk-Lise)")*($BQ$40)
+COUNTIF(P15,"Eğitim Yardımı (Çocuk-Yükseköğretim)")*($BQ$41)
+COUNTIF(P15,"Eğitim Yardımı (İşçi-Lise)")*($BQ$42)
+COUNTIF(P15,"Eğitim Yardımı (İşçi-Yükseköğretim)")*($BQ$43)
+COUNTIF(P15,"Evlilik Yardımı")*($BQ$44)
+COUNTIF(Q15,"Yok")*(0)
+COUNTIF(Q15,"Askerlik Yardımı")*($BQ$30)
+COUNTIF(Q15,"Bayram Yardımı (Kurban)")*($BQ$31)
+COUNTIF(Q15,"Bayram Yardımı (Ramazan)")*($BQ$32)
+COUNTIF(Q15,"Cenaze Yardımı (Anne-Baba)")*($BQ$33)
+COUNTIF(Q15,"Cenaze Yardımı (Eş-Çocuk)")*($BQ$34)
+COUNTIF(Q15,"Cenaze Yardımı (İşçi-İş Kazası Sonucu)")*($BQ$35)
+COUNTIF(Q15,"Cenaze Yardımı (İşçi-Tabii Sebepler Sonucu)")*($BQ$36)
+COUNTIF(Q15,"Doğal Afet Yardımı")*($BQ$37)
+COUNTIF(Q15,"Eğitim Yardımı (Çocuk-İlköğretim)")*($BQ$38)
+COUNTIF(Q15,"Eğitim Yardımı (Çocuk-Ortaöğretim)")*($BQ$39)
+COUNTIF(Q15,"Eğitim Yardımı (Çocuk-Lise)")*($BQ$40)
+COUNTIF(Q15,"Eğitim Yardımı (Çocuk-Yükseköğretim)")*($BQ$41)
+COUNTIF(Q15,"Eğitim Yardımı (İşçi-Lise)")*($BQ$42)
+COUNTIF(Q15,"Eğitim Yardımı (İşçi-Yükseköğretim)")*($BQ$43)
+COUNTIF(Q15,"Evlilik Yardımı")*($BQ$44)</f>
        <v>0</v>
      </c>
      <c r="BA1" s="20">
        <f t="shared" ref="BA1:BA12" si="11">COUNTIF(O15,"Yok")*(0)
+COUNTIF(O15,"Askerlik Yardımı")*(0)
+COUNTIF(O15,"Bayram Yardımı (Kurban)")*(0)
+COUNTIF(O15,"Bayram Yardımı (Ramazan)")*(0)
+COUNTIF(O15,"Cenaze Yardımı (Anne-Baba)")*($BQ$33)
+COUNTIF(O15,"Cenaze Yardımı (Eş-Çocuk)")*($BQ$34)
+COUNTIF(O15,"Cenaze Yardımı (İşçi-İş Kazası Sonucu)")*($BQ$35)
+COUNTIF(O15,"Cenaze Yardımı (İşçi-Tabii Sebepler Sonucu)")*($BQ$36)
+COUNTIF(O15,"Doğal Afet Yardımı")*($BQ$37)
+COUNTIF(O15,"Eğitim Yardımı (Çocuk-İlköğretim)")*(0)
+COUNTIF(O15,"Eğitim Yardımı (Çocuk-Ortaöğretim)")*(0)
+COUNTIF(O15,"Eğitim Yardımı (Çocuk-Lise)")*(0)
+COUNTIF(O15,"Eğitim Yardımı (Çocuk-Yükseköğretim)")*(0)
+COUNTIF(O15,"Eğitim Yardımı (İşçi-Lise)")*(0)
+COUNTIF(O15,"Eğitim Yardımı (İşçi-Yükseköğretim)")*(0)
+COUNTIF(O15,"Evlilik Yardımı")*($BQ$44)
+COUNTIF(P15,"Yok")*(0)
+COUNTIF(P15,"Askerlik Yardımı")*(0)
+COUNTIF(P15,"Bayram Yardımı (Kurban)")*(0)
+COUNTIF(P15,"Bayram Yardımı (Ramazan)")*(0)
+COUNTIF(P15,"Cenaze Yardımı (Anne-Baba)")*($BQ$33)
+COUNTIF(P15,"Cenaze Yardımı (Eş-Çocuk)")*($BQ$34)
+COUNTIF(P15,"Cenaze Yardımı (İşçi-İş Kazası Sonucu)")*($BQ$35)
+COUNTIF(P15,"Cenaze Yardımı (İşçi-Tabii Sebepler Sonucu)")*($BQ$36)
+COUNTIF(P15,"Doğal Afet Yardımı")*($BQ$37)
+COUNTIF(P15,"Eğitim Yardımı (Çocuk-İlköğretim)")*(0)
+COUNTIF(P15,"Eğitim Yardımı (Çocuk-Ortaöğretim)")*(0)
+COUNTIF(P15,"Eğitim Yardımı (Çocuk-Lise)")*(0)
+COUNTIF(P15,"Eğitim Yardımı (Çocuk-Yükseköğretim)")*(0)
+COUNTIF(P15,"Eğitim Yardımı (İşçi-Lise)")*(0)
+COUNTIF(P15,"Eğitim Yardımı (İşçi-Yükseköğretim)")*(0)
+COUNTIF(P15,"Evlilik Yardımı")*($BQ$44)
+COUNTIF(Q15,"Yok")*(0)
+COUNTIF(Q15,"Askerlik Yardımı")*(0)
+COUNTIF(Q15,"Bayram Yardımı (Kurban)")*(0)
+COUNTIF(Q15,"Bayram Yardımı (Ramazan)")*(0)
+COUNTIF(Q15,"Cenaze Yardımı (Anne-Baba)")*($BQ$33)
+COUNTIF(Q15,"Cenaze Yardımı (Eş-Çocuk)")*($BQ$34)
+COUNTIF(Q15,"Cenaze Yardımı (İşçi-İş Kazası Sonucu)")*($BQ$35)
+COUNTIF(Q15,"Cenaze Yardımı (İşçi-Tabii Sebepler Sonucu)")*($BQ$36)
+COUNTIF(Q15,"Doğal Afet Yardımı")*($BQ$37)
+COUNTIF(Q15,"Eğitim Yardımı (Çocuk-İlköğretim)")*(0)
+COUNTIF(Q15,"Eğitim Yardımı (Çocuk-Ortaöğretim)")*(0)
+COUNTIF(Q15,"Eğitim Yardımı (Çocuk-Lise)")*(0)
+COUNTIF(Q15,"Eğitim Yardımı (Çocuk-Yükseköğretim)")*(0)
+COUNTIF(Q15,"Eğitim Yardımı (İşçi-Lise)")*(0)
+COUNTIF(Q15,"Eğitim Yardımı (İşçi-Yükseköğretim)")*(0)
+COUNTIF(Q15,"Evlilik Yardımı")*($BQ$44)</f>
        <v>0</v>
      </c>
      <c r="BB1" s="20">
        <f t="shared" ref="BB1:BB12" ca="1" si="12">COUNTIF(O15,"Yok")*(0)
+COUNTIF(O15,"Askerlik Yardımı")*($BQ$30*BD44)
+COUNTIF(O15,"Bayram Yardımı (Kurban)")*($BQ$31*BD44)
+COUNTIF(O15,"Bayram Yardımı (Ramazan)")*($BQ$32*BD44)
+COUNTIF(O15,"Cenaze Yardımı (Anne-Baba)")*($BQ$33-$BQ$33*0.00759)
+COUNTIF(O15,"Cenaze Yardımı (Eş-Çocuk)")*($BQ$34-$BQ$34*0.00759)
+COUNTIF(O15,"Cenaze Yardımı (İşçi-İş Kazası Sonucu)")*($BQ$35-$BQ$35*0.00759)
+COUNTIF(O15,"Cenaze Yardımı (İşçi-Tabii Sebepler Sonucu)")*($BQ$36-$BQ$36*0.00759)
+COUNTIF(O15,"Doğal Afet Yardımı")*($BQ$37-$BQ$37*0.00759)
+COUNTIF(O15,"Eğitim Yardımı (Çocuk-İlköğretim)")*($BQ$38*BD44)
+COUNTIF(O15,"Eğitim Yardımı (Çocuk-Ortaöğretim)")*($BQ$39*BD44)
+COUNTIF(O15,"Eğitim Yardımı (Çocuk-Lise)")*($BQ$40*BD44)
+COUNTIF(O15,"Eğitim Yardımı (Çocuk-Yükseköğretim)")*($BQ$41*BD44)
+COUNTIF(O15,"Eğitim Yardımı (İşçi-Lise)")*($BQ$42*BD44)
+COUNTIF(O15,"Eğitim Yardımı (İşçi-Yükseköğretim)")*($BQ$43*BD44)
+COUNTIF(O15,"Evlilik Yardımı")*($BQ$44-$BQ$44*0.00759)
+COUNTIF(P15,"Yok")*(0)
+COUNTIF(P15,"Askerlik Yardımı")*($BQ$30*BD44)
+COUNTIF(P15,"Bayram Yardımı (Kurban)")*($BQ$31*BD44)
+COUNTIF(P15,"Bayram Yardımı (Ramazan)")*($BQ$32*BD44)
+COUNTIF(P15,"Cenaze Yardımı (Anne-Baba)")*($BQ$33-$BQ$33*0.00759)
+COUNTIF(P15,"Cenaze Yardımı (Eş-Çocuk)")*($BQ$34-$BQ$34*0.00759)
+COUNTIF(P15,"Cenaze Yardımı (İşçi-İş Kazası Sonucu)")*($BQ$35-$BQ$35*0.00759)
+COUNTIF(P15,"Cenaze Yardımı (İşçi-Tabii Sebepler Sonucu)")*($BQ$36-$BQ$36*0.00759)
+COUNTIF(P15,"Doğal Afet Yardımı")*($BQ$37-$BQ$37*0.00759)
+COUNTIF(P15,"Eğitim Yardımı (Çocuk-İlköğretim)")*($BQ$38*BD44)
+COUNTIF(P15,"Eğitim Yardımı (Çocuk-Ortaöğretim)")*($BQ$39*BD44)
+COUNTIF(P15,"Eğitim Yardımı (Çocuk-Lise)")*($BQ$40*BD44)
+COUNTIF(P15,"Eğitim Yardımı (Çocuk-Yükseköğretim)")*($BQ$41*BD44)
+COUNTIF(P15,"Eğitim Yardımı (İşçi-Lise)")*($BQ$42*BD44)
+COUNTIF(P15,"Eğitim Yardımı (İşçi-Yükseköğretim)")*($BQ$43*BD44)
+COUNTIF(P15,"Evlilik Yardımı")*($BQ$44-$BQ$44*0.00759)
+COUNTIF(Q15,"Yok")*(0)
+COUNTIF(Q15,"Askerlik Yardımı")*($BQ$30*BD44)
+COUNTIF(Q15,"Bayram Yardımı (Kurban)")*($BQ$31*BD44)
+COUNTIF(Q15,"Bayram Yardımı (Ramazan)")*($BQ$32*BD44)
+COUNTIF(Q15,"Cenaze Yardımı (Anne-Baba)")*($BQ$33-$BQ$33*0.00759)
+COUNTIF(Q15,"Cenaze Yardımı (Eş-Çocuk)")*($BQ$34-$BQ$34*0.00759)
+COUNTIF(Q15,"Cenaze Yardımı (İşçi-İş Kazası Sonucu)")*($BQ$35-$BQ$35*0.00759)
+COUNTIF(Q15,"Cenaze Yardımı (İşçi-Tabii Sebepler Sonucu)")*($BQ$36-$BQ$36*0.00759)
+COUNTIF(Q15,"Doğal Afet Yardımı")*($BQ$37-$BQ$37*0.00759)
+COUNTIF(Q15,"Eğitim Yardımı (Çocuk-İlköğretim)")*($BQ$38*BD44)
+COUNTIF(Q15,"Eğitim Yardımı (Çocuk-Ortaöğretim)")*($BQ$39*BD44)
+COUNTIF(Q15,"Eğitim Yardımı (Çocuk-Lise)")*($BQ$40*BD44)
+COUNTIF(Q15,"Eğitim Yardımı (Çocuk-Yükseköğretim)")*($BQ$41*BD44)
+COUNTIF(Q15,"Eğitim Yardımı (İşçi-Lise)")*($BQ$42*BD44)
+COUNTIF(Q15,"Eğitim Yardımı (İşçi-Yükseköğretim)")*($BQ$43*BD44)
+COUNTIF(Q15,"Evlilik Yardımı")*($BQ$44-$BQ$44*0.00759)</f>
        <v>0</v>
      </c>
      <c r="BC1" s="21" t="s">
        <v>7</v>
      </c>
      <c r="BD1" s="19">
        <f t="shared" ref="BD1:BD12" si="13">COUNTIF(BC1,"Var")*(AO15*-1)</f>
        <v>-2452.86</v>
      </c>
      <c r="BE1" s="19">
        <f>(BD1*-1)</f>
        <v>2452.86</v>
      </c>
      <c r="BF1" s="19">
        <f t="shared" ref="BF1:BF12" ca="1" si="14">(AJ44)</f>
        <v>100131.45393346483</v>
      </c>
      <c r="BG1" s="19">
        <f ca="1">(BF1*0.205)</f>
        <v>20526.948056360288</v>
      </c>
      <c r="BH1" s="19">
        <f ca="1">(BF1*0.01)</f>
        <v>1001.3145393346483</v>
      </c>
      <c r="BI1" s="19">
        <f ca="1">(BF1*0.05*-1)</f>
        <v>-5006.5726966732418</v>
      </c>
      <c r="BJ1" s="19">
        <f ca="1">(BF1+BG1+BH1+BI1)</f>
        <v>116653.14383248652</v>
      </c>
      <c r="BR1" s="19">
        <f>(0)</f>
        <v>0</v>
      </c>
      <c r="BS1" s="22">
        <f>(0%)</f>
        <v>0</v>
      </c>
      <c r="CC1" s="80"/>
    </row>
    <row r="2" spans="1:81" ht="39.950000000000003" customHeight="1" x14ac:dyDescent="0.25">
      <c r="A2" s="81"/>
      <c r="B2" s="83"/>
      <c r="C2" s="54"/>
      <c r="D2" s="54"/>
      <c r="E2" s="54"/>
      <c r="F2" s="85"/>
      <c r="G2" s="54"/>
      <c r="H2" s="54"/>
      <c r="I2" s="54"/>
      <c r="J2" s="54"/>
      <c r="K2" s="54"/>
      <c r="L2" s="54"/>
      <c r="M2" s="54"/>
      <c r="N2" s="54"/>
      <c r="O2" s="71"/>
      <c r="P2" s="72"/>
      <c r="Q2" s="73"/>
      <c r="R2" s="54"/>
      <c r="S2" s="54"/>
      <c r="T2" s="54"/>
      <c r="U2" s="55"/>
      <c r="V2" s="62"/>
      <c r="W2" s="66"/>
      <c r="X2" s="67"/>
      <c r="Y2" s="56"/>
      <c r="Z2" s="58" t="str">
        <f>IF($X$1="Analık Hâli İzni",$AD$29,
IF($X$1="Annelik İzni",$AD$30,
IF($X$1="Babalık İzni",$AD$31,
IF($X$1="Cenaze İzni",$AD$32,
IF($X$1="Doğal Afet İzni",$AD$33,
IF($X$1="Engelli Çocuk İzni",$AD$34,
IF($X$1="Evlat Edinme İzni",$AD$35,
IF($X$1="Evlilik İzni",$AD$36,
IF($X$1="İş Arama İzni",$AD$37,
IF($X$1="Mazeret İzni",$AD$38,
IF($X$1="Süt İzni",$AD$39,
IF($X$1="Ücretli Sendikal İzin ve Sendika Temsilci Sayısı",$AD$40,
IF($X$1="Ücretli Yıllık İzin",$AD$41,
IF($X$1="Yol İzni",$AD$42))))))))))))))</f>
        <v>a) Hizmeti 6 ay olanlar için 0 iş günü ücretli yıllık izin verilir.
Hizmeti 1-5 yıl olanlar için 17 iş günü ücretli yıllık izin verilir.
Hizmeti 5-10 yıl olanlar için 23 iş günü ücretli yıllık izin verilir.
Hizmeti 10-15 yıl olanlar için 23 iş günü ücretli yıllık izin verilir.
Hizmeti 15 yıldan fazla olanlar için 29 iş günü ücretli yıllık izin verilir.</v>
      </c>
      <c r="AA2" s="57"/>
      <c r="AB2" s="78"/>
      <c r="AC2" s="16" t="s">
        <v>91</v>
      </c>
      <c r="AD2" s="17">
        <f t="shared" ca="1" si="0"/>
        <v>62.012896550410538</v>
      </c>
      <c r="AE2" s="17">
        <f ca="1">COUNTIF(V1,"Ocak")*(AV15)
+COUNTIF(V1,"Şubat")*(AV16)
+COUNTIF(V1,"Mart")*(AV17)
+COUNTIF(V1,"Nisan")*(AV18)
+COUNTIF(V1,"Mayıs")*(AV19)
+COUNTIF(V1,"Haziran")*(AV20)
+COUNTIF(V1,"Temmuz")*(AV21)
+COUNTIF(V1,"Ağustos")*(AV22)
+COUNTIF(V1,"Eylül")*(AV23)
+COUNTIF(V1,"Ekim")*(AV24)
+COUNTIF(V1,"Kasım")*(AV25)
+COUNTIF(V1,"Aralık")*(AV26)
+COUNTIF(V1,"Yıllık Toplam")*(AV27)
+COUNTIF(V1,"Yıllık Ortalama")*(AV28)</f>
        <v>62.012896550410595</v>
      </c>
      <c r="AF2" s="23">
        <f>(10%)</f>
        <v>0.1</v>
      </c>
      <c r="AG2" s="16" t="s">
        <v>0</v>
      </c>
      <c r="AH2" s="17">
        <f>($AH$8*$AF$2)</f>
        <v>3303</v>
      </c>
      <c r="AI2" s="17">
        <f>($AI$8*$AF$2)</f>
        <v>3303</v>
      </c>
      <c r="AJ2" s="19">
        <f t="shared" si="1"/>
        <v>0</v>
      </c>
      <c r="AK2" s="19">
        <f t="shared" ca="1" si="2"/>
        <v>0</v>
      </c>
      <c r="AL2" s="19">
        <f t="shared" si="3"/>
        <v>0</v>
      </c>
      <c r="AM2" s="19">
        <f t="shared" ca="1" si="4"/>
        <v>0</v>
      </c>
      <c r="AN2" s="19">
        <f t="shared" si="5"/>
        <v>5886.8639999999996</v>
      </c>
      <c r="AO2" s="19">
        <f t="shared" ca="1" si="6"/>
        <v>4208.5779422400001</v>
      </c>
      <c r="AP2" s="17">
        <f t="shared" si="7"/>
        <v>6600</v>
      </c>
      <c r="AQ2" s="19">
        <f t="shared" ca="1" si="8"/>
        <v>6600</v>
      </c>
      <c r="AR2" s="19">
        <f t="shared" ref="AR2:AR12" si="15">(AP2)</f>
        <v>6600</v>
      </c>
      <c r="AS2" s="19">
        <f t="shared" ref="AS2:AS12" si="16">(AR2)</f>
        <v>6600</v>
      </c>
      <c r="AT2" s="19">
        <f t="shared" ref="AT2:AT12" si="17">(AR2-AS2)</f>
        <v>0</v>
      </c>
      <c r="AU2" s="19">
        <f t="shared" ref="AU2:AU12" si="18">(AT2*0.00759*-1)</f>
        <v>0</v>
      </c>
      <c r="AV2" s="19">
        <f t="shared" ref="AV2:AV12" si="19">(AR2)</f>
        <v>6600</v>
      </c>
      <c r="AW2" s="19">
        <f t="shared" si="9"/>
        <v>6600</v>
      </c>
      <c r="AX2" s="19">
        <f t="shared" ref="AX2:AX12" si="20">(AV2-AW2)</f>
        <v>0</v>
      </c>
      <c r="AY2" s="19">
        <f t="shared" ref="AY2:AY12" si="21">(AX2*0.14*-1)</f>
        <v>0</v>
      </c>
      <c r="AZ2" s="20">
        <f t="shared" si="10"/>
        <v>0</v>
      </c>
      <c r="BA2" s="20">
        <f t="shared" si="11"/>
        <v>0</v>
      </c>
      <c r="BB2" s="20">
        <f t="shared" ca="1" si="12"/>
        <v>0</v>
      </c>
      <c r="BC2" s="21" t="s">
        <v>7</v>
      </c>
      <c r="BD2" s="19">
        <f t="shared" si="13"/>
        <v>-2452.86</v>
      </c>
      <c r="BE2" s="19">
        <f t="shared" ref="BE2:BE12" si="22">(BD2*-1)</f>
        <v>2452.86</v>
      </c>
      <c r="BF2" s="19">
        <f t="shared" ca="1" si="14"/>
        <v>92772.873933464842</v>
      </c>
      <c r="BG2" s="19">
        <f t="shared" ref="BG2:BG12" ca="1" si="23">(BF2*0.205)</f>
        <v>19018.439156360291</v>
      </c>
      <c r="BH2" s="19">
        <f t="shared" ref="BH2:BH12" ca="1" si="24">(BF2*0.01)</f>
        <v>927.72873933464848</v>
      </c>
      <c r="BI2" s="19">
        <f t="shared" ref="BI2:BI12" ca="1" si="25">(BF2*0.05*-1)</f>
        <v>-4638.6436966732426</v>
      </c>
      <c r="BJ2" s="19">
        <f t="shared" ref="BJ2:BJ12" ca="1" si="26">(BF2+BG2+BH2+BI2)</f>
        <v>108080.39813248653</v>
      </c>
      <c r="BK2" s="24">
        <v>0.15</v>
      </c>
      <c r="BL2" s="17">
        <v>0</v>
      </c>
      <c r="BM2" s="17">
        <v>190000</v>
      </c>
      <c r="BN2" s="19">
        <v>0</v>
      </c>
      <c r="BO2" s="19">
        <f t="shared" ref="BO2:BO13" si="27">(BE29+BM29+BN29-BP2)</f>
        <v>28075.5</v>
      </c>
      <c r="BP2" s="19">
        <f>(0)</f>
        <v>0</v>
      </c>
      <c r="BQ2" s="19">
        <f>(BO2-BP2)</f>
        <v>28075.5</v>
      </c>
      <c r="BR2" s="19">
        <f>SUM(BQ$2:$BQ2)</f>
        <v>28075.5</v>
      </c>
      <c r="BS2" s="22">
        <f t="shared" ref="BS2:BS13" si="28">IF(BR2&lt;=$BM$2,$BK$2,
IF(BR2&gt;$BM$4,
IF(BR2&gt;$BM$5,$BK$6,$BK$5),
IF(BR2&lt;$BM$3,$BK$3,$BK$4)))</f>
        <v>0.15</v>
      </c>
      <c r="BT2" s="21">
        <f>IF(BS2-BS1=0,0,1)</f>
        <v>1</v>
      </c>
      <c r="BU2" s="25">
        <f t="shared" ref="BU2:BU13" si="29">IF(BT2=0,BS2,(VLOOKUP($BS2,$BK$2:$BN$6,2,0)-BR1)/BQ2*BS1+(BR2-VLOOKUP($BS2,$BK$2:$BN$6,2,0))/BQ2*BS2)</f>
        <v>0.15</v>
      </c>
      <c r="BV2" s="19">
        <f>(ROUND(BQ2*BU2,2)+VLOOKUP(BS2,$BK$2:$BN$6,4,0))</f>
        <v>4211.33</v>
      </c>
      <c r="BW2" s="25">
        <f>(100+(100*0.00759*-1)+(100*0.01*-1)+(100*0.01*-1)+(100+100*0.14*-1+100*0.01*-1)*BU2*-1)/100</f>
        <v>0.84491000000000005</v>
      </c>
      <c r="BX2" s="19">
        <f t="shared" ref="BX2:BX13" si="30">BE29</f>
        <v>33030</v>
      </c>
      <c r="BY2" s="19">
        <f t="shared" ref="BY2:BY13" si="31">BE29+BH29+BM29+BN29</f>
        <v>28075.5</v>
      </c>
      <c r="BZ2" s="18">
        <v>0</v>
      </c>
      <c r="CA2" s="26">
        <v>0</v>
      </c>
      <c r="CB2" s="27">
        <v>0</v>
      </c>
      <c r="CC2" s="80"/>
    </row>
    <row r="3" spans="1:81" ht="39.950000000000003" customHeight="1" x14ac:dyDescent="0.25">
      <c r="A3" s="81"/>
      <c r="B3" s="83"/>
      <c r="C3" s="54"/>
      <c r="D3" s="54"/>
      <c r="E3" s="54"/>
      <c r="F3" s="85"/>
      <c r="G3" s="54"/>
      <c r="H3" s="54"/>
      <c r="I3" s="54"/>
      <c r="J3" s="54"/>
      <c r="K3" s="54"/>
      <c r="L3" s="54"/>
      <c r="M3" s="54"/>
      <c r="N3" s="54"/>
      <c r="O3" s="71"/>
      <c r="P3" s="72"/>
      <c r="Q3" s="73"/>
      <c r="R3" s="54"/>
      <c r="S3" s="54"/>
      <c r="T3" s="54"/>
      <c r="U3" s="55"/>
      <c r="V3" s="62"/>
      <c r="W3" s="66"/>
      <c r="X3" s="67"/>
      <c r="Y3" s="56"/>
      <c r="Z3" s="58"/>
      <c r="AA3" s="57"/>
      <c r="AB3" s="78"/>
      <c r="AC3" s="16" t="s">
        <v>92</v>
      </c>
      <c r="AD3" s="17">
        <f t="shared" ref="AD3" ca="1" si="32">IF(AE3&gt;0,AE3,AE3*-1)</f>
        <v>0</v>
      </c>
      <c r="AE3" s="17">
        <f ca="1">COUNTIF(V1,"Ocak")*(AX15)
+COUNTIF(V1,"Şubat")*(AX16)
+COUNTIF(V1,"Mart")*(AX17)
+COUNTIF(V1,"Nisan")*(AX18)
+COUNTIF(V1,"Mayıs")*(AX19)
+COUNTIF(V1,"Haziran")*(AX20)
+COUNTIF(V1,"Temmuz")*(AX21)
+COUNTIF(V1,"Ağustos")*(AX22)
+COUNTIF(V1,"Eylül")*(AX23)
+COUNTIF(V1,"Ekim")*(AX24)
+COUNTIF(V1,"Kasım")*(AX25)
+COUNTIF(V1,"Aralık")*(AX26)
+COUNTIF(V1,"Yıllık Toplam")*(AX27)
+COUNTIF(V1,"Yıllık Ortalama")*(AX28)</f>
        <v>0</v>
      </c>
      <c r="AF3" s="23">
        <f>(2%)</f>
        <v>0.02</v>
      </c>
      <c r="AG3" s="16" t="s">
        <v>0</v>
      </c>
      <c r="AH3" s="17">
        <f>($AH$8*$AF$3)</f>
        <v>660.6</v>
      </c>
      <c r="AI3" s="17">
        <f>($AI$8*$AF$3)</f>
        <v>660.6</v>
      </c>
      <c r="AJ3" s="19">
        <f t="shared" si="1"/>
        <v>0</v>
      </c>
      <c r="AK3" s="19">
        <f t="shared" ca="1" si="2"/>
        <v>0</v>
      </c>
      <c r="AL3" s="19">
        <f t="shared" si="3"/>
        <v>0</v>
      </c>
      <c r="AM3" s="19">
        <f t="shared" ca="1" si="4"/>
        <v>0</v>
      </c>
      <c r="AN3" s="19">
        <f t="shared" si="5"/>
        <v>5886.8639999999996</v>
      </c>
      <c r="AO3" s="19">
        <f t="shared" ca="1" si="6"/>
        <v>4060.735651859266</v>
      </c>
      <c r="AP3" s="17">
        <f t="shared" si="7"/>
        <v>6600</v>
      </c>
      <c r="AQ3" s="19">
        <f t="shared" ca="1" si="8"/>
        <v>6600</v>
      </c>
      <c r="AR3" s="19">
        <f t="shared" si="15"/>
        <v>6600</v>
      </c>
      <c r="AS3" s="19">
        <f t="shared" si="16"/>
        <v>6600</v>
      </c>
      <c r="AT3" s="19">
        <f t="shared" si="17"/>
        <v>0</v>
      </c>
      <c r="AU3" s="19">
        <f t="shared" si="18"/>
        <v>0</v>
      </c>
      <c r="AV3" s="19">
        <f t="shared" si="19"/>
        <v>6600</v>
      </c>
      <c r="AW3" s="19">
        <f t="shared" si="9"/>
        <v>6600</v>
      </c>
      <c r="AX3" s="19">
        <f t="shared" si="20"/>
        <v>0</v>
      </c>
      <c r="AY3" s="19">
        <f t="shared" si="21"/>
        <v>0</v>
      </c>
      <c r="AZ3" s="20">
        <f t="shared" si="10"/>
        <v>0</v>
      </c>
      <c r="BA3" s="20">
        <f t="shared" si="11"/>
        <v>0</v>
      </c>
      <c r="BB3" s="20">
        <f t="shared" ca="1" si="12"/>
        <v>0</v>
      </c>
      <c r="BC3" s="21" t="s">
        <v>7</v>
      </c>
      <c r="BD3" s="19">
        <f t="shared" si="13"/>
        <v>-2452.86</v>
      </c>
      <c r="BE3" s="19">
        <f t="shared" si="22"/>
        <v>2452.86</v>
      </c>
      <c r="BF3" s="19">
        <f t="shared" ca="1" si="14"/>
        <v>137047.52102016486</v>
      </c>
      <c r="BG3" s="19">
        <f t="shared" ca="1" si="23"/>
        <v>28094.741809133793</v>
      </c>
      <c r="BH3" s="19">
        <f t="shared" ca="1" si="24"/>
        <v>1370.4752102016487</v>
      </c>
      <c r="BI3" s="19">
        <f t="shared" ca="1" si="25"/>
        <v>-6852.3760510082429</v>
      </c>
      <c r="BJ3" s="19">
        <f t="shared" ca="1" si="26"/>
        <v>159660.36198849205</v>
      </c>
      <c r="BK3" s="24">
        <v>0.2</v>
      </c>
      <c r="BL3" s="19">
        <f>$BM$2</f>
        <v>190000</v>
      </c>
      <c r="BM3" s="17">
        <v>400000</v>
      </c>
      <c r="BN3" s="19">
        <f>(BM2-BL2)*BK2+BN2</f>
        <v>28500</v>
      </c>
      <c r="BO3" s="19">
        <f t="shared" si="27"/>
        <v>28075.5</v>
      </c>
      <c r="BP3" s="19">
        <f>(0)</f>
        <v>0</v>
      </c>
      <c r="BQ3" s="19">
        <f t="shared" ref="BQ3:BQ13" si="33">(BO3-BP3)</f>
        <v>28075.5</v>
      </c>
      <c r="BR3" s="19">
        <f>SUM(BQ$2:$BQ3)</f>
        <v>56151</v>
      </c>
      <c r="BS3" s="22">
        <f t="shared" si="28"/>
        <v>0.15</v>
      </c>
      <c r="BT3" s="21">
        <f t="shared" ref="BT3:BT13" si="34">IF(BS3-BS2=0,0,1)</f>
        <v>0</v>
      </c>
      <c r="BU3" s="25">
        <f t="shared" si="29"/>
        <v>0.15</v>
      </c>
      <c r="BV3" s="19">
        <f>(ROUND(BQ3*BU3,2))</f>
        <v>4211.33</v>
      </c>
      <c r="BW3" s="25">
        <f t="shared" ref="BW3:BW13" si="35">(100+(100*0.00759*-1)+(100*0.01*-1)+(100*0.01*-1)+(100+100*0.14*-1+100*0.01*-1)*BU3*-1)/100</f>
        <v>0.84491000000000005</v>
      </c>
      <c r="BX3" s="19">
        <f t="shared" si="30"/>
        <v>33030</v>
      </c>
      <c r="BY3" s="19">
        <f t="shared" si="31"/>
        <v>28075.5</v>
      </c>
      <c r="BZ3" s="18">
        <v>1</v>
      </c>
      <c r="CA3" s="26">
        <v>0.5</v>
      </c>
      <c r="CB3" s="27">
        <v>0.03</v>
      </c>
      <c r="CC3" s="80"/>
    </row>
    <row r="4" spans="1:81" ht="39.950000000000003" customHeight="1" x14ac:dyDescent="0.25">
      <c r="A4" s="81"/>
      <c r="B4" s="83"/>
      <c r="C4" s="54"/>
      <c r="D4" s="54"/>
      <c r="E4" s="54"/>
      <c r="F4" s="85"/>
      <c r="G4" s="54"/>
      <c r="H4" s="54"/>
      <c r="I4" s="54"/>
      <c r="J4" s="54"/>
      <c r="K4" s="54"/>
      <c r="L4" s="54"/>
      <c r="M4" s="54"/>
      <c r="N4" s="54"/>
      <c r="O4" s="71"/>
      <c r="P4" s="72"/>
      <c r="Q4" s="73"/>
      <c r="R4" s="54"/>
      <c r="S4" s="54"/>
      <c r="T4" s="54"/>
      <c r="U4" s="55"/>
      <c r="V4" s="62"/>
      <c r="W4" s="66"/>
      <c r="X4" s="67"/>
      <c r="Y4" s="56"/>
      <c r="Z4" s="58"/>
      <c r="AA4" s="57"/>
      <c r="AB4" s="78"/>
      <c r="AC4" s="16" t="s">
        <v>93</v>
      </c>
      <c r="AD4" s="17">
        <f t="shared" ref="AD4" ca="1" si="36">IF(AE4&gt;0,AE4,AE4*-1)</f>
        <v>0</v>
      </c>
      <c r="AE4" s="17">
        <f ca="1">COUNTIF(V1,"Ocak")*(AK1)
+COUNTIF(V1,"Şubat")*(AK2)
+COUNTIF(V1,"Mart")*(AK3)
+COUNTIF(V1,"Nisan")*(AK4)
+COUNTIF(V1,"Mayıs")*(AK5)
+COUNTIF(V1,"Haziran")*(AK6)
+COUNTIF(V1,"Temmuz")*(AK7)
+COUNTIF(V1,"Ağustos")*(AK8)
+COUNTIF(V1,"Eylül")*(AK9)
+COUNTIF(V1,"Ekim")*(AK10)
+COUNTIF(V1,"Kasım")*(AK11)
+COUNTIF(V1,"Aralık")*(AK12)
+COUNTIF(V1,"Yıllık Toplam")*(AK13)
+COUNTIF(V1,"Yıllık Ortalama")*(AK14)</f>
        <v>0</v>
      </c>
      <c r="AF4" s="23">
        <f>(1%)</f>
        <v>0.01</v>
      </c>
      <c r="AG4" s="16" t="s">
        <v>0</v>
      </c>
      <c r="AH4" s="17">
        <f>($AH$8*$AF$4)</f>
        <v>330.3</v>
      </c>
      <c r="AI4" s="17">
        <f>($AI$8*$AF$4)</f>
        <v>330.3</v>
      </c>
      <c r="AJ4" s="19">
        <f t="shared" si="1"/>
        <v>0</v>
      </c>
      <c r="AK4" s="19">
        <f t="shared" ca="1" si="2"/>
        <v>0</v>
      </c>
      <c r="AL4" s="19">
        <f t="shared" si="3"/>
        <v>0</v>
      </c>
      <c r="AM4" s="19">
        <f t="shared" ca="1" si="4"/>
        <v>0</v>
      </c>
      <c r="AN4" s="19">
        <f t="shared" si="5"/>
        <v>5886.8639999999996</v>
      </c>
      <c r="AO4" s="19">
        <f t="shared" ca="1" si="6"/>
        <v>3958.3862222399994</v>
      </c>
      <c r="AP4" s="17">
        <f t="shared" si="7"/>
        <v>6600</v>
      </c>
      <c r="AQ4" s="19">
        <f t="shared" ca="1" si="8"/>
        <v>6600</v>
      </c>
      <c r="AR4" s="19">
        <f t="shared" si="15"/>
        <v>6600</v>
      </c>
      <c r="AS4" s="19">
        <f t="shared" si="16"/>
        <v>6600</v>
      </c>
      <c r="AT4" s="19">
        <f t="shared" si="17"/>
        <v>0</v>
      </c>
      <c r="AU4" s="19">
        <f t="shared" si="18"/>
        <v>0</v>
      </c>
      <c r="AV4" s="19">
        <f t="shared" si="19"/>
        <v>6600</v>
      </c>
      <c r="AW4" s="19">
        <f t="shared" si="9"/>
        <v>6600</v>
      </c>
      <c r="AX4" s="19">
        <f t="shared" si="20"/>
        <v>0</v>
      </c>
      <c r="AY4" s="19">
        <f t="shared" si="21"/>
        <v>0</v>
      </c>
      <c r="AZ4" s="20">
        <f t="shared" si="10"/>
        <v>0</v>
      </c>
      <c r="BA4" s="20">
        <f t="shared" si="11"/>
        <v>0</v>
      </c>
      <c r="BB4" s="20">
        <f t="shared" ca="1" si="12"/>
        <v>0</v>
      </c>
      <c r="BC4" s="21" t="s">
        <v>7</v>
      </c>
      <c r="BD4" s="19">
        <f t="shared" si="13"/>
        <v>-2452.86</v>
      </c>
      <c r="BE4" s="19">
        <f t="shared" si="22"/>
        <v>2452.86</v>
      </c>
      <c r="BF4" s="19">
        <f t="shared" ca="1" si="14"/>
        <v>97892.417452110094</v>
      </c>
      <c r="BG4" s="19">
        <f t="shared" ca="1" si="23"/>
        <v>20067.945577682567</v>
      </c>
      <c r="BH4" s="19">
        <f t="shared" ca="1" si="24"/>
        <v>978.92417452110101</v>
      </c>
      <c r="BI4" s="19">
        <f t="shared" ca="1" si="25"/>
        <v>-4894.6208726055047</v>
      </c>
      <c r="BJ4" s="19">
        <f t="shared" ca="1" si="26"/>
        <v>114044.66633170826</v>
      </c>
      <c r="BK4" s="24">
        <v>0.27</v>
      </c>
      <c r="BL4" s="19">
        <f>$BM$3</f>
        <v>400000</v>
      </c>
      <c r="BM4" s="17">
        <v>1500000</v>
      </c>
      <c r="BN4" s="19">
        <f>(BM3-BL3)*BK3+BN3</f>
        <v>70500</v>
      </c>
      <c r="BO4" s="19">
        <f t="shared" si="27"/>
        <v>28075.5</v>
      </c>
      <c r="BP4" s="19">
        <f>(0)</f>
        <v>0</v>
      </c>
      <c r="BQ4" s="19">
        <f t="shared" si="33"/>
        <v>28075.5</v>
      </c>
      <c r="BR4" s="19">
        <f>SUM(BQ$2:$BQ4)</f>
        <v>84226.5</v>
      </c>
      <c r="BS4" s="22">
        <f t="shared" si="28"/>
        <v>0.15</v>
      </c>
      <c r="BT4" s="21">
        <f t="shared" si="34"/>
        <v>0</v>
      </c>
      <c r="BU4" s="25">
        <f t="shared" si="29"/>
        <v>0.15</v>
      </c>
      <c r="BV4" s="19">
        <f t="shared" ref="BV4:BV13" si="37">(ROUND(BQ4*BU4,2))</f>
        <v>4211.33</v>
      </c>
      <c r="BW4" s="25">
        <f t="shared" si="35"/>
        <v>0.84491000000000005</v>
      </c>
      <c r="BX4" s="19">
        <f t="shared" si="30"/>
        <v>33030</v>
      </c>
      <c r="BY4" s="19">
        <f t="shared" si="31"/>
        <v>28075.5</v>
      </c>
      <c r="BZ4" s="18">
        <v>2</v>
      </c>
      <c r="CA4" s="26">
        <v>1</v>
      </c>
      <c r="CB4" s="27">
        <v>0.04</v>
      </c>
      <c r="CC4" s="80"/>
    </row>
    <row r="5" spans="1:81" ht="39.950000000000003" customHeight="1" x14ac:dyDescent="0.25">
      <c r="A5" s="81"/>
      <c r="B5" s="83"/>
      <c r="C5" s="54"/>
      <c r="D5" s="54"/>
      <c r="E5" s="54"/>
      <c r="F5" s="85"/>
      <c r="G5" s="54"/>
      <c r="H5" s="54"/>
      <c r="I5" s="54"/>
      <c r="J5" s="54"/>
      <c r="K5" s="54"/>
      <c r="L5" s="54"/>
      <c r="M5" s="54"/>
      <c r="N5" s="54"/>
      <c r="O5" s="71"/>
      <c r="P5" s="72"/>
      <c r="Q5" s="73"/>
      <c r="R5" s="54"/>
      <c r="S5" s="54"/>
      <c r="T5" s="54"/>
      <c r="U5" s="55"/>
      <c r="V5" s="62"/>
      <c r="W5" s="66"/>
      <c r="X5" s="67"/>
      <c r="Y5" s="56"/>
      <c r="Z5" s="58"/>
      <c r="AA5" s="57"/>
      <c r="AB5" s="78"/>
      <c r="AC5" s="16" t="s">
        <v>94</v>
      </c>
      <c r="AD5" s="17">
        <f t="shared" ref="AD5:AD12" ca="1" si="38">IF(AE5&gt;0,AE5,AE5*-1)</f>
        <v>0</v>
      </c>
      <c r="AE5" s="17">
        <f ca="1">COUNTIF(V1,"Ocak")*(AM1)
+COUNTIF(V1,"Şubat")*(AM2)
+COUNTIF(V1,"Mart")*(AM3)
+COUNTIF(V1,"Nisan")*(AM4)
+COUNTIF(V1,"Mayıs")*(AM5)
+COUNTIF(V1,"Haziran")*(AM6)
+COUNTIF(V1,"Temmuz")*(AM7)
+COUNTIF(V1,"Ağustos")*(AM8)
+COUNTIF(V1,"Eylül")*(AM9)
+COUNTIF(V1,"Ekim")*(AM10)
+COUNTIF(V1,"Kasım")*(AM11)
+COUNTIF(V1,"Aralık")*(AM12)
+COUNTIF(V1,"Yıllık Toplam")*(AM13)
+COUNTIF(V1,"Yıllık Ortalama")*(AM14)</f>
        <v>0</v>
      </c>
      <c r="AF5" s="16" t="s">
        <v>0</v>
      </c>
      <c r="AG5" s="16" t="s">
        <v>0</v>
      </c>
      <c r="AH5" s="17">
        <f>($AH$16)</f>
        <v>3154.6307830000001</v>
      </c>
      <c r="AI5" s="17">
        <f>($AI$16)</f>
        <v>3581.1387760000002</v>
      </c>
      <c r="AJ5" s="19">
        <f t="shared" si="1"/>
        <v>0</v>
      </c>
      <c r="AK5" s="19">
        <f t="shared" ca="1" si="2"/>
        <v>0</v>
      </c>
      <c r="AL5" s="19">
        <f t="shared" si="3"/>
        <v>0</v>
      </c>
      <c r="AM5" s="19">
        <f t="shared" ca="1" si="4"/>
        <v>0</v>
      </c>
      <c r="AN5" s="19">
        <f t="shared" si="5"/>
        <v>5886.8639999999996</v>
      </c>
      <c r="AO5" s="19">
        <f t="shared" ca="1" si="6"/>
        <v>3939.5835715327817</v>
      </c>
      <c r="AP5" s="17">
        <f t="shared" si="7"/>
        <v>6600</v>
      </c>
      <c r="AQ5" s="19">
        <f t="shared" ca="1" si="8"/>
        <v>6600</v>
      </c>
      <c r="AR5" s="19">
        <f t="shared" si="15"/>
        <v>6600</v>
      </c>
      <c r="AS5" s="19">
        <f t="shared" si="16"/>
        <v>6600</v>
      </c>
      <c r="AT5" s="19">
        <f t="shared" si="17"/>
        <v>0</v>
      </c>
      <c r="AU5" s="19">
        <f t="shared" si="18"/>
        <v>0</v>
      </c>
      <c r="AV5" s="19">
        <f t="shared" si="19"/>
        <v>6600</v>
      </c>
      <c r="AW5" s="19">
        <f t="shared" si="9"/>
        <v>6600</v>
      </c>
      <c r="AX5" s="19">
        <f t="shared" si="20"/>
        <v>0</v>
      </c>
      <c r="AY5" s="19">
        <f t="shared" si="21"/>
        <v>0</v>
      </c>
      <c r="AZ5" s="20">
        <f t="shared" si="10"/>
        <v>0</v>
      </c>
      <c r="BA5" s="20">
        <f t="shared" si="11"/>
        <v>0</v>
      </c>
      <c r="BB5" s="20">
        <f t="shared" ca="1" si="12"/>
        <v>0</v>
      </c>
      <c r="BC5" s="21" t="s">
        <v>7</v>
      </c>
      <c r="BD5" s="19">
        <f t="shared" si="13"/>
        <v>-2452.86</v>
      </c>
      <c r="BE5" s="19">
        <f t="shared" si="22"/>
        <v>2452.86</v>
      </c>
      <c r="BF5" s="19">
        <f t="shared" ca="1" si="14"/>
        <v>100362.44414645</v>
      </c>
      <c r="BG5" s="19">
        <f t="shared" ca="1" si="23"/>
        <v>20574.301050022248</v>
      </c>
      <c r="BH5" s="19">
        <f t="shared" ca="1" si="24"/>
        <v>1003.6244414645</v>
      </c>
      <c r="BI5" s="19">
        <f t="shared" ca="1" si="25"/>
        <v>-5018.1222073224999</v>
      </c>
      <c r="BJ5" s="19">
        <f t="shared" ca="1" si="26"/>
        <v>116922.24743061425</v>
      </c>
      <c r="BK5" s="24">
        <v>0.35</v>
      </c>
      <c r="BL5" s="19">
        <f>$BM$4</f>
        <v>1500000</v>
      </c>
      <c r="BM5" s="17">
        <v>5300000</v>
      </c>
      <c r="BN5" s="19">
        <f>(BM4-BL4)*BK4+BN4</f>
        <v>367500</v>
      </c>
      <c r="BO5" s="19">
        <f t="shared" si="27"/>
        <v>28075.5</v>
      </c>
      <c r="BP5" s="19">
        <f>(0)</f>
        <v>0</v>
      </c>
      <c r="BQ5" s="19">
        <f t="shared" si="33"/>
        <v>28075.5</v>
      </c>
      <c r="BR5" s="19">
        <f>SUM(BQ$2:$BQ5)</f>
        <v>112302</v>
      </c>
      <c r="BS5" s="22">
        <f t="shared" si="28"/>
        <v>0.15</v>
      </c>
      <c r="BT5" s="21">
        <f t="shared" si="34"/>
        <v>0</v>
      </c>
      <c r="BU5" s="25">
        <f t="shared" si="29"/>
        <v>0.15</v>
      </c>
      <c r="BV5" s="19">
        <f t="shared" si="37"/>
        <v>4211.33</v>
      </c>
      <c r="BW5" s="25">
        <f t="shared" si="35"/>
        <v>0.84491000000000005</v>
      </c>
      <c r="BX5" s="19">
        <f t="shared" si="30"/>
        <v>33030</v>
      </c>
      <c r="BY5" s="19">
        <f t="shared" si="31"/>
        <v>28075.5</v>
      </c>
      <c r="BZ5" s="18">
        <v>3</v>
      </c>
      <c r="CA5" s="26">
        <v>1.5</v>
      </c>
      <c r="CB5" s="27">
        <v>0.05</v>
      </c>
      <c r="CC5" s="80"/>
    </row>
    <row r="6" spans="1:81" ht="39.950000000000003" customHeight="1" x14ac:dyDescent="0.25">
      <c r="A6" s="81"/>
      <c r="B6" s="83"/>
      <c r="C6" s="54"/>
      <c r="D6" s="54"/>
      <c r="E6" s="54"/>
      <c r="F6" s="85"/>
      <c r="G6" s="54"/>
      <c r="H6" s="54"/>
      <c r="I6" s="54"/>
      <c r="J6" s="54"/>
      <c r="K6" s="54"/>
      <c r="L6" s="54"/>
      <c r="M6" s="54"/>
      <c r="N6" s="54"/>
      <c r="O6" s="71"/>
      <c r="P6" s="72"/>
      <c r="Q6" s="73"/>
      <c r="R6" s="54"/>
      <c r="S6" s="54"/>
      <c r="T6" s="54"/>
      <c r="U6" s="55"/>
      <c r="V6" s="62"/>
      <c r="W6" s="66"/>
      <c r="X6" s="67"/>
      <c r="Y6" s="56"/>
      <c r="Z6" s="58"/>
      <c r="AA6" s="57"/>
      <c r="AB6" s="78"/>
      <c r="AC6" s="16" t="s">
        <v>95</v>
      </c>
      <c r="AD6" s="17">
        <f t="shared" ca="1" si="38"/>
        <v>4159.8566862560001</v>
      </c>
      <c r="AE6" s="19">
        <f ca="1">COUNTIF(V1,"Ocak")*(AO1)
+COUNTIF(V1,"Şubat")*(AO2)
+COUNTIF(V1,"Mart")*(AO3)
+COUNTIF(V1,"Nisan")*(AO4)
+COUNTIF(V1,"Mayıs")*(AO5)
+COUNTIF(V1,"Haziran")*(AO6)
+COUNTIF(V1,"Temmuz")*(AO7)
+COUNTIF(V1,"Ağustos")*(AO8)
+COUNTIF(V1,"Eylül")*(AO9)
+COUNTIF(V1,"Ekim")*(AO10)
+COUNTIF(V1,"Kasım")*(AO11)
+COUNTIF(V1,"Aralık")*(AO12)
+COUNTIF(V1,"Yıllık Toplam")*(AO13)
+COUNTIF(V1,"Yıllık Ortalama")*(AO14)</f>
        <v>4159.8566862560047</v>
      </c>
      <c r="AF6" s="16" t="s">
        <v>0</v>
      </c>
      <c r="AG6" s="16" t="s">
        <v>0</v>
      </c>
      <c r="AH6" s="17">
        <f>($AH$17)</f>
        <v>693.93550000000005</v>
      </c>
      <c r="AI6" s="17">
        <f>($AI$17)</f>
        <v>787.75599999999997</v>
      </c>
      <c r="AJ6" s="19">
        <f t="shared" si="1"/>
        <v>0</v>
      </c>
      <c r="AK6" s="19">
        <f t="shared" ca="1" si="2"/>
        <v>0</v>
      </c>
      <c r="AL6" s="19">
        <f t="shared" si="3"/>
        <v>0</v>
      </c>
      <c r="AM6" s="19">
        <f t="shared" ca="1" si="4"/>
        <v>0</v>
      </c>
      <c r="AN6" s="19">
        <f t="shared" si="5"/>
        <v>5886.8639999999996</v>
      </c>
      <c r="AO6" s="19">
        <f t="shared" ca="1" si="6"/>
        <v>3608.1178142399995</v>
      </c>
      <c r="AP6" s="17">
        <f t="shared" si="7"/>
        <v>6600</v>
      </c>
      <c r="AQ6" s="19">
        <f t="shared" ca="1" si="8"/>
        <v>6600</v>
      </c>
      <c r="AR6" s="19">
        <f t="shared" si="15"/>
        <v>6600</v>
      </c>
      <c r="AS6" s="19">
        <f t="shared" si="16"/>
        <v>6600</v>
      </c>
      <c r="AT6" s="19">
        <f t="shared" si="17"/>
        <v>0</v>
      </c>
      <c r="AU6" s="19">
        <f t="shared" si="18"/>
        <v>0</v>
      </c>
      <c r="AV6" s="19">
        <f t="shared" si="19"/>
        <v>6600</v>
      </c>
      <c r="AW6" s="19">
        <f t="shared" si="9"/>
        <v>6600</v>
      </c>
      <c r="AX6" s="19">
        <f t="shared" si="20"/>
        <v>0</v>
      </c>
      <c r="AY6" s="19">
        <f t="shared" si="21"/>
        <v>0</v>
      </c>
      <c r="AZ6" s="20">
        <f t="shared" si="10"/>
        <v>0</v>
      </c>
      <c r="BA6" s="20">
        <f t="shared" si="11"/>
        <v>0</v>
      </c>
      <c r="BB6" s="20">
        <f t="shared" ca="1" si="12"/>
        <v>0</v>
      </c>
      <c r="BC6" s="21" t="s">
        <v>7</v>
      </c>
      <c r="BD6" s="19">
        <f t="shared" si="13"/>
        <v>-2452.86</v>
      </c>
      <c r="BE6" s="19">
        <f t="shared" si="22"/>
        <v>2452.86</v>
      </c>
      <c r="BF6" s="19">
        <f t="shared" ca="1" si="14"/>
        <v>135034.48845666304</v>
      </c>
      <c r="BG6" s="19">
        <f t="shared" ca="1" si="23"/>
        <v>27682.070133615922</v>
      </c>
      <c r="BH6" s="19">
        <f t="shared" ca="1" si="24"/>
        <v>1350.3448845666303</v>
      </c>
      <c r="BI6" s="19">
        <f t="shared" ca="1" si="25"/>
        <v>-6751.7244228331519</v>
      </c>
      <c r="BJ6" s="19">
        <f t="shared" ca="1" si="26"/>
        <v>157315.17905201245</v>
      </c>
      <c r="BK6" s="24">
        <v>0.4</v>
      </c>
      <c r="BL6" s="28">
        <f>$BM$5</f>
        <v>5300000</v>
      </c>
      <c r="BM6" s="19">
        <v>999999999</v>
      </c>
      <c r="BN6" s="19">
        <f>(BM5-BL5)*BK5+BN5</f>
        <v>1697500</v>
      </c>
      <c r="BO6" s="19">
        <f t="shared" si="27"/>
        <v>28075.5</v>
      </c>
      <c r="BP6" s="19">
        <f>(0)</f>
        <v>0</v>
      </c>
      <c r="BQ6" s="19">
        <f t="shared" si="33"/>
        <v>28075.5</v>
      </c>
      <c r="BR6" s="19">
        <f>SUM(BQ$2:$BQ6)</f>
        <v>140377.5</v>
      </c>
      <c r="BS6" s="22">
        <f t="shared" si="28"/>
        <v>0.15</v>
      </c>
      <c r="BT6" s="21">
        <f t="shared" si="34"/>
        <v>0</v>
      </c>
      <c r="BU6" s="25">
        <f t="shared" si="29"/>
        <v>0.15</v>
      </c>
      <c r="BV6" s="19">
        <f t="shared" si="37"/>
        <v>4211.33</v>
      </c>
      <c r="BW6" s="25">
        <f t="shared" si="35"/>
        <v>0.84491000000000005</v>
      </c>
      <c r="BX6" s="19">
        <f t="shared" si="30"/>
        <v>33030</v>
      </c>
      <c r="BY6" s="19">
        <f t="shared" si="31"/>
        <v>28075.5</v>
      </c>
      <c r="BZ6" s="18">
        <v>4</v>
      </c>
      <c r="CA6" s="26">
        <v>2</v>
      </c>
      <c r="CB6" s="27">
        <v>0.06</v>
      </c>
      <c r="CC6" s="80"/>
    </row>
    <row r="7" spans="1:81" ht="39.950000000000003" customHeight="1" x14ac:dyDescent="0.25">
      <c r="A7" s="81"/>
      <c r="B7" s="83"/>
      <c r="C7" s="54"/>
      <c r="D7" s="54"/>
      <c r="E7" s="54"/>
      <c r="F7" s="85"/>
      <c r="G7" s="54"/>
      <c r="H7" s="54"/>
      <c r="I7" s="54"/>
      <c r="J7" s="54"/>
      <c r="K7" s="54"/>
      <c r="L7" s="54"/>
      <c r="M7" s="54"/>
      <c r="N7" s="54"/>
      <c r="O7" s="71"/>
      <c r="P7" s="72"/>
      <c r="Q7" s="73"/>
      <c r="R7" s="54"/>
      <c r="S7" s="54"/>
      <c r="T7" s="54"/>
      <c r="U7" s="55"/>
      <c r="V7" s="62"/>
      <c r="W7" s="66"/>
      <c r="X7" s="67"/>
      <c r="Y7" s="56"/>
      <c r="Z7" s="58"/>
      <c r="AA7" s="57"/>
      <c r="AB7" s="78"/>
      <c r="AC7" s="16" t="s">
        <v>5</v>
      </c>
      <c r="AD7" s="17">
        <f t="shared" ca="1" si="38"/>
        <v>6600</v>
      </c>
      <c r="AE7" s="17">
        <f ca="1">COUNTIF(V1,"Ocak")*(AQ1)
+COUNTIF(V1,"Şubat")*(AQ2)
+COUNTIF(V1,"Mart")*(AQ3)
+COUNTIF(V1,"Nisan")*(AQ4)
+COUNTIF(V1,"Mayıs")*(AQ5)
+COUNTIF(V1,"Haziran")*(AQ6)
+COUNTIF(V1,"Temmuz")*(AQ7)
+COUNTIF(V1,"Ağustos")*(AQ8)
+COUNTIF(V1,"Eylül")*(AQ9)
+COUNTIF(V1,"Ekim")*(AQ10)
+COUNTIF(V1,"Kasım")*(AQ11)
+COUNTIF(V1,"Aralık")*(AQ12)
+COUNTIF(V1,"Yıllık Toplam")*(AQ13)
+COUNTIF(V1,"Yıllık Ortalama")*(AQ14)</f>
        <v>6600</v>
      </c>
      <c r="AF7" s="16" t="s">
        <v>0</v>
      </c>
      <c r="AG7" s="16" t="s">
        <v>0</v>
      </c>
      <c r="AH7" s="17">
        <f>($AH$18)</f>
        <v>346.96775000000002</v>
      </c>
      <c r="AI7" s="17">
        <f>($AI$18)</f>
        <v>393.87799999999999</v>
      </c>
      <c r="AJ7" s="19">
        <f t="shared" si="1"/>
        <v>0</v>
      </c>
      <c r="AK7" s="19">
        <f t="shared" ca="1" si="2"/>
        <v>0</v>
      </c>
      <c r="AL7" s="19">
        <f t="shared" si="3"/>
        <v>0</v>
      </c>
      <c r="AM7" s="19">
        <f t="shared" ca="1" si="4"/>
        <v>0</v>
      </c>
      <c r="AN7" s="19">
        <f t="shared" si="5"/>
        <v>7052.232</v>
      </c>
      <c r="AO7" s="19">
        <f t="shared" ca="1" si="6"/>
        <v>4322.3835151200001</v>
      </c>
      <c r="AP7" s="17">
        <f t="shared" si="7"/>
        <v>6600</v>
      </c>
      <c r="AQ7" s="19">
        <f t="shared" ca="1" si="8"/>
        <v>6600</v>
      </c>
      <c r="AR7" s="19">
        <f t="shared" si="15"/>
        <v>6600</v>
      </c>
      <c r="AS7" s="19">
        <f t="shared" si="16"/>
        <v>6600</v>
      </c>
      <c r="AT7" s="19">
        <f t="shared" si="17"/>
        <v>0</v>
      </c>
      <c r="AU7" s="19">
        <f t="shared" si="18"/>
        <v>0</v>
      </c>
      <c r="AV7" s="19">
        <f t="shared" si="19"/>
        <v>6600</v>
      </c>
      <c r="AW7" s="19">
        <f t="shared" ref="AW7:AW12" si="39">IF($AI$13*H21&gt;=AV7,AV7,$AI$13*H21)</f>
        <v>6600</v>
      </c>
      <c r="AX7" s="19">
        <f t="shared" si="20"/>
        <v>0</v>
      </c>
      <c r="AY7" s="19">
        <f t="shared" si="21"/>
        <v>0</v>
      </c>
      <c r="AZ7" s="20">
        <f t="shared" si="10"/>
        <v>0</v>
      </c>
      <c r="BA7" s="20">
        <f t="shared" si="11"/>
        <v>0</v>
      </c>
      <c r="BB7" s="20">
        <f t="shared" ca="1" si="12"/>
        <v>0</v>
      </c>
      <c r="BC7" s="21" t="s">
        <v>7</v>
      </c>
      <c r="BD7" s="19">
        <f t="shared" si="13"/>
        <v>-2938.43</v>
      </c>
      <c r="BE7" s="19">
        <f t="shared" si="22"/>
        <v>2938.43</v>
      </c>
      <c r="BF7" s="19">
        <f t="shared" ca="1" si="14"/>
        <v>121682.61419793009</v>
      </c>
      <c r="BG7" s="19">
        <f t="shared" ca="1" si="23"/>
        <v>24944.935910575667</v>
      </c>
      <c r="BH7" s="19">
        <f t="shared" ca="1" si="24"/>
        <v>1216.8261419793009</v>
      </c>
      <c r="BI7" s="19">
        <f t="shared" ca="1" si="25"/>
        <v>-6084.1307098965044</v>
      </c>
      <c r="BJ7" s="19">
        <f t="shared" ca="1" si="26"/>
        <v>141760.24554058857</v>
      </c>
      <c r="BK7" s="19" t="s">
        <v>0</v>
      </c>
      <c r="BL7" s="19" t="s">
        <v>0</v>
      </c>
      <c r="BM7" s="19" t="s">
        <v>0</v>
      </c>
      <c r="BN7" s="19" t="s">
        <v>0</v>
      </c>
      <c r="BO7" s="19">
        <f t="shared" si="27"/>
        <v>28075.5</v>
      </c>
      <c r="BP7" s="19">
        <f>(0)</f>
        <v>0</v>
      </c>
      <c r="BQ7" s="19">
        <f t="shared" si="33"/>
        <v>28075.5</v>
      </c>
      <c r="BR7" s="19">
        <f>SUM(BQ$2:$BQ7)</f>
        <v>168453</v>
      </c>
      <c r="BS7" s="22">
        <f t="shared" si="28"/>
        <v>0.15</v>
      </c>
      <c r="BT7" s="21">
        <f t="shared" si="34"/>
        <v>0</v>
      </c>
      <c r="BU7" s="25">
        <f t="shared" si="29"/>
        <v>0.15</v>
      </c>
      <c r="BV7" s="19">
        <f t="shared" si="37"/>
        <v>4211.33</v>
      </c>
      <c r="BW7" s="25">
        <f t="shared" si="35"/>
        <v>0.84491000000000005</v>
      </c>
      <c r="BX7" s="19">
        <f t="shared" si="30"/>
        <v>33030</v>
      </c>
      <c r="BY7" s="19">
        <f t="shared" si="31"/>
        <v>28075.5</v>
      </c>
      <c r="BZ7" s="18">
        <v>5</v>
      </c>
      <c r="CA7" s="26">
        <v>2.5</v>
      </c>
      <c r="CB7" s="27">
        <v>7.0000000000000007E-2</v>
      </c>
      <c r="CC7" s="80"/>
    </row>
    <row r="8" spans="1:81" ht="39.950000000000003" customHeight="1" x14ac:dyDescent="0.25">
      <c r="A8" s="81"/>
      <c r="B8" s="83"/>
      <c r="C8" s="54"/>
      <c r="D8" s="54"/>
      <c r="E8" s="54"/>
      <c r="F8" s="85"/>
      <c r="G8" s="54"/>
      <c r="H8" s="54"/>
      <c r="I8" s="54"/>
      <c r="J8" s="54"/>
      <c r="K8" s="54"/>
      <c r="L8" s="54"/>
      <c r="M8" s="54"/>
      <c r="N8" s="54"/>
      <c r="O8" s="71"/>
      <c r="P8" s="72"/>
      <c r="Q8" s="73"/>
      <c r="R8" s="54"/>
      <c r="S8" s="54"/>
      <c r="T8" s="54"/>
      <c r="U8" s="55"/>
      <c r="V8" s="62"/>
      <c r="W8" s="66"/>
      <c r="X8" s="67"/>
      <c r="Y8" s="56"/>
      <c r="Z8" s="58"/>
      <c r="AA8" s="57"/>
      <c r="AB8" s="78"/>
      <c r="AC8" s="16" t="s">
        <v>27</v>
      </c>
      <c r="AD8" s="17">
        <f t="shared" si="38"/>
        <v>2539.5333333333333</v>
      </c>
      <c r="AE8" s="17">
        <f>COUNTIF(V1,"Ocak")*(AP29)
+COUNTIF(V1,"Şubat")*(AP30)
+COUNTIF(V1,"Mart")*(AP31)
+COUNTIF(V1,"Nisan")*(AP32)
+COUNTIF(V1,"Mayıs")*(AP33)
+COUNTIF(V1,"Haziran")*(AP34)
+COUNTIF(V1,"Temmuz")*(AP35)
+COUNTIF(V1,"Ağustos")*(AP36)
+COUNTIF(V1,"Eylül")*(AP37)
+COUNTIF(V1,"Ekim")*(AP38)
+COUNTIF(V1,"Kasım")*(AP39)
+COUNTIF(V1,"Aralık")*(AP40)
+COUNTIF(V1,"Yıllık Toplam")*(AP41)
+COUNTIF(V1,"Yıllık Ortalama")*(AP42)</f>
        <v>2539.5333333333333</v>
      </c>
      <c r="AF8" s="17" t="s">
        <v>0</v>
      </c>
      <c r="AG8" s="16" t="s">
        <v>0</v>
      </c>
      <c r="AH8" s="17">
        <v>33030</v>
      </c>
      <c r="AI8" s="17">
        <v>33030</v>
      </c>
      <c r="AJ8" s="19">
        <f t="shared" si="1"/>
        <v>0</v>
      </c>
      <c r="AK8" s="19">
        <f t="shared" ca="1" si="2"/>
        <v>0</v>
      </c>
      <c r="AL8" s="19">
        <f t="shared" si="3"/>
        <v>0</v>
      </c>
      <c r="AM8" s="19">
        <f t="shared" ca="1" si="4"/>
        <v>0</v>
      </c>
      <c r="AN8" s="19">
        <f t="shared" si="5"/>
        <v>7052.232</v>
      </c>
      <c r="AO8" s="19">
        <f t="shared" ca="1" si="6"/>
        <v>4322.3835151200001</v>
      </c>
      <c r="AP8" s="17">
        <f t="shared" si="7"/>
        <v>6600</v>
      </c>
      <c r="AQ8" s="19">
        <f t="shared" ca="1" si="8"/>
        <v>6600</v>
      </c>
      <c r="AR8" s="19">
        <f t="shared" si="15"/>
        <v>6600</v>
      </c>
      <c r="AS8" s="19">
        <f t="shared" si="16"/>
        <v>6600</v>
      </c>
      <c r="AT8" s="19">
        <f t="shared" si="17"/>
        <v>0</v>
      </c>
      <c r="AU8" s="19">
        <f t="shared" si="18"/>
        <v>0</v>
      </c>
      <c r="AV8" s="19">
        <f t="shared" si="19"/>
        <v>6600</v>
      </c>
      <c r="AW8" s="19">
        <f t="shared" si="39"/>
        <v>6600</v>
      </c>
      <c r="AX8" s="19">
        <f t="shared" si="20"/>
        <v>0</v>
      </c>
      <c r="AY8" s="19">
        <f t="shared" si="21"/>
        <v>0</v>
      </c>
      <c r="AZ8" s="20">
        <f t="shared" si="10"/>
        <v>0</v>
      </c>
      <c r="BA8" s="20">
        <f t="shared" si="11"/>
        <v>0</v>
      </c>
      <c r="BB8" s="20">
        <f t="shared" ca="1" si="12"/>
        <v>0</v>
      </c>
      <c r="BC8" s="21" t="s">
        <v>7</v>
      </c>
      <c r="BD8" s="19">
        <f t="shared" si="13"/>
        <v>-2938.43</v>
      </c>
      <c r="BE8" s="19">
        <f t="shared" si="22"/>
        <v>2938.43</v>
      </c>
      <c r="BF8" s="19">
        <f t="shared" ca="1" si="14"/>
        <v>121682.61419793009</v>
      </c>
      <c r="BG8" s="19">
        <f t="shared" ca="1" si="23"/>
        <v>24944.935910575667</v>
      </c>
      <c r="BH8" s="19">
        <f t="shared" ca="1" si="24"/>
        <v>1216.8261419793009</v>
      </c>
      <c r="BI8" s="19">
        <f t="shared" ca="1" si="25"/>
        <v>-6084.1307098965044</v>
      </c>
      <c r="BJ8" s="19">
        <f t="shared" ca="1" si="26"/>
        <v>141760.24554058857</v>
      </c>
      <c r="BK8" s="19" t="s">
        <v>0</v>
      </c>
      <c r="BL8" s="19" t="s">
        <v>0</v>
      </c>
      <c r="BM8" s="19" t="s">
        <v>0</v>
      </c>
      <c r="BN8" s="19" t="s">
        <v>0</v>
      </c>
      <c r="BO8" s="19">
        <f t="shared" si="27"/>
        <v>28075.5</v>
      </c>
      <c r="BP8" s="19">
        <f>(0)</f>
        <v>0</v>
      </c>
      <c r="BQ8" s="19">
        <f t="shared" si="33"/>
        <v>28075.5</v>
      </c>
      <c r="BR8" s="19">
        <f>SUM(BQ$2:$BQ8)</f>
        <v>196528.5</v>
      </c>
      <c r="BS8" s="22">
        <f t="shared" si="28"/>
        <v>0.2</v>
      </c>
      <c r="BT8" s="21">
        <f t="shared" si="34"/>
        <v>1</v>
      </c>
      <c r="BU8" s="25">
        <f t="shared" si="29"/>
        <v>0.16162668518815337</v>
      </c>
      <c r="BV8" s="19">
        <f t="shared" si="37"/>
        <v>4537.75</v>
      </c>
      <c r="BW8" s="25">
        <f t="shared" si="35"/>
        <v>0.83502731759006965</v>
      </c>
      <c r="BX8" s="19">
        <f t="shared" si="30"/>
        <v>33030</v>
      </c>
      <c r="BY8" s="19">
        <f t="shared" si="31"/>
        <v>28075.5</v>
      </c>
      <c r="BZ8" s="18">
        <v>6</v>
      </c>
      <c r="CA8" s="26">
        <v>3</v>
      </c>
      <c r="CB8" s="27">
        <v>0.08</v>
      </c>
      <c r="CC8" s="80"/>
    </row>
    <row r="9" spans="1:81" ht="39.950000000000003" customHeight="1" x14ac:dyDescent="0.25">
      <c r="A9" s="81"/>
      <c r="B9" s="83"/>
      <c r="C9" s="54"/>
      <c r="D9" s="54"/>
      <c r="E9" s="54"/>
      <c r="F9" s="85"/>
      <c r="G9" s="54"/>
      <c r="H9" s="54"/>
      <c r="I9" s="54"/>
      <c r="J9" s="54"/>
      <c r="K9" s="54"/>
      <c r="L9" s="54"/>
      <c r="M9" s="54"/>
      <c r="N9" s="54"/>
      <c r="O9" s="71"/>
      <c r="P9" s="72"/>
      <c r="Q9" s="73"/>
      <c r="R9" s="54"/>
      <c r="S9" s="54"/>
      <c r="T9" s="54"/>
      <c r="U9" s="55"/>
      <c r="V9" s="62"/>
      <c r="W9" s="66"/>
      <c r="X9" s="67"/>
      <c r="Y9" s="56"/>
      <c r="Z9" s="58"/>
      <c r="AA9" s="57"/>
      <c r="AB9" s="78"/>
      <c r="AC9" s="16" t="s">
        <v>32</v>
      </c>
      <c r="AD9" s="17">
        <f t="shared" ca="1" si="38"/>
        <v>8496.6773418433677</v>
      </c>
      <c r="AE9" s="17">
        <f ca="1">COUNTIF(V1,"Ocak")*(AS29)
+COUNTIF(V1,"Şubat")*(AS30)
+COUNTIF(V1,"Mart")*(AS31)
+COUNTIF(V1,"Nisan")*(AS32)
+COUNTIF(V1,"Mayıs")*(AS33)
+COUNTIF(V1,"Haziran")*(AS34)
+COUNTIF(V1,"Temmuz")*(AS35)
+COUNTIF(V1,"Ağustos")*(AS36)
+COUNTIF(V1,"Eylül")*(AS37)
+COUNTIF(V1,"Ekim")*(AS38)
+COUNTIF(V1,"Kasım")*(AS39)
+COUNTIF(V1,"Aralık")*(AS40)
+COUNTIF(V1,"Yıllık Toplam")*(AS41)
+COUNTIF(V1,"Yıllık Ortalama")*(AS42)</f>
        <v>8496.6773418433677</v>
      </c>
      <c r="AF9" s="17" t="s">
        <v>0</v>
      </c>
      <c r="AG9" s="16" t="s">
        <v>0</v>
      </c>
      <c r="AH9" s="17">
        <v>0</v>
      </c>
      <c r="AI9" s="17">
        <v>0</v>
      </c>
      <c r="AJ9" s="19">
        <f t="shared" si="1"/>
        <v>0</v>
      </c>
      <c r="AK9" s="19">
        <f t="shared" ca="1" si="2"/>
        <v>0</v>
      </c>
      <c r="AL9" s="19">
        <f t="shared" si="3"/>
        <v>0</v>
      </c>
      <c r="AM9" s="19">
        <f t="shared" ca="1" si="4"/>
        <v>0</v>
      </c>
      <c r="AN9" s="19">
        <f t="shared" si="5"/>
        <v>7052.232</v>
      </c>
      <c r="AO9" s="19">
        <f t="shared" ca="1" si="6"/>
        <v>4322.3835151200001</v>
      </c>
      <c r="AP9" s="17">
        <f t="shared" si="7"/>
        <v>6600</v>
      </c>
      <c r="AQ9" s="19">
        <f t="shared" ca="1" si="8"/>
        <v>6600</v>
      </c>
      <c r="AR9" s="19">
        <f t="shared" si="15"/>
        <v>6600</v>
      </c>
      <c r="AS9" s="19">
        <f t="shared" si="16"/>
        <v>6600</v>
      </c>
      <c r="AT9" s="19">
        <f t="shared" si="17"/>
        <v>0</v>
      </c>
      <c r="AU9" s="19">
        <f t="shared" si="18"/>
        <v>0</v>
      </c>
      <c r="AV9" s="19">
        <f t="shared" si="19"/>
        <v>6600</v>
      </c>
      <c r="AW9" s="19">
        <f t="shared" si="39"/>
        <v>6600</v>
      </c>
      <c r="AX9" s="19">
        <f t="shared" si="20"/>
        <v>0</v>
      </c>
      <c r="AY9" s="19">
        <f t="shared" si="21"/>
        <v>0</v>
      </c>
      <c r="AZ9" s="20">
        <f t="shared" si="10"/>
        <v>0</v>
      </c>
      <c r="BA9" s="20">
        <f t="shared" si="11"/>
        <v>0</v>
      </c>
      <c r="BB9" s="20">
        <f t="shared" ca="1" si="12"/>
        <v>0</v>
      </c>
      <c r="BC9" s="21" t="s">
        <v>7</v>
      </c>
      <c r="BD9" s="19">
        <f t="shared" si="13"/>
        <v>-2938.43</v>
      </c>
      <c r="BE9" s="19">
        <f t="shared" si="22"/>
        <v>2938.43</v>
      </c>
      <c r="BF9" s="19">
        <f t="shared" ca="1" si="14"/>
        <v>162820.63419793005</v>
      </c>
      <c r="BG9" s="19">
        <f t="shared" ca="1" si="23"/>
        <v>33378.230010575659</v>
      </c>
      <c r="BH9" s="19">
        <f t="shared" ca="1" si="24"/>
        <v>1628.2063419793005</v>
      </c>
      <c r="BI9" s="19">
        <f t="shared" ca="1" si="25"/>
        <v>-8141.0317098965024</v>
      </c>
      <c r="BJ9" s="19">
        <f t="shared" ca="1" si="26"/>
        <v>189686.03884058853</v>
      </c>
      <c r="BK9" s="19" t="s">
        <v>0</v>
      </c>
      <c r="BL9" s="19" t="s">
        <v>0</v>
      </c>
      <c r="BM9" s="19" t="s">
        <v>0</v>
      </c>
      <c r="BN9" s="19" t="s">
        <v>0</v>
      </c>
      <c r="BO9" s="19">
        <f t="shared" si="27"/>
        <v>28075.5</v>
      </c>
      <c r="BP9" s="19">
        <f>(0)</f>
        <v>0</v>
      </c>
      <c r="BQ9" s="19">
        <f t="shared" si="33"/>
        <v>28075.5</v>
      </c>
      <c r="BR9" s="19">
        <f>SUM(BQ$2:$BQ9)</f>
        <v>224604</v>
      </c>
      <c r="BS9" s="22">
        <f t="shared" si="28"/>
        <v>0.2</v>
      </c>
      <c r="BT9" s="21">
        <f t="shared" si="34"/>
        <v>0</v>
      </c>
      <c r="BU9" s="25">
        <f t="shared" si="29"/>
        <v>0.2</v>
      </c>
      <c r="BV9" s="19">
        <f t="shared" si="37"/>
        <v>5615.1</v>
      </c>
      <c r="BW9" s="25">
        <f t="shared" si="35"/>
        <v>0.80240999999999996</v>
      </c>
      <c r="BX9" s="19">
        <f t="shared" si="30"/>
        <v>33030</v>
      </c>
      <c r="BY9" s="19">
        <f t="shared" si="31"/>
        <v>28075.5</v>
      </c>
      <c r="BZ9" s="18">
        <v>7</v>
      </c>
      <c r="CA9" s="26">
        <v>3.5</v>
      </c>
      <c r="CB9" s="27">
        <v>0.09</v>
      </c>
      <c r="CC9" s="80"/>
    </row>
    <row r="10" spans="1:81" ht="39.950000000000003" customHeight="1" x14ac:dyDescent="0.25">
      <c r="A10" s="81"/>
      <c r="B10" s="83"/>
      <c r="C10" s="54"/>
      <c r="D10" s="54"/>
      <c r="E10" s="54"/>
      <c r="F10" s="85"/>
      <c r="G10" s="54"/>
      <c r="H10" s="54"/>
      <c r="I10" s="54"/>
      <c r="J10" s="54"/>
      <c r="K10" s="54"/>
      <c r="L10" s="54"/>
      <c r="M10" s="54"/>
      <c r="N10" s="54"/>
      <c r="O10" s="71"/>
      <c r="P10" s="72"/>
      <c r="Q10" s="73"/>
      <c r="R10" s="54"/>
      <c r="S10" s="54"/>
      <c r="T10" s="54"/>
      <c r="U10" s="55"/>
      <c r="V10" s="62"/>
      <c r="W10" s="66"/>
      <c r="X10" s="67"/>
      <c r="Y10" s="56"/>
      <c r="Z10" s="58"/>
      <c r="AA10" s="57"/>
      <c r="AB10" s="78"/>
      <c r="AC10" s="16" t="s">
        <v>85</v>
      </c>
      <c r="AD10" s="17">
        <f t="shared" ca="1" si="38"/>
        <v>3609.0927229706917</v>
      </c>
      <c r="AE10" s="17">
        <f ca="1">COUNTIF(V1,"Ocak")*(AV29)
+COUNTIF(V1,"Şubat")*(AV30)
+COUNTIF(V1,"Mart")*(AV31)
+COUNTIF(V1,"Nisan")*(AV32)
+COUNTIF(V1,"Mayıs")*(AV33)
+COUNTIF(V1,"Haziran")*(AV34)
+COUNTIF(V1,"Temmuz")*(AV35)
+COUNTIF(V1,"Ağustos")*(AV36)
+COUNTIF(V1,"Eylül")*(AV37)
+COUNTIF(V1,"Ekim")*(AV38)
+COUNTIF(V1,"Kasım")*(AV39)
+COUNTIF(V1,"Aralık")*(AV40)
+COUNTIF(V1,"Yıllık Toplam")*(AV41)
+COUNTIF(V1,"Yıllık Ortalama")*(AV42)</f>
        <v>3609.0927229706954</v>
      </c>
      <c r="AF10" s="17" t="s">
        <v>0</v>
      </c>
      <c r="AG10" s="16" t="s">
        <v>0</v>
      </c>
      <c r="AH10" s="17">
        <v>158</v>
      </c>
      <c r="AI10" s="17">
        <v>158</v>
      </c>
      <c r="AJ10" s="19">
        <f t="shared" si="1"/>
        <v>0</v>
      </c>
      <c r="AK10" s="19">
        <f t="shared" ca="1" si="2"/>
        <v>0</v>
      </c>
      <c r="AL10" s="19">
        <f t="shared" si="3"/>
        <v>0</v>
      </c>
      <c r="AM10" s="19">
        <f t="shared" ca="1" si="4"/>
        <v>0</v>
      </c>
      <c r="AN10" s="19">
        <f t="shared" si="5"/>
        <v>7052.232</v>
      </c>
      <c r="AO10" s="19">
        <f t="shared" ca="1" si="6"/>
        <v>4322.3835151200001</v>
      </c>
      <c r="AP10" s="17">
        <f t="shared" si="7"/>
        <v>6600</v>
      </c>
      <c r="AQ10" s="19">
        <f t="shared" ca="1" si="8"/>
        <v>6600</v>
      </c>
      <c r="AR10" s="19">
        <f t="shared" si="15"/>
        <v>6600</v>
      </c>
      <c r="AS10" s="19">
        <f t="shared" si="16"/>
        <v>6600</v>
      </c>
      <c r="AT10" s="19">
        <f t="shared" si="17"/>
        <v>0</v>
      </c>
      <c r="AU10" s="19">
        <f t="shared" si="18"/>
        <v>0</v>
      </c>
      <c r="AV10" s="19">
        <f t="shared" si="19"/>
        <v>6600</v>
      </c>
      <c r="AW10" s="19">
        <f t="shared" si="39"/>
        <v>6600</v>
      </c>
      <c r="AX10" s="19">
        <f t="shared" si="20"/>
        <v>0</v>
      </c>
      <c r="AY10" s="19">
        <f t="shared" si="21"/>
        <v>0</v>
      </c>
      <c r="AZ10" s="20">
        <f t="shared" si="10"/>
        <v>0</v>
      </c>
      <c r="BA10" s="20">
        <f t="shared" si="11"/>
        <v>0</v>
      </c>
      <c r="BB10" s="20">
        <f t="shared" ca="1" si="12"/>
        <v>0</v>
      </c>
      <c r="BC10" s="21" t="s">
        <v>7</v>
      </c>
      <c r="BD10" s="19">
        <f t="shared" si="13"/>
        <v>-2938.43</v>
      </c>
      <c r="BE10" s="19">
        <f t="shared" si="22"/>
        <v>2938.43</v>
      </c>
      <c r="BF10" s="19">
        <f t="shared" ca="1" si="14"/>
        <v>121682.61419793009</v>
      </c>
      <c r="BG10" s="19">
        <f t="shared" ca="1" si="23"/>
        <v>24944.935910575667</v>
      </c>
      <c r="BH10" s="19">
        <f t="shared" ca="1" si="24"/>
        <v>1216.8261419793009</v>
      </c>
      <c r="BI10" s="19">
        <f t="shared" ca="1" si="25"/>
        <v>-6084.1307098965044</v>
      </c>
      <c r="BJ10" s="19">
        <f t="shared" ca="1" si="26"/>
        <v>141760.24554058857</v>
      </c>
      <c r="BK10" s="19" t="s">
        <v>0</v>
      </c>
      <c r="BL10" s="19" t="s">
        <v>0</v>
      </c>
      <c r="BM10" s="19" t="s">
        <v>0</v>
      </c>
      <c r="BN10" s="19" t="s">
        <v>0</v>
      </c>
      <c r="BO10" s="19">
        <f t="shared" si="27"/>
        <v>28075.5</v>
      </c>
      <c r="BP10" s="19">
        <f>(0)</f>
        <v>0</v>
      </c>
      <c r="BQ10" s="19">
        <f t="shared" si="33"/>
        <v>28075.5</v>
      </c>
      <c r="BR10" s="19">
        <f>SUM(BQ$2:$BQ10)</f>
        <v>252679.5</v>
      </c>
      <c r="BS10" s="22">
        <f t="shared" si="28"/>
        <v>0.2</v>
      </c>
      <c r="BT10" s="21">
        <f t="shared" si="34"/>
        <v>0</v>
      </c>
      <c r="BU10" s="25">
        <f t="shared" si="29"/>
        <v>0.2</v>
      </c>
      <c r="BV10" s="19">
        <f t="shared" si="37"/>
        <v>5615.1</v>
      </c>
      <c r="BW10" s="25">
        <f t="shared" si="35"/>
        <v>0.80240999999999996</v>
      </c>
      <c r="BX10" s="19">
        <f t="shared" si="30"/>
        <v>33030</v>
      </c>
      <c r="BY10" s="19">
        <f t="shared" si="31"/>
        <v>28075.5</v>
      </c>
      <c r="BZ10" s="18">
        <v>8</v>
      </c>
      <c r="CA10" s="26">
        <v>4</v>
      </c>
      <c r="CB10" s="27">
        <v>0.1</v>
      </c>
      <c r="CC10" s="80"/>
    </row>
    <row r="11" spans="1:81" ht="39.950000000000003" customHeight="1" x14ac:dyDescent="0.25">
      <c r="A11" s="81"/>
      <c r="B11" s="83"/>
      <c r="C11" s="54"/>
      <c r="D11" s="54"/>
      <c r="E11" s="54"/>
      <c r="F11" s="85"/>
      <c r="G11" s="54"/>
      <c r="H11" s="54"/>
      <c r="I11" s="54"/>
      <c r="J11" s="54"/>
      <c r="K11" s="54"/>
      <c r="L11" s="54"/>
      <c r="M11" s="54"/>
      <c r="N11" s="54"/>
      <c r="O11" s="71"/>
      <c r="P11" s="72"/>
      <c r="Q11" s="73"/>
      <c r="R11" s="54"/>
      <c r="S11" s="54"/>
      <c r="T11" s="54"/>
      <c r="U11" s="55"/>
      <c r="V11" s="62"/>
      <c r="W11" s="66"/>
      <c r="X11" s="67"/>
      <c r="Y11" s="56"/>
      <c r="Z11" s="58"/>
      <c r="AA11" s="57"/>
      <c r="AB11" s="78"/>
      <c r="AC11" s="16" t="s">
        <v>71</v>
      </c>
      <c r="AD11" s="17">
        <f t="shared" ca="1" si="38"/>
        <v>323.81975584315336</v>
      </c>
      <c r="AE11" s="17">
        <f ca="1">COUNTIF(V1,"Ocak")*(AY29)
+COUNTIF(V1,"Şubat")*(AY30)
+COUNTIF(V1,"Mart")*(AY31)
+COUNTIF(V1,"Nisan")*(AY32)
+COUNTIF(V1,"Mayıs")*(AY33)
+COUNTIF(V1,"Haziran")*(AY34)
+COUNTIF(V1,"Temmuz")*(AY35)
+COUNTIF(V1,"Ağustos")*(AY36)
+COUNTIF(V1,"Eylül")*(AY37)
+COUNTIF(V1,"Ekim")*(AY38)
+COUNTIF(V1,"Kasım")*(AY39)
+COUNTIF(V1,"Aralık")*(AY40)
+COUNTIF(V1,"Yıllık Toplam")*(AY41)
+COUNTIF(V1,"Yıllık Ortalama")*(AY42)</f>
        <v>323.81975584315325</v>
      </c>
      <c r="AF11" s="17" t="s">
        <v>0</v>
      </c>
      <c r="AG11" s="16" t="s">
        <v>0</v>
      </c>
      <c r="AH11" s="17">
        <v>1000</v>
      </c>
      <c r="AI11" s="17">
        <v>1000</v>
      </c>
      <c r="AJ11" s="19">
        <f t="shared" si="1"/>
        <v>0</v>
      </c>
      <c r="AK11" s="19">
        <f t="shared" ca="1" si="2"/>
        <v>0</v>
      </c>
      <c r="AL11" s="19">
        <f t="shared" si="3"/>
        <v>0</v>
      </c>
      <c r="AM11" s="19">
        <f t="shared" ca="1" si="4"/>
        <v>0</v>
      </c>
      <c r="AN11" s="19">
        <f t="shared" si="5"/>
        <v>7052.232</v>
      </c>
      <c r="AO11" s="19">
        <f t="shared" ca="1" si="6"/>
        <v>4322.3835151200001</v>
      </c>
      <c r="AP11" s="17">
        <f t="shared" si="7"/>
        <v>6600</v>
      </c>
      <c r="AQ11" s="19">
        <f t="shared" ca="1" si="8"/>
        <v>6600</v>
      </c>
      <c r="AR11" s="19">
        <f t="shared" si="15"/>
        <v>6600</v>
      </c>
      <c r="AS11" s="19">
        <f t="shared" si="16"/>
        <v>6600</v>
      </c>
      <c r="AT11" s="19">
        <f t="shared" si="17"/>
        <v>0</v>
      </c>
      <c r="AU11" s="19">
        <f t="shared" si="18"/>
        <v>0</v>
      </c>
      <c r="AV11" s="19">
        <f t="shared" si="19"/>
        <v>6600</v>
      </c>
      <c r="AW11" s="19">
        <f t="shared" si="39"/>
        <v>6600</v>
      </c>
      <c r="AX11" s="19">
        <f t="shared" si="20"/>
        <v>0</v>
      </c>
      <c r="AY11" s="19">
        <f t="shared" si="21"/>
        <v>0</v>
      </c>
      <c r="AZ11" s="20">
        <f t="shared" si="10"/>
        <v>0</v>
      </c>
      <c r="BA11" s="20">
        <f t="shared" si="11"/>
        <v>0</v>
      </c>
      <c r="BB11" s="20">
        <f t="shared" ca="1" si="12"/>
        <v>0</v>
      </c>
      <c r="BC11" s="21" t="s">
        <v>7</v>
      </c>
      <c r="BD11" s="19">
        <f t="shared" si="13"/>
        <v>-2938.43</v>
      </c>
      <c r="BE11" s="19">
        <f t="shared" si="22"/>
        <v>2938.43</v>
      </c>
      <c r="BF11" s="19">
        <f t="shared" ca="1" si="14"/>
        <v>118744.18419793008</v>
      </c>
      <c r="BG11" s="19">
        <f t="shared" ca="1" si="23"/>
        <v>24342.557760575666</v>
      </c>
      <c r="BH11" s="19">
        <f t="shared" ca="1" si="24"/>
        <v>1187.4418419793008</v>
      </c>
      <c r="BI11" s="19">
        <f t="shared" ca="1" si="25"/>
        <v>-5937.209209896504</v>
      </c>
      <c r="BJ11" s="19">
        <f t="shared" ca="1" si="26"/>
        <v>138336.97459058854</v>
      </c>
      <c r="BK11" s="19" t="s">
        <v>0</v>
      </c>
      <c r="BL11" s="19" t="s">
        <v>0</v>
      </c>
      <c r="BM11" s="19" t="s">
        <v>0</v>
      </c>
      <c r="BN11" s="19" t="s">
        <v>0</v>
      </c>
      <c r="BO11" s="19">
        <f t="shared" si="27"/>
        <v>28075.5</v>
      </c>
      <c r="BP11" s="19">
        <f>(0)</f>
        <v>0</v>
      </c>
      <c r="BQ11" s="19">
        <f t="shared" si="33"/>
        <v>28075.5</v>
      </c>
      <c r="BR11" s="19">
        <f>SUM(BQ$2:$BQ11)</f>
        <v>280755</v>
      </c>
      <c r="BS11" s="22">
        <f t="shared" si="28"/>
        <v>0.2</v>
      </c>
      <c r="BT11" s="21">
        <f t="shared" si="34"/>
        <v>0</v>
      </c>
      <c r="BU11" s="25">
        <f t="shared" si="29"/>
        <v>0.2</v>
      </c>
      <c r="BV11" s="19">
        <f t="shared" si="37"/>
        <v>5615.1</v>
      </c>
      <c r="BW11" s="25">
        <f t="shared" si="35"/>
        <v>0.80240999999999996</v>
      </c>
      <c r="BX11" s="19">
        <f t="shared" si="30"/>
        <v>33030</v>
      </c>
      <c r="BY11" s="19">
        <f t="shared" si="31"/>
        <v>28075.5</v>
      </c>
      <c r="BZ11" s="18">
        <v>9</v>
      </c>
      <c r="CA11" s="26">
        <v>4.5</v>
      </c>
      <c r="CB11" s="27">
        <v>0.11</v>
      </c>
      <c r="CC11" s="80"/>
    </row>
    <row r="12" spans="1:81" ht="39.950000000000003" customHeight="1" x14ac:dyDescent="0.25">
      <c r="A12" s="81"/>
      <c r="B12" s="83"/>
      <c r="C12" s="54"/>
      <c r="D12" s="54"/>
      <c r="E12" s="54"/>
      <c r="F12" s="85"/>
      <c r="G12" s="54"/>
      <c r="H12" s="54"/>
      <c r="I12" s="54"/>
      <c r="J12" s="54"/>
      <c r="K12" s="54"/>
      <c r="L12" s="54"/>
      <c r="M12" s="54"/>
      <c r="N12" s="54"/>
      <c r="O12" s="71"/>
      <c r="P12" s="72"/>
      <c r="Q12" s="73"/>
      <c r="R12" s="54"/>
      <c r="S12" s="54"/>
      <c r="T12" s="54"/>
      <c r="U12" s="55"/>
      <c r="V12" s="62"/>
      <c r="W12" s="66"/>
      <c r="X12" s="67"/>
      <c r="Y12" s="56"/>
      <c r="Z12" s="58"/>
      <c r="AA12" s="57"/>
      <c r="AB12" s="78"/>
      <c r="AC12" s="16" t="s">
        <v>103</v>
      </c>
      <c r="AD12" s="17">
        <f t="shared" ca="1" si="38"/>
        <v>1426.3815643499893</v>
      </c>
      <c r="AE12" s="17">
        <f ca="1">COUNTIF(V1,"Ocak")*(AZ15)
+COUNTIF(V1,"Şubat")*(AZ16)
+COUNTIF(V1,"Mart")*(AZ17)
+COUNTIF(V1,"Nisan")*(AZ18)
+COUNTIF(V1,"Mayıs")*(AZ19)
+COUNTIF(V1,"Haziran")*(AZ20)
+COUNTIF(V1,"Temmuz")*(AZ21)
+COUNTIF(V1,"Ağustos")*(AZ22)
+COUNTIF(V1,"Eylül")*(AZ23)
+COUNTIF(V1,"Ekim")*(AZ24)
+COUNTIF(V1,"Kasım")*(AZ25)
+COUNTIF(V1,"Aralık")*(AZ26)
+COUNTIF(V1,"Yıllık Toplam")*(AZ27)
+COUNTIF(V1,"Yıllık Ortalama")*(AZ28)</f>
        <v>1426.3815643499909</v>
      </c>
      <c r="AF12" s="17" t="s">
        <v>0</v>
      </c>
      <c r="AG12" s="16" t="s">
        <v>0</v>
      </c>
      <c r="AH12" s="17">
        <v>1000</v>
      </c>
      <c r="AI12" s="17">
        <v>1000</v>
      </c>
      <c r="AJ12" s="19">
        <f t="shared" si="1"/>
        <v>0</v>
      </c>
      <c r="AK12" s="19">
        <f t="shared" ca="1" si="2"/>
        <v>0</v>
      </c>
      <c r="AL12" s="19">
        <f t="shared" si="3"/>
        <v>0</v>
      </c>
      <c r="AM12" s="19">
        <f t="shared" ca="1" si="4"/>
        <v>0</v>
      </c>
      <c r="AN12" s="19">
        <f t="shared" si="5"/>
        <v>7052.232</v>
      </c>
      <c r="AO12" s="19">
        <f t="shared" ca="1" si="6"/>
        <v>4322.3835151200001</v>
      </c>
      <c r="AP12" s="17">
        <f t="shared" si="7"/>
        <v>6600</v>
      </c>
      <c r="AQ12" s="19">
        <f t="shared" ca="1" si="8"/>
        <v>6600</v>
      </c>
      <c r="AR12" s="19">
        <f t="shared" si="15"/>
        <v>6600</v>
      </c>
      <c r="AS12" s="19">
        <f t="shared" si="16"/>
        <v>6600</v>
      </c>
      <c r="AT12" s="19">
        <f t="shared" si="17"/>
        <v>0</v>
      </c>
      <c r="AU12" s="19">
        <f t="shared" si="18"/>
        <v>0</v>
      </c>
      <c r="AV12" s="19">
        <f t="shared" si="19"/>
        <v>6600</v>
      </c>
      <c r="AW12" s="19">
        <f t="shared" si="39"/>
        <v>6600</v>
      </c>
      <c r="AX12" s="19">
        <f t="shared" si="20"/>
        <v>0</v>
      </c>
      <c r="AY12" s="19">
        <f t="shared" si="21"/>
        <v>0</v>
      </c>
      <c r="AZ12" s="20">
        <f t="shared" si="10"/>
        <v>0</v>
      </c>
      <c r="BA12" s="20">
        <f t="shared" si="11"/>
        <v>0</v>
      </c>
      <c r="BB12" s="20">
        <f t="shared" ca="1" si="12"/>
        <v>0</v>
      </c>
      <c r="BC12" s="21" t="s">
        <v>7</v>
      </c>
      <c r="BD12" s="19">
        <f t="shared" si="13"/>
        <v>-2938.43</v>
      </c>
      <c r="BE12" s="19">
        <f t="shared" si="22"/>
        <v>2938.43</v>
      </c>
      <c r="BF12" s="19">
        <f t="shared" ca="1" si="14"/>
        <v>165759.06419793007</v>
      </c>
      <c r="BG12" s="19">
        <f t="shared" ca="1" si="23"/>
        <v>33980.608160575663</v>
      </c>
      <c r="BH12" s="19">
        <f t="shared" ca="1" si="24"/>
        <v>1657.5906419793007</v>
      </c>
      <c r="BI12" s="19">
        <f t="shared" ca="1" si="25"/>
        <v>-8287.9532098965046</v>
      </c>
      <c r="BJ12" s="19">
        <f t="shared" ca="1" si="26"/>
        <v>193109.30979058851</v>
      </c>
      <c r="BK12" s="19" t="s">
        <v>0</v>
      </c>
      <c r="BL12" s="19" t="s">
        <v>0</v>
      </c>
      <c r="BM12" s="19" t="s">
        <v>0</v>
      </c>
      <c r="BN12" s="19" t="s">
        <v>0</v>
      </c>
      <c r="BO12" s="19">
        <f t="shared" si="27"/>
        <v>28075.5</v>
      </c>
      <c r="BP12" s="19">
        <f>(0)</f>
        <v>0</v>
      </c>
      <c r="BQ12" s="19">
        <f t="shared" si="33"/>
        <v>28075.5</v>
      </c>
      <c r="BR12" s="19">
        <f>SUM(BQ$2:$BQ12)</f>
        <v>308830.5</v>
      </c>
      <c r="BS12" s="22">
        <f t="shared" si="28"/>
        <v>0.2</v>
      </c>
      <c r="BT12" s="21">
        <f t="shared" si="34"/>
        <v>0</v>
      </c>
      <c r="BU12" s="25">
        <f t="shared" si="29"/>
        <v>0.2</v>
      </c>
      <c r="BV12" s="19">
        <f t="shared" si="37"/>
        <v>5615.1</v>
      </c>
      <c r="BW12" s="25">
        <f t="shared" si="35"/>
        <v>0.80240999999999996</v>
      </c>
      <c r="BX12" s="19">
        <f t="shared" si="30"/>
        <v>33030</v>
      </c>
      <c r="BY12" s="19">
        <f t="shared" si="31"/>
        <v>28075.5</v>
      </c>
      <c r="BZ12" s="18">
        <v>10</v>
      </c>
      <c r="CA12" s="26">
        <v>5</v>
      </c>
      <c r="CB12" s="27">
        <v>0.12</v>
      </c>
      <c r="CC12" s="80"/>
    </row>
    <row r="13" spans="1:81" ht="39.950000000000003" customHeight="1" x14ac:dyDescent="0.25">
      <c r="A13" s="81"/>
      <c r="B13" s="83"/>
      <c r="C13" s="54"/>
      <c r="D13" s="54"/>
      <c r="E13" s="54"/>
      <c r="F13" s="85"/>
      <c r="G13" s="54"/>
      <c r="H13" s="54"/>
      <c r="I13" s="54"/>
      <c r="J13" s="54"/>
      <c r="K13" s="54"/>
      <c r="L13" s="54"/>
      <c r="M13" s="54"/>
      <c r="N13" s="54"/>
      <c r="O13" s="71"/>
      <c r="P13" s="72"/>
      <c r="Q13" s="73"/>
      <c r="R13" s="54"/>
      <c r="S13" s="54"/>
      <c r="T13" s="54"/>
      <c r="U13" s="55"/>
      <c r="V13" s="62"/>
      <c r="W13" s="66"/>
      <c r="X13" s="67"/>
      <c r="Y13" s="56"/>
      <c r="Z13" s="58"/>
      <c r="AA13" s="57"/>
      <c r="AB13" s="78"/>
      <c r="AC13" s="16" t="s">
        <v>72</v>
      </c>
      <c r="AD13" s="17">
        <f ca="1">IF(AE13&gt;0,AE13,AE13*-1)</f>
        <v>0</v>
      </c>
      <c r="AE13" s="17">
        <f ca="1">COUNTIF(V1,"Ocak")*(BB15)
+COUNTIF(V1,"Şubat")*(BB16)
+COUNTIF(V1,"Mart")*(BB17)
+COUNTIF(V1,"Nisan")*(BB18)
+COUNTIF(V1,"Mayıs")*(BB19)
+COUNTIF(V1,"Haziran")*(BB20)
+COUNTIF(V1,"Temmuz")*(BB21)
+COUNTIF(V1,"Ağustos")*(BB22)
+COUNTIF(V1,"Eylül")*(BB23)
+COUNTIF(V1,"Ekim")*(BB24)
+COUNTIF(V1,"Kasım")*(BB25)
+COUNTIF(V1,"Aralık")*(BB26)
+COUNTIF(V1,"Yıllık Toplam")*(BB27)
+COUNTIF(V1,"Yıllık Ortalama")*(BB28)</f>
        <v>0</v>
      </c>
      <c r="AF13" s="23">
        <f>(23.65%)</f>
        <v>0.23649999999999999</v>
      </c>
      <c r="AG13" s="16" t="s">
        <v>0</v>
      </c>
      <c r="AH13" s="17">
        <v>300</v>
      </c>
      <c r="AI13" s="17">
        <v>300</v>
      </c>
      <c r="AJ13" s="19">
        <f t="shared" ref="AJ13:AK13" si="40">(AJ1+AJ2+AJ3+AJ4+AJ5+AJ6+AJ7+AJ8+AJ9+AJ10+AJ11+AJ12)</f>
        <v>0</v>
      </c>
      <c r="AK13" s="19">
        <f t="shared" ca="1" si="40"/>
        <v>0</v>
      </c>
      <c r="AL13" s="19">
        <f t="shared" ref="AL13:AM13" si="41">(AL1+AL2+AL3+AL4+AL5+AL6+AL7+AL8+AL9+AL10+AL11+AL12)</f>
        <v>0</v>
      </c>
      <c r="AM13" s="19">
        <f t="shared" ca="1" si="41"/>
        <v>0</v>
      </c>
      <c r="AN13" s="19">
        <f t="shared" ref="AN13:AO13" si="42">(AN1+AN2+AN3+AN4+AN5+AN6+AN7+AN8+AN9+AN10+AN11+AN12)</f>
        <v>77634.576000000015</v>
      </c>
      <c r="AO13" s="19">
        <f t="shared" ca="1" si="42"/>
        <v>49918.280235072059</v>
      </c>
      <c r="AP13" s="19">
        <f t="shared" ref="AP13:AY13" si="43">(AP1+AP2+AP3+AP4+AP5+AP6+AP7+AP8+AP9+AP10+AP11+AP12)</f>
        <v>79200</v>
      </c>
      <c r="AQ13" s="19">
        <f t="shared" ca="1" si="43"/>
        <v>79200</v>
      </c>
      <c r="AR13" s="19">
        <f t="shared" si="43"/>
        <v>79200</v>
      </c>
      <c r="AS13" s="19">
        <f t="shared" si="43"/>
        <v>79200</v>
      </c>
      <c r="AT13" s="19">
        <f t="shared" si="43"/>
        <v>0</v>
      </c>
      <c r="AU13" s="19">
        <f t="shared" si="43"/>
        <v>0</v>
      </c>
      <c r="AV13" s="19">
        <f t="shared" si="43"/>
        <v>79200</v>
      </c>
      <c r="AW13" s="19">
        <f t="shared" si="43"/>
        <v>79200</v>
      </c>
      <c r="AX13" s="19">
        <f t="shared" si="43"/>
        <v>0</v>
      </c>
      <c r="AY13" s="19">
        <f t="shared" si="43"/>
        <v>0</v>
      </c>
      <c r="AZ13" s="19">
        <f t="shared" ref="AZ13" si="44">(AZ1+AZ2+AZ3+AZ4+AZ5+AZ6+AZ7+AZ8+AZ9+AZ10+AZ11+AZ12)</f>
        <v>0</v>
      </c>
      <c r="BA13" s="19">
        <f t="shared" ref="BA13" si="45">(BA1+BA2+BA3+BA4+BA5+BA6+BA7+BA8+BA9+BA10+BA11+BA12)</f>
        <v>0</v>
      </c>
      <c r="BB13" s="19">
        <f t="shared" ref="BB13" ca="1" si="46">(BB1+BB2+BB3+BB4+BB5+BB6+BB7+BB8+BB9+BB10+BB11+BB12)</f>
        <v>0</v>
      </c>
      <c r="BC13" s="29" t="s">
        <v>0</v>
      </c>
      <c r="BD13" s="19">
        <f t="shared" ref="BD13:BE13" si="47">(BD1+BD2+BD3+BD4+BD5+BD6+BD7+BD8+BD9+BD10+BD11+BD12)</f>
        <v>-32347.74</v>
      </c>
      <c r="BE13" s="19">
        <f t="shared" si="47"/>
        <v>32347.74</v>
      </c>
      <c r="BF13" s="19">
        <f t="shared" ref="BF13" ca="1" si="48">(BF1+BF2+BF3+BF4+BF5+BF6+BF7+BF8+BF9+BF10+BF11+BF12)</f>
        <v>1475612.9241298982</v>
      </c>
      <c r="BG13" s="19">
        <f t="shared" ref="BG13" ca="1" si="49">(BG1+BG2+BG3+BG4+BG5+BG6+BG7+BG8+BG9+BG10+BG11+BG12)</f>
        <v>302500.6494466291</v>
      </c>
      <c r="BH13" s="19">
        <f t="shared" ref="BH13" ca="1" si="50">(BH1+BH2+BH3+BH4+BH5+BH6+BH7+BH8+BH9+BH10+BH11+BH12)</f>
        <v>14756.129241298982</v>
      </c>
      <c r="BI13" s="19">
        <f t="shared" ref="BI13" ca="1" si="51">(BI1+BI2+BI3+BI4+BI5+BI6+BI7+BI8+BI9+BI10+BI11+BI12)</f>
        <v>-73780.646206494901</v>
      </c>
      <c r="BJ13" s="19">
        <f t="shared" ref="BJ13" ca="1" si="52">(BJ1+BJ2+BJ3+BJ4+BJ5+BJ6+BJ7+BJ8+BJ9+BJ10+BJ11+BJ12)</f>
        <v>1719089.0566113314</v>
      </c>
      <c r="BK13" s="19" t="s">
        <v>0</v>
      </c>
      <c r="BL13" s="19" t="s">
        <v>0</v>
      </c>
      <c r="BM13" s="19" t="s">
        <v>0</v>
      </c>
      <c r="BN13" s="19" t="s">
        <v>0</v>
      </c>
      <c r="BO13" s="19">
        <f t="shared" si="27"/>
        <v>28075.5</v>
      </c>
      <c r="BP13" s="19">
        <f>(0)</f>
        <v>0</v>
      </c>
      <c r="BQ13" s="19">
        <f t="shared" si="33"/>
        <v>28075.5</v>
      </c>
      <c r="BR13" s="19">
        <f>SUM(BQ$2:$BQ13)</f>
        <v>336906</v>
      </c>
      <c r="BS13" s="22">
        <f t="shared" si="28"/>
        <v>0.2</v>
      </c>
      <c r="BT13" s="21">
        <f t="shared" si="34"/>
        <v>0</v>
      </c>
      <c r="BU13" s="25">
        <f t="shared" si="29"/>
        <v>0.2</v>
      </c>
      <c r="BV13" s="19">
        <f t="shared" si="37"/>
        <v>5615.1</v>
      </c>
      <c r="BW13" s="25">
        <f t="shared" si="35"/>
        <v>0.80240999999999996</v>
      </c>
      <c r="BX13" s="19">
        <f t="shared" si="30"/>
        <v>33030</v>
      </c>
      <c r="BY13" s="19">
        <f t="shared" si="31"/>
        <v>28075.5</v>
      </c>
      <c r="BZ13" s="18">
        <v>11</v>
      </c>
      <c r="CA13" s="26">
        <v>5.5</v>
      </c>
      <c r="CB13" s="27">
        <v>0.13</v>
      </c>
      <c r="CC13" s="80"/>
    </row>
    <row r="14" spans="1:81" ht="39.950000000000003" customHeight="1" x14ac:dyDescent="0.25">
      <c r="A14" s="81"/>
      <c r="B14" s="84"/>
      <c r="C14" s="54"/>
      <c r="D14" s="54"/>
      <c r="E14" s="54"/>
      <c r="F14" s="85"/>
      <c r="G14" s="54"/>
      <c r="H14" s="54"/>
      <c r="I14" s="54"/>
      <c r="J14" s="54"/>
      <c r="K14" s="54"/>
      <c r="L14" s="54"/>
      <c r="M14" s="54"/>
      <c r="N14" s="54"/>
      <c r="O14" s="74"/>
      <c r="P14" s="75"/>
      <c r="Q14" s="76"/>
      <c r="R14" s="54"/>
      <c r="S14" s="54"/>
      <c r="T14" s="54"/>
      <c r="U14" s="55"/>
      <c r="V14" s="62"/>
      <c r="W14" s="66"/>
      <c r="X14" s="67"/>
      <c r="Y14" s="56"/>
      <c r="Z14" s="58"/>
      <c r="AA14" s="57"/>
      <c r="AB14" s="78"/>
      <c r="AC14" s="16" t="s">
        <v>104</v>
      </c>
      <c r="AD14" s="17">
        <f t="shared" ref="AD14" ca="1" si="53">IF(AE14&gt;0,AE14,AE14*-1)</f>
        <v>842.75124999999991</v>
      </c>
      <c r="AE14" s="17">
        <f ca="1">COUNTIF(V1,"Ocak")*(BD15)
+COUNTIF(V1,"Şubat")*(BD16)
+COUNTIF(V1,"Mart")*(BD17)
+COUNTIF(V1,"Nisan")*(BD18)
+COUNTIF(V1,"Mayıs")*(BD19)
+COUNTIF(V1,"Haziran")*(BD20)
+COUNTIF(V1,"Temmuz")*(BD21)
+COUNTIF(V1,"Ağustos")*(BD22)
+COUNTIF(V1,"Eylül")*(BD23)
+COUNTIF(V1,"Ekim")*(BD24)
+COUNTIF(V1,"Kasım")*(BD25)
+COUNTIF(V1,"Aralık")*(BD26)
+COUNTIF(V1,"Yıllık Toplam")*(BD27)
+COUNTIF(V1,"Yıllık Ortalama")*(BD28)</f>
        <v>842.75124999999991</v>
      </c>
      <c r="AF14" s="17" t="s">
        <v>0</v>
      </c>
      <c r="AG14" s="16" t="s">
        <v>0</v>
      </c>
      <c r="AH14" s="17">
        <v>300</v>
      </c>
      <c r="AI14" s="17">
        <v>300</v>
      </c>
      <c r="AJ14" s="19">
        <f t="shared" ref="AJ14:AK14" si="54">(AJ13/12)</f>
        <v>0</v>
      </c>
      <c r="AK14" s="19">
        <f t="shared" ca="1" si="54"/>
        <v>0</v>
      </c>
      <c r="AL14" s="19">
        <f t="shared" ref="AL14:AM14" si="55">(AL13/12)</f>
        <v>0</v>
      </c>
      <c r="AM14" s="19">
        <f t="shared" ca="1" si="55"/>
        <v>0</v>
      </c>
      <c r="AN14" s="19">
        <f t="shared" ref="AN14:AO14" si="56">(AN13/12)</f>
        <v>6469.5480000000016</v>
      </c>
      <c r="AO14" s="19">
        <f t="shared" ca="1" si="56"/>
        <v>4159.8566862560047</v>
      </c>
      <c r="AP14" s="19">
        <f t="shared" ref="AP14:AY14" si="57">(AP13/12)</f>
        <v>6600</v>
      </c>
      <c r="AQ14" s="19">
        <f t="shared" ca="1" si="57"/>
        <v>6600</v>
      </c>
      <c r="AR14" s="19">
        <f t="shared" si="57"/>
        <v>6600</v>
      </c>
      <c r="AS14" s="19">
        <f t="shared" si="57"/>
        <v>6600</v>
      </c>
      <c r="AT14" s="19">
        <f t="shared" si="57"/>
        <v>0</v>
      </c>
      <c r="AU14" s="19">
        <f t="shared" si="57"/>
        <v>0</v>
      </c>
      <c r="AV14" s="19">
        <f t="shared" si="57"/>
        <v>6600</v>
      </c>
      <c r="AW14" s="19">
        <f t="shared" si="57"/>
        <v>6600</v>
      </c>
      <c r="AX14" s="19">
        <f t="shared" si="57"/>
        <v>0</v>
      </c>
      <c r="AY14" s="19">
        <f t="shared" si="57"/>
        <v>0</v>
      </c>
      <c r="AZ14" s="19">
        <f t="shared" ref="AZ14" si="58">AZ13/12</f>
        <v>0</v>
      </c>
      <c r="BA14" s="19">
        <f t="shared" ref="BA14" si="59">BA13/12</f>
        <v>0</v>
      </c>
      <c r="BB14" s="19">
        <f t="shared" ref="BB14" ca="1" si="60">BB13/12</f>
        <v>0</v>
      </c>
      <c r="BC14" s="29" t="s">
        <v>0</v>
      </c>
      <c r="BD14" s="19">
        <f t="shared" ref="BD14:BE14" si="61">(BD13/12)</f>
        <v>-2695.645</v>
      </c>
      <c r="BE14" s="19">
        <f t="shared" si="61"/>
        <v>2695.645</v>
      </c>
      <c r="BF14" s="19">
        <f t="shared" ref="BF14" ca="1" si="62">(BF13/12)</f>
        <v>122967.74367749151</v>
      </c>
      <c r="BG14" s="19">
        <f t="shared" ref="BG14" ca="1" si="63">(BG13/12)</f>
        <v>25208.38745388576</v>
      </c>
      <c r="BH14" s="19">
        <f t="shared" ref="BH14" ca="1" si="64">(BH13/12)</f>
        <v>1229.6774367749151</v>
      </c>
      <c r="BI14" s="19">
        <f t="shared" ref="BI14" ca="1" si="65">(BI13/12)</f>
        <v>-6148.3871838745754</v>
      </c>
      <c r="BJ14" s="19">
        <f t="shared" ref="BJ14" ca="1" si="66">(BJ13/12)</f>
        <v>143257.42138427761</v>
      </c>
      <c r="BK14" s="29" t="s">
        <v>0</v>
      </c>
      <c r="BL14" s="29" t="s">
        <v>0</v>
      </c>
      <c r="BM14" s="29" t="s">
        <v>0</v>
      </c>
      <c r="BN14" s="29" t="s">
        <v>0</v>
      </c>
      <c r="BO14" s="19">
        <f t="shared" ref="BO14:BQ14" si="67">(BO2+BO3+BO4+BO5+BO6+BO7+BO8+BO9+BO10+BO11+BO12+BO13)</f>
        <v>336906</v>
      </c>
      <c r="BP14" s="19">
        <f t="shared" si="67"/>
        <v>0</v>
      </c>
      <c r="BQ14" s="19">
        <f t="shared" si="67"/>
        <v>336906</v>
      </c>
      <c r="BR14" s="29" t="s">
        <v>0</v>
      </c>
      <c r="BS14" s="18" t="s">
        <v>0</v>
      </c>
      <c r="BT14" s="18" t="s">
        <v>0</v>
      </c>
      <c r="BU14" s="18" t="s">
        <v>0</v>
      </c>
      <c r="BV14" s="19">
        <f t="shared" ref="BV14" si="68">(BV2+BV3+BV4+BV5+BV6+BV7+BV8+BV9+BV10+BV11+BV12+BV13)</f>
        <v>57881.229999999996</v>
      </c>
      <c r="BW14" s="18" t="s">
        <v>0</v>
      </c>
      <c r="BX14" s="19">
        <f t="shared" ref="BX14" si="69">(BX2+BX3+BX4+BX5+BX6+BX7+BX8+BX9+BX10+BX11+BX12+BX13)</f>
        <v>396360</v>
      </c>
      <c r="BY14" s="19">
        <f t="shared" ref="BY14" si="70">(BY2+BY3+BY4+BY5+BY6+BY7+BY8+BY9+BY10+BY11+BY12+BY13)</f>
        <v>336906</v>
      </c>
      <c r="BZ14" s="18">
        <v>12</v>
      </c>
      <c r="CA14" s="26">
        <v>6</v>
      </c>
      <c r="CB14" s="27">
        <v>0.14000000000000001</v>
      </c>
      <c r="CC14" s="80"/>
    </row>
    <row r="15" spans="1:81" ht="39.950000000000003" customHeight="1" x14ac:dyDescent="0.25">
      <c r="A15" s="4">
        <f t="shared" ref="A15:A26" ca="1" si="71">(AY44)</f>
        <v>0.15</v>
      </c>
      <c r="B15" s="5" t="s">
        <v>8</v>
      </c>
      <c r="C15" s="50">
        <v>8</v>
      </c>
      <c r="D15" s="51">
        <v>0</v>
      </c>
      <c r="E15" s="51">
        <v>0</v>
      </c>
      <c r="F15" s="51">
        <v>0</v>
      </c>
      <c r="G15" s="51">
        <v>72</v>
      </c>
      <c r="H15" s="50">
        <v>22</v>
      </c>
      <c r="I15" s="50">
        <v>22</v>
      </c>
      <c r="J15" s="50">
        <v>26</v>
      </c>
      <c r="K15" s="50">
        <v>30</v>
      </c>
      <c r="L15" s="50">
        <v>30</v>
      </c>
      <c r="M15" s="50">
        <v>0</v>
      </c>
      <c r="N15" s="50">
        <v>2</v>
      </c>
      <c r="O15" s="52" t="s">
        <v>1</v>
      </c>
      <c r="P15" s="52" t="s">
        <v>1</v>
      </c>
      <c r="Q15" s="52" t="s">
        <v>1</v>
      </c>
      <c r="R15" s="53">
        <v>0</v>
      </c>
      <c r="S15" s="6">
        <f t="shared" ref="S15:S26" ca="1" si="72">(AJ44+BD1+BB29+AM44+AQ44+AR44+BA44-T15)</f>
        <v>65266.426865850102</v>
      </c>
      <c r="T15" s="6">
        <f t="shared" ref="T15:T26" ca="1" si="73">(AX15+AK1+AM1+AO1+AQ1+BC29)</f>
        <v>10808.577942240001</v>
      </c>
      <c r="U15" s="7">
        <f ca="1">(S15+T15)</f>
        <v>76075.004808090103</v>
      </c>
      <c r="V15" s="62"/>
      <c r="W15" s="66"/>
      <c r="X15" s="67"/>
      <c r="Y15" s="56"/>
      <c r="Z15" s="58"/>
      <c r="AA15" s="57"/>
      <c r="AB15" s="78"/>
      <c r="AC15" s="16" t="s">
        <v>73</v>
      </c>
      <c r="AD15" s="17">
        <f ca="1">IF(AE15&gt;0,AE15,AE15*-1)</f>
        <v>0</v>
      </c>
      <c r="AE15" s="17">
        <f ca="1">COUNTIF(V1,"Ocak")*(BF15)
+COUNTIF(V1,"Şubat")*(BF16)
+COUNTIF(V1,"Mart")*(BF17)
+COUNTIF(V1,"Nisan")*(BF18)
+COUNTIF(V1,"Mayıs")*(BF19)
+COUNTIF(V1,"Haziran")*(BF20)
+COUNTIF(V1,"Temmuz")*(BF21)
+COUNTIF(V1,"Ağustos")*(BF22)
+COUNTIF(V1,"Eylül")*(BF23)
+COUNTIF(V1,"Ekim")*(BF24)
+COUNTIF(V1,"Kasım")*(BF25)
+COUNTIF(V1,"Aralık")*(BF26)
+COUNTIF(V1,"Yıllık Toplam")*(BF27)
+COUNTIF(V1,"Yıllık Ortalama")*(BF28)</f>
        <v>0</v>
      </c>
      <c r="AJ15" s="30">
        <v>46023</v>
      </c>
      <c r="AK15" s="31">
        <f t="shared" ref="AK15:AK26" si="74">EOMONTH(AJ15,0)</f>
        <v>46053</v>
      </c>
      <c r="AL15" s="32">
        <f>DAY(AK15)</f>
        <v>31</v>
      </c>
      <c r="AM15" s="32">
        <f>NETWORKDAYS.INTL(AJ15,AK15,11)</f>
        <v>27</v>
      </c>
      <c r="AN15" s="32">
        <f>(AL15-AM15)</f>
        <v>4</v>
      </c>
      <c r="AO15" s="17">
        <f t="shared" ref="AO15:AO20" si="75">COUNTIF($A$1,"Güvenlik Sorumlusu")*($AG$39)
+COUNTIF($A$1,"Güvenlik Görevlisi")*($AG$40)</f>
        <v>2452.86</v>
      </c>
      <c r="AP15" s="17">
        <f t="shared" ref="AP15:AP26" ca="1" si="76">(AO15*BD44)</f>
        <v>1753.5741426000002</v>
      </c>
      <c r="AQ15" s="17">
        <f t="shared" ref="AQ15:AQ20" si="77">COUNTIF($A$1,"Güvenlik Sorumlusu")*($AG$39)
+COUNTIF($A$1,"Güvenlik Görevlisi")*($AG$40)</f>
        <v>2452.86</v>
      </c>
      <c r="AR15" s="19">
        <f t="shared" ref="AR15:AR26" ca="1" si="78">(AQ15*BD44+BI29/30*-1+BV2/30)</f>
        <v>1885.5952192666668</v>
      </c>
      <c r="AS15" s="33">
        <f t="shared" ref="AS15:AS26" si="79">(AO15*AL15)</f>
        <v>76038.66</v>
      </c>
      <c r="AT15" s="19">
        <f t="shared" ref="AT15:AT26" ca="1" si="80">(AS15*BD44)</f>
        <v>54360.798420600004</v>
      </c>
      <c r="AU15" s="19">
        <f t="shared" ref="AU15:AU26" si="81">(12*C15)</f>
        <v>96</v>
      </c>
      <c r="AV15" s="19">
        <f t="shared" ref="AV15:AV26" ca="1" si="82">(AU15*BD44)</f>
        <v>68.631360000000001</v>
      </c>
      <c r="AW15" s="19">
        <f t="shared" ref="AW15:AW26" si="83">(AO15/7.5*1.6*D15)</f>
        <v>0</v>
      </c>
      <c r="AX15" s="19">
        <f t="shared" ref="AX15:AX26" ca="1" si="84">(AW15*BD44)</f>
        <v>0</v>
      </c>
      <c r="AY15" s="19">
        <f t="shared" ref="AY15:AY20" si="85">(77.57*J15)</f>
        <v>2016.8199999999997</v>
      </c>
      <c r="AZ15" s="19">
        <f t="shared" ref="AZ15:AZ26" ca="1" si="86">(AY15*BD44)</f>
        <v>1441.8447861999998</v>
      </c>
      <c r="BA15" s="19">
        <f t="shared" ref="BA15:BA20" si="87">COUNTIF($A$1,"Güvenlik Sorumlusu")*(4706.46/30*K15)</f>
        <v>0</v>
      </c>
      <c r="BB15" s="19">
        <f t="shared" ref="BB15:BB26" ca="1" si="88">(BA15*BD44)</f>
        <v>0</v>
      </c>
      <c r="BC15" s="19">
        <f t="shared" ref="BC15:BC20" si="89">(0/30*L15)</f>
        <v>0</v>
      </c>
      <c r="BD15" s="19">
        <f t="shared" ref="BD15:BD26" ca="1" si="90">(BC15*BD44)</f>
        <v>0</v>
      </c>
      <c r="BE15" s="19">
        <f t="shared" ref="BE15:BE20" si="91">(33.37*M15)</f>
        <v>0</v>
      </c>
      <c r="BF15" s="19">
        <f t="shared" ref="BF15:BF26" ca="1" si="92">(BE15*BD44)</f>
        <v>0</v>
      </c>
      <c r="BG15" s="19">
        <f t="shared" ref="BG15:BG20" si="93">(314.75*N15)</f>
        <v>629.5</v>
      </c>
      <c r="BH15" s="19">
        <f t="shared" ref="BH15:BH26" ca="1" si="94">BG15-(BG15*0.00759)-((BG15-BI15)*0.14)-((BG15-BI15)*0.01)-((BG15-(BG15-BI15)*0.14-(BG15-BI15)*0.01)-BJ15)*AY44</f>
        <v>624.72209499999997</v>
      </c>
      <c r="BI15" s="19">
        <f t="shared" ref="BI15:BI26" si="95">IF(BG15&lt;=$AI$4*2,BG15,$AI$4*2)</f>
        <v>629.5</v>
      </c>
      <c r="BJ15" s="19">
        <f t="shared" ref="BJ15:BJ26" si="96">IF(BG15&lt;=$AI$7*2,BG15,$AI$7*2)</f>
        <v>629.5</v>
      </c>
      <c r="BK15" s="29" t="s">
        <v>0</v>
      </c>
      <c r="BL15" s="29" t="s">
        <v>0</v>
      </c>
      <c r="BM15" s="29" t="s">
        <v>0</v>
      </c>
      <c r="BN15" s="29" t="s">
        <v>0</v>
      </c>
      <c r="BO15" s="19">
        <f t="shared" ref="BO15:BQ15" si="97">(BO14/12)</f>
        <v>28075.5</v>
      </c>
      <c r="BP15" s="19">
        <f t="shared" si="97"/>
        <v>0</v>
      </c>
      <c r="BQ15" s="19">
        <f t="shared" si="97"/>
        <v>28075.5</v>
      </c>
      <c r="BR15" s="29" t="s">
        <v>0</v>
      </c>
      <c r="BS15" s="29" t="s">
        <v>0</v>
      </c>
      <c r="BT15" s="29" t="s">
        <v>0</v>
      </c>
      <c r="BU15" s="29" t="s">
        <v>0</v>
      </c>
      <c r="BV15" s="19">
        <f t="shared" ref="BV15" si="98">(BV14/12)</f>
        <v>4823.435833333333</v>
      </c>
      <c r="BW15" s="29" t="s">
        <v>0</v>
      </c>
      <c r="BX15" s="19">
        <f t="shared" ref="BX15" si="99">(BX14/12)</f>
        <v>33030</v>
      </c>
      <c r="BY15" s="19">
        <f t="shared" ref="BY15" si="100">(BY14/12)</f>
        <v>28075.5</v>
      </c>
      <c r="BZ15" s="18">
        <v>13</v>
      </c>
      <c r="CA15" s="26">
        <v>6.5</v>
      </c>
      <c r="CB15" s="27">
        <v>0.15</v>
      </c>
      <c r="CC15" s="80"/>
    </row>
    <row r="16" spans="1:81" ht="39.950000000000003" customHeight="1" x14ac:dyDescent="0.25">
      <c r="A16" s="4">
        <f t="shared" ca="1" si="71"/>
        <v>0.15</v>
      </c>
      <c r="B16" s="5" t="s">
        <v>9</v>
      </c>
      <c r="C16" s="50">
        <v>8</v>
      </c>
      <c r="D16" s="51">
        <v>0</v>
      </c>
      <c r="E16" s="51">
        <v>0</v>
      </c>
      <c r="F16" s="51">
        <v>0</v>
      </c>
      <c r="G16" s="51">
        <v>72</v>
      </c>
      <c r="H16" s="50">
        <v>22</v>
      </c>
      <c r="I16" s="50">
        <v>22</v>
      </c>
      <c r="J16" s="50">
        <v>26</v>
      </c>
      <c r="K16" s="50">
        <v>30</v>
      </c>
      <c r="L16" s="50">
        <v>30</v>
      </c>
      <c r="M16" s="50">
        <v>0</v>
      </c>
      <c r="N16" s="50">
        <v>2</v>
      </c>
      <c r="O16" s="52" t="s">
        <v>1</v>
      </c>
      <c r="P16" s="52" t="s">
        <v>1</v>
      </c>
      <c r="Q16" s="52" t="s">
        <v>1</v>
      </c>
      <c r="R16" s="53">
        <v>0</v>
      </c>
      <c r="S16" s="6">
        <f t="shared" ca="1" si="72"/>
        <v>60005.705488050116</v>
      </c>
      <c r="T16" s="6">
        <f t="shared" ca="1" si="73"/>
        <v>10808.577942240001</v>
      </c>
      <c r="U16" s="7">
        <f t="shared" ref="U16:U26" ca="1" si="101">(S16+T16)</f>
        <v>70814.283430290117</v>
      </c>
      <c r="V16" s="62"/>
      <c r="W16" s="66"/>
      <c r="X16" s="67"/>
      <c r="Y16" s="56"/>
      <c r="Z16" s="58"/>
      <c r="AA16" s="57"/>
      <c r="AB16" s="78"/>
      <c r="AC16" s="16" t="s">
        <v>74</v>
      </c>
      <c r="AD16" s="17">
        <f ca="1">IF(AE16&gt;0,AE16,AE16*-1)</f>
        <v>682.00400449999995</v>
      </c>
      <c r="AE16" s="17">
        <f ca="1">COUNTIF(V1,"Ocak")*(BH15)
+COUNTIF(V1,"Şubat")*(BH16)
+COUNTIF(V1,"Mart")*(BH17)
+COUNTIF(V1,"Nisan")*(BH18)
+COUNTIF(V1,"Mayıs")*(BH19)
+COUNTIF(V1,"Haziran")*(BH20)
+COUNTIF(V1,"Temmuz")*(BH21)
+COUNTIF(V1,"Ağustos")*(BH22)
+COUNTIF(V1,"Eylül")*(BH23)
+COUNTIF(V1,"Ekim")*(BH24)
+COUNTIF(V1,"Kasım")*(BH25)
+COUNTIF(V1,"Aralık")*(BH26)
+COUNTIF(V1,"Yıllık Toplam")*(BH27)
+COUNTIF(V1,"Yıllık Ortalama")*(BH28)</f>
        <v>682.00400449999995</v>
      </c>
      <c r="AF16" s="34">
        <f>(2273)</f>
        <v>2273</v>
      </c>
      <c r="AG16" s="16" t="s">
        <v>0</v>
      </c>
      <c r="AH16" s="17">
        <f>($AF$29*$AF$16)</f>
        <v>3154.6307830000001</v>
      </c>
      <c r="AI16" s="17">
        <f>($AG$29*$AF$16)</f>
        <v>3581.1387760000002</v>
      </c>
      <c r="AJ16" s="31">
        <f>(AK15+1)</f>
        <v>46054</v>
      </c>
      <c r="AK16" s="31">
        <f t="shared" si="74"/>
        <v>46081</v>
      </c>
      <c r="AL16" s="32">
        <f t="shared" ref="AL16:AL26" si="102">DAY(AK16)</f>
        <v>28</v>
      </c>
      <c r="AM16" s="32">
        <f t="shared" ref="AM16:AM26" si="103">NETWORKDAYS.INTL(AJ16,AK16,11)</f>
        <v>24</v>
      </c>
      <c r="AN16" s="32">
        <f t="shared" ref="AN16:AN26" si="104">(AL16-AM16)</f>
        <v>4</v>
      </c>
      <c r="AO16" s="17">
        <f t="shared" si="75"/>
        <v>2452.86</v>
      </c>
      <c r="AP16" s="17">
        <f t="shared" ca="1" si="76"/>
        <v>1753.5741426000002</v>
      </c>
      <c r="AQ16" s="17">
        <f t="shared" si="77"/>
        <v>2452.86</v>
      </c>
      <c r="AR16" s="19">
        <f t="shared" ca="1" si="78"/>
        <v>1885.5952192666668</v>
      </c>
      <c r="AS16" s="33">
        <f t="shared" si="79"/>
        <v>68680.08</v>
      </c>
      <c r="AT16" s="19">
        <f t="shared" ca="1" si="80"/>
        <v>49100.075992800004</v>
      </c>
      <c r="AU16" s="19">
        <f t="shared" si="81"/>
        <v>96</v>
      </c>
      <c r="AV16" s="19">
        <f t="shared" ca="1" si="82"/>
        <v>68.631360000000001</v>
      </c>
      <c r="AW16" s="19">
        <f t="shared" si="83"/>
        <v>0</v>
      </c>
      <c r="AX16" s="19">
        <f t="shared" ca="1" si="84"/>
        <v>0</v>
      </c>
      <c r="AY16" s="19">
        <f t="shared" si="85"/>
        <v>2016.8199999999997</v>
      </c>
      <c r="AZ16" s="19">
        <f t="shared" ca="1" si="86"/>
        <v>1441.8447861999998</v>
      </c>
      <c r="BA16" s="19">
        <f t="shared" si="87"/>
        <v>0</v>
      </c>
      <c r="BB16" s="19">
        <f t="shared" ca="1" si="88"/>
        <v>0</v>
      </c>
      <c r="BC16" s="19">
        <f t="shared" si="89"/>
        <v>0</v>
      </c>
      <c r="BD16" s="19">
        <f t="shared" ca="1" si="90"/>
        <v>0</v>
      </c>
      <c r="BE16" s="19">
        <f t="shared" si="91"/>
        <v>0</v>
      </c>
      <c r="BF16" s="19">
        <f t="shared" ca="1" si="92"/>
        <v>0</v>
      </c>
      <c r="BG16" s="19">
        <f t="shared" si="93"/>
        <v>629.5</v>
      </c>
      <c r="BH16" s="19">
        <f t="shared" ca="1" si="94"/>
        <v>624.72209499999997</v>
      </c>
      <c r="BI16" s="19">
        <f t="shared" si="95"/>
        <v>629.5</v>
      </c>
      <c r="BJ16" s="19">
        <f t="shared" si="96"/>
        <v>629.5</v>
      </c>
      <c r="BK16" s="35"/>
      <c r="BL16" s="16"/>
      <c r="BM16" s="16"/>
      <c r="BZ16" s="18">
        <v>14</v>
      </c>
      <c r="CA16" s="26">
        <v>7</v>
      </c>
      <c r="CB16" s="27">
        <v>0.16</v>
      </c>
      <c r="CC16" s="80"/>
    </row>
    <row r="17" spans="1:81" ht="39.950000000000003" customHeight="1" x14ac:dyDescent="0.25">
      <c r="A17" s="4">
        <f t="shared" ca="1" si="71"/>
        <v>0.17954579999304809</v>
      </c>
      <c r="B17" s="5" t="s">
        <v>10</v>
      </c>
      <c r="C17" s="50">
        <v>8</v>
      </c>
      <c r="D17" s="51">
        <v>0</v>
      </c>
      <c r="E17" s="51">
        <v>0</v>
      </c>
      <c r="F17" s="51">
        <v>0</v>
      </c>
      <c r="G17" s="51">
        <v>72</v>
      </c>
      <c r="H17" s="50">
        <v>22</v>
      </c>
      <c r="I17" s="50">
        <v>22</v>
      </c>
      <c r="J17" s="50">
        <v>26</v>
      </c>
      <c r="K17" s="50">
        <v>30</v>
      </c>
      <c r="L17" s="50">
        <v>30</v>
      </c>
      <c r="M17" s="50">
        <v>0</v>
      </c>
      <c r="N17" s="50">
        <v>2</v>
      </c>
      <c r="O17" s="52" t="s">
        <v>1</v>
      </c>
      <c r="P17" s="52" t="s">
        <v>1</v>
      </c>
      <c r="Q17" s="52" t="s">
        <v>1</v>
      </c>
      <c r="R17" s="53">
        <v>0</v>
      </c>
      <c r="S17" s="6">
        <f t="shared" ca="1" si="72"/>
        <v>88629.32323073782</v>
      </c>
      <c r="T17" s="6">
        <f t="shared" ca="1" si="73"/>
        <v>10660.735651859266</v>
      </c>
      <c r="U17" s="7">
        <f t="shared" ca="1" si="101"/>
        <v>99290.058882597092</v>
      </c>
      <c r="V17" s="62"/>
      <c r="W17" s="66"/>
      <c r="X17" s="67"/>
      <c r="Y17" s="56"/>
      <c r="Z17" s="58"/>
      <c r="AA17" s="57"/>
      <c r="AB17" s="78"/>
      <c r="AC17" s="16" t="s">
        <v>33</v>
      </c>
      <c r="AD17" s="17">
        <f ca="1">IF(AE17&gt;0,AE17,AE17*-1)</f>
        <v>0</v>
      </c>
      <c r="AE17" s="17">
        <f ca="1">COUNTIF(V1,"Ocak")*(BB1)
+COUNTIF(V1,"Şubat")*(BB2)
+COUNTIF(V1,"Mart")*(BB3)
+COUNTIF(V1,"Nisan")*(BB4)
+COUNTIF(V1,"Mayıs")*(BB5)
+COUNTIF(V1,"Haziran")*(BB6)
+COUNTIF(V1,"Temmuz")*(BB7)
+COUNTIF(V1,"Ağustos")*(BB8)
+COUNTIF(V1,"Eylül")*(BB9)
+COUNTIF(V1,"Ekim")*(BB10)
+COUNTIF(V1,"Kasım")*(BB11)
+COUNTIF(V1,"Aralık")*(BB12)
+COUNTIF(V1,"Yıllık Toplam")*(BB13)
+COUNTIF(V1,"Yıllık Ortalama")*(BB14)</f>
        <v>0</v>
      </c>
      <c r="AF17" s="34">
        <f>(250)</f>
        <v>250</v>
      </c>
      <c r="AG17" s="16" t="s">
        <v>0</v>
      </c>
      <c r="AH17" s="17">
        <f>($AF$29*$AF$17*2)</f>
        <v>693.93550000000005</v>
      </c>
      <c r="AI17" s="17">
        <f>($AG$29*$AF$17*2)</f>
        <v>787.75599999999997</v>
      </c>
      <c r="AJ17" s="31">
        <f t="shared" ref="AJ17:AJ26" si="105">(AK16+1)</f>
        <v>46082</v>
      </c>
      <c r="AK17" s="31">
        <f t="shared" si="74"/>
        <v>46112</v>
      </c>
      <c r="AL17" s="32">
        <f t="shared" si="102"/>
        <v>31</v>
      </c>
      <c r="AM17" s="32">
        <f t="shared" si="103"/>
        <v>26</v>
      </c>
      <c r="AN17" s="32">
        <f t="shared" si="104"/>
        <v>5</v>
      </c>
      <c r="AO17" s="17">
        <f t="shared" si="75"/>
        <v>2452.86</v>
      </c>
      <c r="AP17" s="17">
        <f t="shared" ca="1" si="76"/>
        <v>1691.9731882746944</v>
      </c>
      <c r="AQ17" s="17">
        <f t="shared" si="77"/>
        <v>2452.86</v>
      </c>
      <c r="AR17" s="19">
        <f t="shared" ca="1" si="78"/>
        <v>1823.9942649413611</v>
      </c>
      <c r="AS17" s="33">
        <f t="shared" si="79"/>
        <v>76038.66</v>
      </c>
      <c r="AT17" s="19">
        <f t="shared" ca="1" si="80"/>
        <v>52451.168836515528</v>
      </c>
      <c r="AU17" s="19">
        <f t="shared" si="81"/>
        <v>96</v>
      </c>
      <c r="AV17" s="19">
        <f t="shared" ca="1" si="82"/>
        <v>66.220422720567285</v>
      </c>
      <c r="AW17" s="19">
        <f t="shared" si="83"/>
        <v>0</v>
      </c>
      <c r="AX17" s="19">
        <f t="shared" ca="1" si="84"/>
        <v>0</v>
      </c>
      <c r="AY17" s="19">
        <f t="shared" si="85"/>
        <v>2016.8199999999997</v>
      </c>
      <c r="AZ17" s="19">
        <f t="shared" ca="1" si="86"/>
        <v>1391.1945099093175</v>
      </c>
      <c r="BA17" s="19">
        <f t="shared" si="87"/>
        <v>0</v>
      </c>
      <c r="BB17" s="19">
        <f t="shared" ca="1" si="88"/>
        <v>0</v>
      </c>
      <c r="BC17" s="19">
        <f t="shared" si="89"/>
        <v>0</v>
      </c>
      <c r="BD17" s="19">
        <f t="shared" ca="1" si="90"/>
        <v>0</v>
      </c>
      <c r="BE17" s="19">
        <f t="shared" si="91"/>
        <v>0</v>
      </c>
      <c r="BF17" s="19">
        <f t="shared" ca="1" si="92"/>
        <v>0</v>
      </c>
      <c r="BG17" s="19">
        <f t="shared" si="93"/>
        <v>629.5</v>
      </c>
      <c r="BH17" s="19">
        <f t="shared" ca="1" si="94"/>
        <v>624.72209499999997</v>
      </c>
      <c r="BI17" s="19">
        <f t="shared" si="95"/>
        <v>629.5</v>
      </c>
      <c r="BJ17" s="19">
        <f t="shared" si="96"/>
        <v>629.5</v>
      </c>
      <c r="BZ17" s="18">
        <v>15</v>
      </c>
      <c r="CA17" s="26">
        <v>7.5</v>
      </c>
      <c r="CB17" s="27">
        <v>0.17</v>
      </c>
      <c r="CC17" s="80"/>
    </row>
    <row r="18" spans="1:81" ht="39.950000000000003" customHeight="1" x14ac:dyDescent="0.25">
      <c r="A18" s="4">
        <f t="shared" ca="1" si="71"/>
        <v>0.2</v>
      </c>
      <c r="B18" s="5" t="s">
        <v>11</v>
      </c>
      <c r="C18" s="50">
        <v>8</v>
      </c>
      <c r="D18" s="51">
        <v>0</v>
      </c>
      <c r="E18" s="51">
        <v>0</v>
      </c>
      <c r="F18" s="51">
        <v>0</v>
      </c>
      <c r="G18" s="51">
        <v>72</v>
      </c>
      <c r="H18" s="50">
        <v>22</v>
      </c>
      <c r="I18" s="50">
        <v>22</v>
      </c>
      <c r="J18" s="50">
        <v>26</v>
      </c>
      <c r="K18" s="50">
        <v>30</v>
      </c>
      <c r="L18" s="50">
        <v>30</v>
      </c>
      <c r="M18" s="50">
        <v>0</v>
      </c>
      <c r="N18" s="50">
        <v>2</v>
      </c>
      <c r="O18" s="52" t="s">
        <v>1</v>
      </c>
      <c r="P18" s="52" t="s">
        <v>1</v>
      </c>
      <c r="Q18" s="52" t="s">
        <v>1</v>
      </c>
      <c r="R18" s="53">
        <v>0</v>
      </c>
      <c r="S18" s="6">
        <f t="shared" ca="1" si="72"/>
        <v>60204.261863592059</v>
      </c>
      <c r="T18" s="6">
        <f t="shared" ca="1" si="73"/>
        <v>10558.386222239998</v>
      </c>
      <c r="U18" s="7">
        <f t="shared" ca="1" si="101"/>
        <v>70762.648085832057</v>
      </c>
      <c r="V18" s="62"/>
      <c r="W18" s="66"/>
      <c r="X18" s="67"/>
      <c r="Y18" s="56"/>
      <c r="Z18" s="58"/>
      <c r="AA18" s="57"/>
      <c r="AB18" s="78"/>
      <c r="AC18" s="16" t="s">
        <v>34</v>
      </c>
      <c r="AD18" s="17">
        <f t="shared" ref="AD18:AD26" si="106">IF(AE18&gt;0,AE18,AE18*-1)</f>
        <v>2695.645</v>
      </c>
      <c r="AE18" s="17">
        <f>COUNTIF(V1,"Ocak")*(BD1)*-1
+COUNTIF(V1,"Şubat")*(BD2)*-1
+COUNTIF(V1,"Mart")*(BD3)*-1
+COUNTIF(V1,"Nisan")*(BD4)*-1
+COUNTIF(V1,"Mayıs")*(BD5)*-1
+COUNTIF(V1,"Haziran")*(BD6)*-1
+COUNTIF(V1,"Temmuz")*(BD7)*-1
+COUNTIF(V1,"Ağustos")*(BD8)*-1
+COUNTIF(V1,"Eylül")*(BD9)*-1
+COUNTIF(V1,"Ekim")*(BD10)*-1
+COUNTIF(V1,"Kasım")*(BD11)*-1
+COUNTIF(V1,"Aralık")*(BD12)*-1
+COUNTIF(V1,"Yıllık Toplam")*(BD13)*-1
+COUNTIF(V1,"Yıllık Ortalama")*(BD14)*-1</f>
        <v>2695.645</v>
      </c>
      <c r="AF18" s="34">
        <f>(AF17)</f>
        <v>250</v>
      </c>
      <c r="AG18" s="16" t="s">
        <v>0</v>
      </c>
      <c r="AH18" s="17">
        <f>($AF$29*$AF$18)</f>
        <v>346.96775000000002</v>
      </c>
      <c r="AI18" s="17">
        <f>($AG$29*$AF$18)</f>
        <v>393.87799999999999</v>
      </c>
      <c r="AJ18" s="31">
        <f t="shared" si="105"/>
        <v>46113</v>
      </c>
      <c r="AK18" s="31">
        <f t="shared" si="74"/>
        <v>46142</v>
      </c>
      <c r="AL18" s="32">
        <f t="shared" si="102"/>
        <v>30</v>
      </c>
      <c r="AM18" s="32">
        <f t="shared" si="103"/>
        <v>26</v>
      </c>
      <c r="AN18" s="32">
        <f t="shared" si="104"/>
        <v>4</v>
      </c>
      <c r="AO18" s="17">
        <f t="shared" si="75"/>
        <v>2452.86</v>
      </c>
      <c r="AP18" s="17">
        <f t="shared" ca="1" si="76"/>
        <v>1649.3275925999999</v>
      </c>
      <c r="AQ18" s="17">
        <f t="shared" si="77"/>
        <v>2452.86</v>
      </c>
      <c r="AR18" s="19">
        <f t="shared" ca="1" si="78"/>
        <v>1781.3486692666665</v>
      </c>
      <c r="AS18" s="33">
        <f t="shared" si="79"/>
        <v>73585.8</v>
      </c>
      <c r="AT18" s="19">
        <f t="shared" ca="1" si="80"/>
        <v>49479.827777999999</v>
      </c>
      <c r="AU18" s="19">
        <f t="shared" si="81"/>
        <v>96</v>
      </c>
      <c r="AV18" s="19">
        <f t="shared" ca="1" si="82"/>
        <v>64.551359999999988</v>
      </c>
      <c r="AW18" s="19">
        <f t="shared" si="83"/>
        <v>0</v>
      </c>
      <c r="AX18" s="19">
        <f t="shared" ca="1" si="84"/>
        <v>0</v>
      </c>
      <c r="AY18" s="19">
        <f t="shared" si="85"/>
        <v>2016.8199999999997</v>
      </c>
      <c r="AZ18" s="19">
        <f t="shared" ca="1" si="86"/>
        <v>1356.1299361999997</v>
      </c>
      <c r="BA18" s="19">
        <f t="shared" si="87"/>
        <v>0</v>
      </c>
      <c r="BB18" s="19">
        <f t="shared" ca="1" si="88"/>
        <v>0</v>
      </c>
      <c r="BC18" s="19">
        <f t="shared" si="89"/>
        <v>0</v>
      </c>
      <c r="BD18" s="19">
        <f t="shared" ca="1" si="90"/>
        <v>0</v>
      </c>
      <c r="BE18" s="19">
        <f t="shared" si="91"/>
        <v>0</v>
      </c>
      <c r="BF18" s="19">
        <f t="shared" ca="1" si="92"/>
        <v>0</v>
      </c>
      <c r="BG18" s="19">
        <f t="shared" si="93"/>
        <v>629.5</v>
      </c>
      <c r="BH18" s="19">
        <f t="shared" ca="1" si="94"/>
        <v>624.72209499999997</v>
      </c>
      <c r="BI18" s="19">
        <f t="shared" si="95"/>
        <v>629.5</v>
      </c>
      <c r="BJ18" s="19">
        <f t="shared" si="96"/>
        <v>629.5</v>
      </c>
      <c r="BZ18" s="18">
        <v>16</v>
      </c>
      <c r="CA18" s="26">
        <v>8</v>
      </c>
      <c r="CB18" s="27">
        <v>0.18</v>
      </c>
      <c r="CC18" s="80"/>
    </row>
    <row r="19" spans="1:81" ht="39.950000000000003" customHeight="1" x14ac:dyDescent="0.25">
      <c r="A19" s="4">
        <f t="shared" ca="1" si="71"/>
        <v>0.20375764847598021</v>
      </c>
      <c r="B19" s="5" t="s">
        <v>12</v>
      </c>
      <c r="C19" s="50">
        <v>8</v>
      </c>
      <c r="D19" s="51">
        <v>0</v>
      </c>
      <c r="E19" s="51">
        <v>0</v>
      </c>
      <c r="F19" s="51">
        <v>0</v>
      </c>
      <c r="G19" s="51">
        <v>72</v>
      </c>
      <c r="H19" s="50">
        <v>22</v>
      </c>
      <c r="I19" s="50">
        <v>22</v>
      </c>
      <c r="J19" s="50">
        <v>26</v>
      </c>
      <c r="K19" s="50">
        <v>30</v>
      </c>
      <c r="L19" s="50">
        <v>30</v>
      </c>
      <c r="M19" s="50">
        <v>0</v>
      </c>
      <c r="N19" s="50">
        <v>2</v>
      </c>
      <c r="O19" s="52" t="s">
        <v>1</v>
      </c>
      <c r="P19" s="52" t="s">
        <v>1</v>
      </c>
      <c r="Q19" s="52" t="s">
        <v>1</v>
      </c>
      <c r="R19" s="53">
        <v>0</v>
      </c>
      <c r="S19" s="6">
        <f t="shared" ca="1" si="72"/>
        <v>61597.109701878144</v>
      </c>
      <c r="T19" s="6">
        <f t="shared" ca="1" si="73"/>
        <v>10539.583571532781</v>
      </c>
      <c r="U19" s="7">
        <f t="shared" ca="1" si="101"/>
        <v>72136.693273410929</v>
      </c>
      <c r="V19" s="62"/>
      <c r="W19" s="66"/>
      <c r="X19" s="67"/>
      <c r="Y19" s="56"/>
      <c r="Z19" s="58"/>
      <c r="AA19" s="57"/>
      <c r="AB19" s="78"/>
      <c r="AC19" s="16" t="s">
        <v>29</v>
      </c>
      <c r="AD19" s="17">
        <f t="shared" ca="1" si="106"/>
        <v>0</v>
      </c>
      <c r="AE19" s="17">
        <f ca="1">COUNTIF(V1,"Ocak")*(BD29)*-1
+COUNTIF(V1,"Şubat")*(BD30)*-1
+COUNTIF(V1,"Mart")*(BD31)*-1
+COUNTIF(V1,"Nisan")*(BD32)*-1
+COUNTIF(V1,"Mayıs")*(BD33)*-1
+COUNTIF(V1,"Haziran")*(BD34)*-1
+COUNTIF(V1,"Temmuz")*(BD35)*-1
+COUNTIF(V1,"Ağustos")*(BD36)*-1
+COUNTIF(V1,"Eylül")*(BD37)*-1
+COUNTIF(V1,"Ekim")*(BD38)*-1
+COUNTIF(V1,"Kasım")*(BD39)*-1
+COUNTIF(V1,"Aralık")*(BD40)*-1
+COUNTIF(V1,"Yıllık Toplam")*(BD41)*-1
+COUNTIF(V1,"Yıllık Ortalama")*(BD42)*-1</f>
        <v>0</v>
      </c>
      <c r="AF19" s="36">
        <f>(1.5)</f>
        <v>1.5</v>
      </c>
      <c r="AG19" s="16" t="s">
        <v>0</v>
      </c>
      <c r="AH19" s="17">
        <f>($AH$17*$AF$19)</f>
        <v>1040.9032500000001</v>
      </c>
      <c r="AI19" s="17">
        <f>($AI$17*$AF$19)</f>
        <v>1181.634</v>
      </c>
      <c r="AJ19" s="31">
        <f t="shared" si="105"/>
        <v>46143</v>
      </c>
      <c r="AK19" s="31">
        <f t="shared" si="74"/>
        <v>46173</v>
      </c>
      <c r="AL19" s="32">
        <f t="shared" si="102"/>
        <v>31</v>
      </c>
      <c r="AM19" s="32">
        <f t="shared" si="103"/>
        <v>26</v>
      </c>
      <c r="AN19" s="32">
        <f t="shared" si="104"/>
        <v>5</v>
      </c>
      <c r="AO19" s="17">
        <f t="shared" si="75"/>
        <v>2452.86</v>
      </c>
      <c r="AP19" s="17">
        <f t="shared" ca="1" si="76"/>
        <v>1641.493154805326</v>
      </c>
      <c r="AQ19" s="17">
        <f t="shared" si="77"/>
        <v>2452.86</v>
      </c>
      <c r="AR19" s="19">
        <f t="shared" ca="1" si="78"/>
        <v>1773.5142314719926</v>
      </c>
      <c r="AS19" s="33">
        <f t="shared" si="79"/>
        <v>76038.66</v>
      </c>
      <c r="AT19" s="19">
        <f t="shared" ca="1" si="80"/>
        <v>50886.287798965102</v>
      </c>
      <c r="AU19" s="19">
        <f t="shared" si="81"/>
        <v>96</v>
      </c>
      <c r="AV19" s="19">
        <f t="shared" ca="1" si="82"/>
        <v>64.244735884360011</v>
      </c>
      <c r="AW19" s="19">
        <f t="shared" si="83"/>
        <v>0</v>
      </c>
      <c r="AX19" s="19">
        <f t="shared" ca="1" si="84"/>
        <v>0</v>
      </c>
      <c r="AY19" s="19">
        <f t="shared" si="85"/>
        <v>2016.8199999999997</v>
      </c>
      <c r="AZ19" s="19">
        <f t="shared" ca="1" si="86"/>
        <v>1349.6882106905721</v>
      </c>
      <c r="BA19" s="19">
        <f t="shared" si="87"/>
        <v>0</v>
      </c>
      <c r="BB19" s="19">
        <f t="shared" ca="1" si="88"/>
        <v>0</v>
      </c>
      <c r="BC19" s="19">
        <f t="shared" si="89"/>
        <v>0</v>
      </c>
      <c r="BD19" s="19">
        <f t="shared" ca="1" si="90"/>
        <v>0</v>
      </c>
      <c r="BE19" s="19">
        <f t="shared" si="91"/>
        <v>0</v>
      </c>
      <c r="BF19" s="19">
        <f t="shared" ca="1" si="92"/>
        <v>0</v>
      </c>
      <c r="BG19" s="19">
        <f t="shared" si="93"/>
        <v>629.5</v>
      </c>
      <c r="BH19" s="19">
        <f t="shared" ca="1" si="94"/>
        <v>624.72209499999997</v>
      </c>
      <c r="BI19" s="19">
        <f t="shared" si="95"/>
        <v>629.5</v>
      </c>
      <c r="BJ19" s="19">
        <f t="shared" si="96"/>
        <v>629.5</v>
      </c>
      <c r="BZ19" s="18">
        <v>17</v>
      </c>
      <c r="CA19" s="26">
        <v>8.5</v>
      </c>
      <c r="CB19" s="27">
        <v>0.19</v>
      </c>
      <c r="CC19" s="80"/>
    </row>
    <row r="20" spans="1:81" ht="39.950000000000003" customHeight="1" x14ac:dyDescent="0.25">
      <c r="A20" s="4">
        <f t="shared" ca="1" si="71"/>
        <v>0.27</v>
      </c>
      <c r="B20" s="5" t="s">
        <v>13</v>
      </c>
      <c r="C20" s="50">
        <v>8</v>
      </c>
      <c r="D20" s="51">
        <v>0</v>
      </c>
      <c r="E20" s="51">
        <v>0</v>
      </c>
      <c r="F20" s="51">
        <v>0</v>
      </c>
      <c r="G20" s="51">
        <v>72</v>
      </c>
      <c r="H20" s="50">
        <v>22</v>
      </c>
      <c r="I20" s="50">
        <v>22</v>
      </c>
      <c r="J20" s="50">
        <v>26</v>
      </c>
      <c r="K20" s="50">
        <v>30</v>
      </c>
      <c r="L20" s="50">
        <v>30</v>
      </c>
      <c r="M20" s="50">
        <v>0</v>
      </c>
      <c r="N20" s="50">
        <v>2</v>
      </c>
      <c r="O20" s="52" t="s">
        <v>1</v>
      </c>
      <c r="P20" s="52" t="s">
        <v>1</v>
      </c>
      <c r="Q20" s="52" t="s">
        <v>1</v>
      </c>
      <c r="R20" s="53">
        <v>0</v>
      </c>
      <c r="S20" s="6">
        <f t="shared" ca="1" si="72"/>
        <v>78122.972306537515</v>
      </c>
      <c r="T20" s="6">
        <f t="shared" ca="1" si="73"/>
        <v>10208.117814239999</v>
      </c>
      <c r="U20" s="7">
        <f t="shared" ca="1" si="101"/>
        <v>88331.090120777517</v>
      </c>
      <c r="V20" s="62"/>
      <c r="W20" s="66"/>
      <c r="X20" s="67"/>
      <c r="Y20" s="56"/>
      <c r="Z20" s="58"/>
      <c r="AA20" s="57"/>
      <c r="AB20" s="78"/>
      <c r="AC20" s="16" t="s">
        <v>30</v>
      </c>
      <c r="AD20" s="17">
        <f t="shared" ca="1" si="106"/>
        <v>632.53347451216075</v>
      </c>
      <c r="AE20" s="19">
        <f ca="1">COUNTIF(V1,"Ocak")*(AM44)*-1
+COUNTIF(V1,"Şubat")*(AM45)*-1
+COUNTIF(V1,"Mart")*(AM46)*-1
+COUNTIF(V1,"Nisan")*(AM47)*-1
+COUNTIF(V1,"Mayıs")*(AM48)*-1
+COUNTIF(V1,"Haziran")*(AM49)*-1
+COUNTIF(V1,"Temmuz")*(AM50)*-1
+COUNTIF(V1,"Ağustos")*(AM51)*-1
+COUNTIF(V1,"Eylül")*(AM52)*-1
+COUNTIF(V1,"Ekim")*(AM53)*-1
+COUNTIF(V1,"Kasım")*(AM54)*-1
+COUNTIF(V1,"Aralık")*(AM55)*-1
+COUNTIF(V1,"Yıllık Toplam")*(AM56)*-1
+COUNTIF(V1,"Yıllık Ortalama")*(AM57)*-1</f>
        <v>632.53347451216052</v>
      </c>
      <c r="AF20" s="16" t="s">
        <v>0</v>
      </c>
      <c r="AG20" s="16" t="s">
        <v>0</v>
      </c>
      <c r="AH20" s="17">
        <f>($AH$19/2)</f>
        <v>520.45162500000004</v>
      </c>
      <c r="AI20" s="17">
        <f>($AI$19/2)</f>
        <v>590.81700000000001</v>
      </c>
      <c r="AJ20" s="31">
        <f t="shared" si="105"/>
        <v>46174</v>
      </c>
      <c r="AK20" s="31">
        <f t="shared" si="74"/>
        <v>46203</v>
      </c>
      <c r="AL20" s="32">
        <f t="shared" si="102"/>
        <v>30</v>
      </c>
      <c r="AM20" s="32">
        <f t="shared" si="103"/>
        <v>26</v>
      </c>
      <c r="AN20" s="32">
        <f t="shared" si="104"/>
        <v>4</v>
      </c>
      <c r="AO20" s="17">
        <f t="shared" si="75"/>
        <v>2452.86</v>
      </c>
      <c r="AP20" s="17">
        <f t="shared" ca="1" si="76"/>
        <v>1503.3824225999999</v>
      </c>
      <c r="AQ20" s="17">
        <f t="shared" si="77"/>
        <v>2452.86</v>
      </c>
      <c r="AR20" s="19">
        <f t="shared" ca="1" si="78"/>
        <v>1635.4034992666666</v>
      </c>
      <c r="AS20" s="33">
        <f t="shared" si="79"/>
        <v>73585.8</v>
      </c>
      <c r="AT20" s="19">
        <f t="shared" ca="1" si="80"/>
        <v>45101.472677999998</v>
      </c>
      <c r="AU20" s="19">
        <f t="shared" si="81"/>
        <v>96</v>
      </c>
      <c r="AV20" s="19">
        <f t="shared" ca="1" si="82"/>
        <v>58.839359999999999</v>
      </c>
      <c r="AW20" s="19">
        <f t="shared" si="83"/>
        <v>0</v>
      </c>
      <c r="AX20" s="19">
        <f t="shared" ca="1" si="84"/>
        <v>0</v>
      </c>
      <c r="AY20" s="19">
        <f t="shared" si="85"/>
        <v>2016.8199999999997</v>
      </c>
      <c r="AZ20" s="19">
        <f t="shared" ca="1" si="86"/>
        <v>1236.1291461999997</v>
      </c>
      <c r="BA20" s="19">
        <f t="shared" si="87"/>
        <v>0</v>
      </c>
      <c r="BB20" s="19">
        <f t="shared" ca="1" si="88"/>
        <v>0</v>
      </c>
      <c r="BC20" s="19">
        <f t="shared" si="89"/>
        <v>0</v>
      </c>
      <c r="BD20" s="19">
        <f t="shared" ca="1" si="90"/>
        <v>0</v>
      </c>
      <c r="BE20" s="19">
        <f t="shared" si="91"/>
        <v>0</v>
      </c>
      <c r="BF20" s="19">
        <f t="shared" ca="1" si="92"/>
        <v>0</v>
      </c>
      <c r="BG20" s="19">
        <f t="shared" si="93"/>
        <v>629.5</v>
      </c>
      <c r="BH20" s="19">
        <f t="shared" ca="1" si="94"/>
        <v>624.72209499999997</v>
      </c>
      <c r="BI20" s="19">
        <f t="shared" si="95"/>
        <v>629.5</v>
      </c>
      <c r="BJ20" s="19">
        <f t="shared" si="96"/>
        <v>629.5</v>
      </c>
      <c r="BZ20" s="18">
        <v>18</v>
      </c>
      <c r="CA20" s="26">
        <v>9</v>
      </c>
      <c r="CB20" s="27">
        <v>0.2</v>
      </c>
      <c r="CC20" s="80"/>
    </row>
    <row r="21" spans="1:81" ht="39.950000000000003" customHeight="1" x14ac:dyDescent="0.25">
      <c r="A21" s="4">
        <f t="shared" ca="1" si="71"/>
        <v>0.27</v>
      </c>
      <c r="B21" s="5" t="s">
        <v>14</v>
      </c>
      <c r="C21" s="50">
        <v>8</v>
      </c>
      <c r="D21" s="51">
        <v>0</v>
      </c>
      <c r="E21" s="51">
        <v>0</v>
      </c>
      <c r="F21" s="51">
        <v>0</v>
      </c>
      <c r="G21" s="51">
        <v>72</v>
      </c>
      <c r="H21" s="50">
        <v>22</v>
      </c>
      <c r="I21" s="50">
        <v>22</v>
      </c>
      <c r="J21" s="50">
        <v>26</v>
      </c>
      <c r="K21" s="50">
        <v>30</v>
      </c>
      <c r="L21" s="50">
        <v>30</v>
      </c>
      <c r="M21" s="50">
        <v>0</v>
      </c>
      <c r="N21" s="50">
        <v>2</v>
      </c>
      <c r="O21" s="52" t="s">
        <v>1</v>
      </c>
      <c r="P21" s="52" t="s">
        <v>1</v>
      </c>
      <c r="Q21" s="52" t="s">
        <v>1</v>
      </c>
      <c r="R21" s="53">
        <v>0</v>
      </c>
      <c r="S21" s="6">
        <f t="shared" ca="1" si="72"/>
        <v>69132.589211358281</v>
      </c>
      <c r="T21" s="6">
        <f t="shared" ca="1" si="73"/>
        <v>10922.38351512</v>
      </c>
      <c r="U21" s="7">
        <f t="shared" ca="1" si="101"/>
        <v>80054.972726478285</v>
      </c>
      <c r="V21" s="62"/>
      <c r="W21" s="66"/>
      <c r="X21" s="67"/>
      <c r="Y21" s="56"/>
      <c r="Z21" s="58"/>
      <c r="AA21" s="57"/>
      <c r="AB21" s="78"/>
      <c r="AC21" s="16" t="s">
        <v>3</v>
      </c>
      <c r="AD21" s="17">
        <f t="shared" ca="1" si="106"/>
        <v>16201.177114848813</v>
      </c>
      <c r="AE21" s="19">
        <f ca="1">COUNTIF(V1,"Ocak")*(AQ44)*-1
+COUNTIF(V1,"Şubat")*(AQ45)*-1
+COUNTIF(V1,"Mart")*(AQ46)*-1
+COUNTIF(V1,"Nisan")*(AQ47)*-1
+COUNTIF(V1,"Mayıs")*(AQ48)*-1
+COUNTIF(V1,"Haziran")*(AQ49)*-1
+COUNTIF(V1,"Temmuz")*(AQ50)*-1
+COUNTIF(V1,"Ağustos")*(AQ51)*-1
+COUNTIF(V1,"Eylül")*(AQ52)*-1
+COUNTIF(V1,"Ekim")*(AQ53)*-1
+COUNTIF(V1,"Kasım")*(AQ54)*-1
+COUNTIF(V1,"Aralık")*(AQ55)*-1
+COUNTIF(V1,"Yıllık Toplam")*(AQ56)*-1
+COUNTIF(V1,"Yıllık Ortalama")*(AQ57)*-1</f>
        <v>16201.177114848813</v>
      </c>
      <c r="AF21" s="16" t="s">
        <v>79</v>
      </c>
      <c r="AG21" s="16" t="s">
        <v>79</v>
      </c>
      <c r="AH21" s="37" t="s">
        <v>80</v>
      </c>
      <c r="AI21" s="37" t="s">
        <v>81</v>
      </c>
      <c r="AJ21" s="31">
        <f t="shared" si="105"/>
        <v>46204</v>
      </c>
      <c r="AK21" s="31">
        <f t="shared" si="74"/>
        <v>46234</v>
      </c>
      <c r="AL21" s="32">
        <f t="shared" si="102"/>
        <v>31</v>
      </c>
      <c r="AM21" s="32">
        <f t="shared" si="103"/>
        <v>27</v>
      </c>
      <c r="AN21" s="32">
        <f t="shared" si="104"/>
        <v>4</v>
      </c>
      <c r="AO21" s="17">
        <f t="shared" ref="AO21:AO26" si="107">COUNTIF($A$1,"Güvenlik Sorumlusu")*($AH$39)
+COUNTIF($A$1,"Güvenlik Görevlisi")*($AH$40)</f>
        <v>2938.43</v>
      </c>
      <c r="AP21" s="17">
        <f t="shared" ca="1" si="76"/>
        <v>1800.9931312999997</v>
      </c>
      <c r="AQ21" s="17">
        <f t="shared" ref="AQ21:AQ26" si="108">COUNTIF($A$1,"Güvenlik Sorumlusu")*($AH$39)
+COUNTIF($A$1,"Güvenlik Görevlisi")*($AH$40)</f>
        <v>2938.43</v>
      </c>
      <c r="AR21" s="19">
        <f t="shared" ca="1" si="78"/>
        <v>1943.8948746333331</v>
      </c>
      <c r="AS21" s="33">
        <f t="shared" si="79"/>
        <v>91091.33</v>
      </c>
      <c r="AT21" s="19">
        <f t="shared" ca="1" si="80"/>
        <v>55830.787070299994</v>
      </c>
      <c r="AU21" s="19">
        <f t="shared" si="81"/>
        <v>96</v>
      </c>
      <c r="AV21" s="19">
        <f t="shared" ca="1" si="82"/>
        <v>58.839359999999999</v>
      </c>
      <c r="AW21" s="19">
        <f t="shared" si="83"/>
        <v>0</v>
      </c>
      <c r="AX21" s="19">
        <f t="shared" ca="1" si="84"/>
        <v>0</v>
      </c>
      <c r="AY21" s="19">
        <f t="shared" ref="AY21:AY26" si="109">(93.08*J21)</f>
        <v>2420.08</v>
      </c>
      <c r="AZ21" s="19">
        <f t="shared" ca="1" si="86"/>
        <v>1483.2912327999998</v>
      </c>
      <c r="BA21" s="19">
        <f t="shared" ref="BA21:BA26" si="110">COUNTIF($A$1,"Güvenlik Sorumlusu")*(9987.9/30*K21)</f>
        <v>0</v>
      </c>
      <c r="BB21" s="19">
        <f t="shared" ca="1" si="88"/>
        <v>0</v>
      </c>
      <c r="BC21" s="19">
        <f t="shared" ref="BC21:BC26" si="111">(2750/30*L21)</f>
        <v>2750</v>
      </c>
      <c r="BD21" s="19">
        <f t="shared" ca="1" si="90"/>
        <v>1685.5024999999998</v>
      </c>
      <c r="BE21" s="19">
        <f t="shared" ref="BE21:BE26" si="112">(40.04*M21)</f>
        <v>0</v>
      </c>
      <c r="BF21" s="19">
        <f t="shared" ca="1" si="92"/>
        <v>0</v>
      </c>
      <c r="BG21" s="19">
        <f t="shared" ref="BG21:BG26" si="113">(377.7*N21)</f>
        <v>755.4</v>
      </c>
      <c r="BH21" s="19">
        <f t="shared" ca="1" si="94"/>
        <v>739.28591399999993</v>
      </c>
      <c r="BI21" s="19">
        <f t="shared" si="95"/>
        <v>660.6</v>
      </c>
      <c r="BJ21" s="19">
        <f t="shared" si="96"/>
        <v>755.4</v>
      </c>
      <c r="BZ21" s="18">
        <v>19</v>
      </c>
      <c r="CA21" s="26">
        <v>9.5</v>
      </c>
      <c r="CB21" s="27">
        <v>0.21</v>
      </c>
      <c r="CC21" s="80"/>
    </row>
    <row r="22" spans="1:81" ht="39.950000000000003" customHeight="1" x14ac:dyDescent="0.25">
      <c r="A22" s="4">
        <f t="shared" ca="1" si="71"/>
        <v>0.27</v>
      </c>
      <c r="B22" s="5" t="s">
        <v>15</v>
      </c>
      <c r="C22" s="50">
        <v>8</v>
      </c>
      <c r="D22" s="51">
        <v>0</v>
      </c>
      <c r="E22" s="51">
        <v>0</v>
      </c>
      <c r="F22" s="51">
        <v>0</v>
      </c>
      <c r="G22" s="51">
        <v>72</v>
      </c>
      <c r="H22" s="50">
        <v>22</v>
      </c>
      <c r="I22" s="50">
        <v>22</v>
      </c>
      <c r="J22" s="50">
        <v>26</v>
      </c>
      <c r="K22" s="50">
        <v>30</v>
      </c>
      <c r="L22" s="50">
        <v>30</v>
      </c>
      <c r="M22" s="50">
        <v>0</v>
      </c>
      <c r="N22" s="50">
        <v>2</v>
      </c>
      <c r="O22" s="52" t="s">
        <v>1</v>
      </c>
      <c r="P22" s="52" t="s">
        <v>1</v>
      </c>
      <c r="Q22" s="52" t="s">
        <v>1</v>
      </c>
      <c r="R22" s="53">
        <v>0</v>
      </c>
      <c r="S22" s="6">
        <f t="shared" ca="1" si="72"/>
        <v>70209.939211358287</v>
      </c>
      <c r="T22" s="6">
        <f t="shared" ca="1" si="73"/>
        <v>10922.38351512</v>
      </c>
      <c r="U22" s="7">
        <f t="shared" ca="1" si="101"/>
        <v>81132.322726478291</v>
      </c>
      <c r="V22" s="62"/>
      <c r="W22" s="66"/>
      <c r="X22" s="67"/>
      <c r="Y22" s="56"/>
      <c r="Z22" s="58"/>
      <c r="AA22" s="57"/>
      <c r="AB22" s="78"/>
      <c r="AC22" s="16" t="s">
        <v>4</v>
      </c>
      <c r="AD22" s="17">
        <f t="shared" ca="1" si="106"/>
        <v>1157.2269367749154</v>
      </c>
      <c r="AE22" s="19">
        <f ca="1">COUNTIF(V1,"Ocak")*(AR44)*-1
+COUNTIF(V1,"Şubat")*(AR45)*-1
+COUNTIF(V1,"Mart")*(AR46)*-1
+COUNTIF(V1,"Nisan")*(AR47)*-1
+COUNTIF(V1,"Mayıs")*(AR48)*-1
+COUNTIF(V1,"Haziran")*(AR49)*-1
+COUNTIF(V1,"Temmuz")*(AR50)*-1
+COUNTIF(V1,"Ağustos")*(AR51)*-1
+COUNTIF(V1,"Eylül")*(AR52)*-1
+COUNTIF(V1,"Ekim")*(AR53)*-1
+COUNTIF(V1,"Kasım")*(AR54)*-1
+COUNTIF(V1,"Aralık")*(AR55)*-1
+COUNTIF(V1,"Yıllık Toplam")*(AR56)*-1
+COUNTIF(V1,"Yıllık Ortalama")*(AR57)*-1</f>
        <v>1157.2269367749152</v>
      </c>
      <c r="AF22" s="16">
        <f>(1500)</f>
        <v>1500</v>
      </c>
      <c r="AG22" s="16" t="s">
        <v>0</v>
      </c>
      <c r="AH22" s="17">
        <f>($AF$29*$AF$22)</f>
        <v>2081.8065000000001</v>
      </c>
      <c r="AI22" s="17">
        <f>($AG$29*$AF$22)</f>
        <v>2363.268</v>
      </c>
      <c r="AJ22" s="31">
        <f t="shared" si="105"/>
        <v>46235</v>
      </c>
      <c r="AK22" s="31">
        <f t="shared" si="74"/>
        <v>46265</v>
      </c>
      <c r="AL22" s="32">
        <f t="shared" si="102"/>
        <v>31</v>
      </c>
      <c r="AM22" s="32">
        <f t="shared" si="103"/>
        <v>26</v>
      </c>
      <c r="AN22" s="32">
        <f t="shared" si="104"/>
        <v>5</v>
      </c>
      <c r="AO22" s="17">
        <f t="shared" si="107"/>
        <v>2938.43</v>
      </c>
      <c r="AP22" s="17">
        <f t="shared" ca="1" si="76"/>
        <v>1800.9931312999997</v>
      </c>
      <c r="AQ22" s="17">
        <f t="shared" si="108"/>
        <v>2938.43</v>
      </c>
      <c r="AR22" s="19">
        <f t="shared" ca="1" si="78"/>
        <v>1979.8065412999997</v>
      </c>
      <c r="AS22" s="33">
        <f t="shared" si="79"/>
        <v>91091.33</v>
      </c>
      <c r="AT22" s="19">
        <f t="shared" ca="1" si="80"/>
        <v>55830.787070299994</v>
      </c>
      <c r="AU22" s="19">
        <f t="shared" si="81"/>
        <v>96</v>
      </c>
      <c r="AV22" s="19">
        <f t="shared" ca="1" si="82"/>
        <v>58.839359999999999</v>
      </c>
      <c r="AW22" s="19">
        <f t="shared" si="83"/>
        <v>0</v>
      </c>
      <c r="AX22" s="19">
        <f t="shared" ca="1" si="84"/>
        <v>0</v>
      </c>
      <c r="AY22" s="19">
        <f t="shared" si="109"/>
        <v>2420.08</v>
      </c>
      <c r="AZ22" s="19">
        <f t="shared" ca="1" si="86"/>
        <v>1483.2912327999998</v>
      </c>
      <c r="BA22" s="19">
        <f t="shared" si="110"/>
        <v>0</v>
      </c>
      <c r="BB22" s="19">
        <f t="shared" ca="1" si="88"/>
        <v>0</v>
      </c>
      <c r="BC22" s="19">
        <f t="shared" si="111"/>
        <v>2750</v>
      </c>
      <c r="BD22" s="19">
        <f t="shared" ca="1" si="90"/>
        <v>1685.5024999999998</v>
      </c>
      <c r="BE22" s="19">
        <f t="shared" si="112"/>
        <v>0</v>
      </c>
      <c r="BF22" s="19">
        <f t="shared" ca="1" si="92"/>
        <v>0</v>
      </c>
      <c r="BG22" s="19">
        <f t="shared" si="113"/>
        <v>755.4</v>
      </c>
      <c r="BH22" s="19">
        <f t="shared" ca="1" si="94"/>
        <v>739.28591399999993</v>
      </c>
      <c r="BI22" s="19">
        <f t="shared" si="95"/>
        <v>660.6</v>
      </c>
      <c r="BJ22" s="19">
        <f t="shared" si="96"/>
        <v>755.4</v>
      </c>
      <c r="BZ22" s="18">
        <v>20</v>
      </c>
      <c r="CA22" s="26">
        <v>10</v>
      </c>
      <c r="CB22" s="27">
        <v>0.22</v>
      </c>
      <c r="CC22" s="80"/>
    </row>
    <row r="23" spans="1:81" ht="39.950000000000003" customHeight="1" x14ac:dyDescent="0.25">
      <c r="A23" s="4">
        <f t="shared" ca="1" si="71"/>
        <v>0.27</v>
      </c>
      <c r="B23" s="5" t="s">
        <v>16</v>
      </c>
      <c r="C23" s="50">
        <v>8</v>
      </c>
      <c r="D23" s="51">
        <v>0</v>
      </c>
      <c r="E23" s="51">
        <v>0</v>
      </c>
      <c r="F23" s="51">
        <v>0</v>
      </c>
      <c r="G23" s="51">
        <v>72</v>
      </c>
      <c r="H23" s="50">
        <v>22</v>
      </c>
      <c r="I23" s="50">
        <v>22</v>
      </c>
      <c r="J23" s="50">
        <v>26</v>
      </c>
      <c r="K23" s="50">
        <v>30</v>
      </c>
      <c r="L23" s="50">
        <v>30</v>
      </c>
      <c r="M23" s="50">
        <v>0</v>
      </c>
      <c r="N23" s="50">
        <v>2</v>
      </c>
      <c r="O23" s="52" t="s">
        <v>1</v>
      </c>
      <c r="P23" s="52" t="s">
        <v>1</v>
      </c>
      <c r="Q23" s="52" t="s">
        <v>1</v>
      </c>
      <c r="R23" s="53">
        <v>0</v>
      </c>
      <c r="S23" s="6">
        <f t="shared" ca="1" si="72"/>
        <v>95423.838639558278</v>
      </c>
      <c r="T23" s="6">
        <f t="shared" ca="1" si="73"/>
        <v>10922.38351512</v>
      </c>
      <c r="U23" s="7">
        <f t="shared" ca="1" si="101"/>
        <v>106346.22215467828</v>
      </c>
      <c r="V23" s="62"/>
      <c r="W23" s="66"/>
      <c r="X23" s="67"/>
      <c r="Y23" s="56"/>
      <c r="Z23" s="58"/>
      <c r="AA23" s="57"/>
      <c r="AB23" s="78"/>
      <c r="AC23" s="16" t="s">
        <v>31</v>
      </c>
      <c r="AD23" s="17">
        <f ca="1">IF(AE23&gt;0,AE23,AE23*-1)</f>
        <v>17797.918333333335</v>
      </c>
      <c r="AE23" s="19">
        <f ca="1">COUNTIF(V1,"Ocak")*(BA44)*-1
+COUNTIF(V1,"Şubat")*(BA45)*-1
+COUNTIF(V1,"Mart")*(BA46)*-1
+COUNTIF(V1,"Nisan")*(BA47)*-1
+COUNTIF(V1,"Mayıs")*(BA48)*-1
+COUNTIF(V1,"Haziran")*(BA49)*-1
+COUNTIF(V1,"Temmuz")*(BA50)*-1
+COUNTIF(V1,"Ağustos")*(BA51)*-1
+COUNTIF(V1,"Eylül")*(BA52)*-1
+COUNTIF(V1,"Ekim")*(BA53)*-1
+COUNTIF(V1,"Kasım")*(BA54)*-1
+COUNTIF(V1,"Aralık")*(BA55)*-1
+COUNTIF(V1,"Yıllık Toplam")*(BA56)*-1
+COUNTIF(V1,"Yıllık Ortalama")*(BA57)*-1</f>
        <v>17797.918333333335</v>
      </c>
      <c r="AF23" s="16">
        <f>(8000)</f>
        <v>8000</v>
      </c>
      <c r="AG23" s="16" t="s">
        <v>0</v>
      </c>
      <c r="AH23" s="17">
        <f>($AF$29*$AF$23)</f>
        <v>11102.968000000001</v>
      </c>
      <c r="AI23" s="17">
        <f>($AG$29*$AF$23)</f>
        <v>12604.096</v>
      </c>
      <c r="AJ23" s="31">
        <f t="shared" si="105"/>
        <v>46266</v>
      </c>
      <c r="AK23" s="31">
        <f t="shared" si="74"/>
        <v>46295</v>
      </c>
      <c r="AL23" s="32">
        <f t="shared" si="102"/>
        <v>30</v>
      </c>
      <c r="AM23" s="32">
        <f t="shared" si="103"/>
        <v>26</v>
      </c>
      <c r="AN23" s="32">
        <f t="shared" si="104"/>
        <v>4</v>
      </c>
      <c r="AO23" s="17">
        <f t="shared" si="107"/>
        <v>2938.43</v>
      </c>
      <c r="AP23" s="17">
        <f t="shared" ca="1" si="76"/>
        <v>1800.9931312999997</v>
      </c>
      <c r="AQ23" s="17">
        <f t="shared" si="108"/>
        <v>2938.43</v>
      </c>
      <c r="AR23" s="19">
        <f t="shared" ca="1" si="78"/>
        <v>1979.8065412999997</v>
      </c>
      <c r="AS23" s="33">
        <f t="shared" si="79"/>
        <v>88152.9</v>
      </c>
      <c r="AT23" s="19">
        <f t="shared" ca="1" si="80"/>
        <v>54029.793938999996</v>
      </c>
      <c r="AU23" s="19">
        <f t="shared" si="81"/>
        <v>96</v>
      </c>
      <c r="AV23" s="19">
        <f t="shared" ca="1" si="82"/>
        <v>58.839359999999999</v>
      </c>
      <c r="AW23" s="19">
        <f t="shared" si="83"/>
        <v>0</v>
      </c>
      <c r="AX23" s="19">
        <f t="shared" ca="1" si="84"/>
        <v>0</v>
      </c>
      <c r="AY23" s="19">
        <f t="shared" si="109"/>
        <v>2420.08</v>
      </c>
      <c r="AZ23" s="19">
        <f t="shared" ca="1" si="86"/>
        <v>1483.2912327999998</v>
      </c>
      <c r="BA23" s="19">
        <f t="shared" si="110"/>
        <v>0</v>
      </c>
      <c r="BB23" s="19">
        <f t="shared" ca="1" si="88"/>
        <v>0</v>
      </c>
      <c r="BC23" s="19">
        <f t="shared" si="111"/>
        <v>2750</v>
      </c>
      <c r="BD23" s="19">
        <f t="shared" ca="1" si="90"/>
        <v>1685.5024999999998</v>
      </c>
      <c r="BE23" s="19">
        <f t="shared" si="112"/>
        <v>0</v>
      </c>
      <c r="BF23" s="19">
        <f t="shared" ca="1" si="92"/>
        <v>0</v>
      </c>
      <c r="BG23" s="19">
        <f t="shared" si="113"/>
        <v>755.4</v>
      </c>
      <c r="BH23" s="19">
        <f t="shared" ca="1" si="94"/>
        <v>739.28591399999993</v>
      </c>
      <c r="BI23" s="19">
        <f t="shared" si="95"/>
        <v>660.6</v>
      </c>
      <c r="BJ23" s="19">
        <f t="shared" si="96"/>
        <v>755.4</v>
      </c>
      <c r="BZ23" s="18">
        <v>21</v>
      </c>
      <c r="CA23" s="26">
        <v>10.5</v>
      </c>
      <c r="CB23" s="27">
        <v>0.23</v>
      </c>
      <c r="CC23" s="80"/>
    </row>
    <row r="24" spans="1:81" ht="39.950000000000003" customHeight="1" x14ac:dyDescent="0.25">
      <c r="A24" s="4">
        <f t="shared" ca="1" si="71"/>
        <v>0.27</v>
      </c>
      <c r="B24" s="5" t="s">
        <v>17</v>
      </c>
      <c r="C24" s="50">
        <v>8</v>
      </c>
      <c r="D24" s="51">
        <v>0</v>
      </c>
      <c r="E24" s="51">
        <v>0</v>
      </c>
      <c r="F24" s="51">
        <v>0</v>
      </c>
      <c r="G24" s="51">
        <v>72</v>
      </c>
      <c r="H24" s="50">
        <v>22</v>
      </c>
      <c r="I24" s="50">
        <v>22</v>
      </c>
      <c r="J24" s="50">
        <v>26</v>
      </c>
      <c r="K24" s="50">
        <v>30</v>
      </c>
      <c r="L24" s="50">
        <v>30</v>
      </c>
      <c r="M24" s="50">
        <v>0</v>
      </c>
      <c r="N24" s="50">
        <v>2</v>
      </c>
      <c r="O24" s="52" t="s">
        <v>1</v>
      </c>
      <c r="P24" s="52" t="s">
        <v>1</v>
      </c>
      <c r="Q24" s="52" t="s">
        <v>1</v>
      </c>
      <c r="R24" s="53">
        <v>0</v>
      </c>
      <c r="S24" s="6">
        <f t="shared" ca="1" si="72"/>
        <v>70209.939211358287</v>
      </c>
      <c r="T24" s="6">
        <f t="shared" ca="1" si="73"/>
        <v>10922.38351512</v>
      </c>
      <c r="U24" s="7">
        <f t="shared" ca="1" si="101"/>
        <v>81132.322726478291</v>
      </c>
      <c r="V24" s="62"/>
      <c r="W24" s="66"/>
      <c r="X24" s="67"/>
      <c r="Y24" s="56"/>
      <c r="Z24" s="58"/>
      <c r="AA24" s="57"/>
      <c r="AB24" s="78"/>
      <c r="AC24" s="16" t="s">
        <v>63</v>
      </c>
      <c r="AD24" s="17">
        <f t="shared" ca="1" si="106"/>
        <v>143257.42138427761</v>
      </c>
      <c r="AE24" s="19">
        <f ca="1">COUNTIF(V1,"Ocak")*(BJ1)
+COUNTIF(V1,"Şubat")*(BJ2)
+COUNTIF(V1,"Mart")*(BJ3)
+COUNTIF(V1,"Nisan")*(BJ4)
+COUNTIF(V1,"Mayıs")*(BJ5)
+COUNTIF(V1,"Haziran")*(BJ6)
+COUNTIF(V1,"Temmuz")*(BJ7)
+COUNTIF(V1,"Ağustos")*(BJ8)
+COUNTIF(V1,"Eylül")*(BJ9)
+COUNTIF(V1,"Ekim")*(BJ10)
+COUNTIF(V1,"Kasım")*(BJ11)
+COUNTIF(V1,"Aralık")*(BJ12)
+COUNTIF(V1,"Yıllık Toplam")*(BJ13)
+COUNTIF(V1,"Yıllık Ortalama")*(BJ14)</f>
        <v>143257.42138427761</v>
      </c>
      <c r="AF24" s="16">
        <f>(500)</f>
        <v>500</v>
      </c>
      <c r="AG24" s="16" t="s">
        <v>0</v>
      </c>
      <c r="AH24" s="17">
        <f>($AF$29*$AF$24)</f>
        <v>693.93550000000005</v>
      </c>
      <c r="AI24" s="17">
        <f>($AG$29*$AF$24)</f>
        <v>787.75599999999997</v>
      </c>
      <c r="AJ24" s="31">
        <f t="shared" si="105"/>
        <v>46296</v>
      </c>
      <c r="AK24" s="31">
        <f t="shared" si="74"/>
        <v>46326</v>
      </c>
      <c r="AL24" s="32">
        <f t="shared" si="102"/>
        <v>31</v>
      </c>
      <c r="AM24" s="32">
        <f t="shared" si="103"/>
        <v>27</v>
      </c>
      <c r="AN24" s="32">
        <f t="shared" si="104"/>
        <v>4</v>
      </c>
      <c r="AO24" s="17">
        <f t="shared" si="107"/>
        <v>2938.43</v>
      </c>
      <c r="AP24" s="17">
        <f t="shared" ca="1" si="76"/>
        <v>1800.9931312999997</v>
      </c>
      <c r="AQ24" s="17">
        <f t="shared" si="108"/>
        <v>2938.43</v>
      </c>
      <c r="AR24" s="19">
        <f t="shared" ca="1" si="78"/>
        <v>1979.8065412999997</v>
      </c>
      <c r="AS24" s="33">
        <f t="shared" si="79"/>
        <v>91091.33</v>
      </c>
      <c r="AT24" s="19">
        <f t="shared" ca="1" si="80"/>
        <v>55830.787070299994</v>
      </c>
      <c r="AU24" s="19">
        <f t="shared" si="81"/>
        <v>96</v>
      </c>
      <c r="AV24" s="19">
        <f t="shared" ca="1" si="82"/>
        <v>58.839359999999999</v>
      </c>
      <c r="AW24" s="19">
        <f t="shared" si="83"/>
        <v>0</v>
      </c>
      <c r="AX24" s="19">
        <f t="shared" ca="1" si="84"/>
        <v>0</v>
      </c>
      <c r="AY24" s="19">
        <f t="shared" si="109"/>
        <v>2420.08</v>
      </c>
      <c r="AZ24" s="19">
        <f t="shared" ca="1" si="86"/>
        <v>1483.2912327999998</v>
      </c>
      <c r="BA24" s="19">
        <f t="shared" si="110"/>
        <v>0</v>
      </c>
      <c r="BB24" s="19">
        <f t="shared" ca="1" si="88"/>
        <v>0</v>
      </c>
      <c r="BC24" s="19">
        <f t="shared" si="111"/>
        <v>2750</v>
      </c>
      <c r="BD24" s="19">
        <f t="shared" ca="1" si="90"/>
        <v>1685.5024999999998</v>
      </c>
      <c r="BE24" s="19">
        <f t="shared" si="112"/>
        <v>0</v>
      </c>
      <c r="BF24" s="19">
        <f t="shared" ca="1" si="92"/>
        <v>0</v>
      </c>
      <c r="BG24" s="19">
        <f t="shared" si="113"/>
        <v>755.4</v>
      </c>
      <c r="BH24" s="19">
        <f t="shared" ca="1" si="94"/>
        <v>739.28591399999993</v>
      </c>
      <c r="BI24" s="19">
        <f t="shared" si="95"/>
        <v>660.6</v>
      </c>
      <c r="BJ24" s="19">
        <f t="shared" si="96"/>
        <v>755.4</v>
      </c>
      <c r="BZ24" s="18">
        <v>22</v>
      </c>
      <c r="CA24" s="26">
        <v>11</v>
      </c>
      <c r="CB24" s="27">
        <v>0.24</v>
      </c>
      <c r="CC24" s="80"/>
    </row>
    <row r="25" spans="1:81" ht="39.950000000000003" customHeight="1" x14ac:dyDescent="0.25">
      <c r="A25" s="4">
        <f t="shared" ca="1" si="71"/>
        <v>0.27</v>
      </c>
      <c r="B25" s="5" t="s">
        <v>18</v>
      </c>
      <c r="C25" s="50">
        <v>8</v>
      </c>
      <c r="D25" s="51">
        <v>0</v>
      </c>
      <c r="E25" s="51">
        <v>0</v>
      </c>
      <c r="F25" s="51">
        <v>0</v>
      </c>
      <c r="G25" s="51">
        <v>72</v>
      </c>
      <c r="H25" s="50">
        <v>22</v>
      </c>
      <c r="I25" s="50">
        <v>22</v>
      </c>
      <c r="J25" s="50">
        <v>26</v>
      </c>
      <c r="K25" s="50">
        <v>30</v>
      </c>
      <c r="L25" s="50">
        <v>30</v>
      </c>
      <c r="M25" s="50">
        <v>0</v>
      </c>
      <c r="N25" s="50">
        <v>2</v>
      </c>
      <c r="O25" s="52" t="s">
        <v>1</v>
      </c>
      <c r="P25" s="52" t="s">
        <v>1</v>
      </c>
      <c r="Q25" s="52" t="s">
        <v>1</v>
      </c>
      <c r="R25" s="53">
        <v>0</v>
      </c>
      <c r="S25" s="6">
        <f t="shared" ca="1" si="72"/>
        <v>68531.316395058253</v>
      </c>
      <c r="T25" s="6">
        <f t="shared" ca="1" si="73"/>
        <v>10922.38351512</v>
      </c>
      <c r="U25" s="7">
        <f t="shared" ca="1" si="101"/>
        <v>79453.699910178257</v>
      </c>
      <c r="V25" s="62"/>
      <c r="W25" s="66"/>
      <c r="X25" s="67"/>
      <c r="Y25" s="56"/>
      <c r="Z25" s="58"/>
      <c r="AA25" s="57"/>
      <c r="AB25" s="78"/>
      <c r="AC25" s="36" t="s">
        <v>38</v>
      </c>
      <c r="AD25" s="17">
        <f t="shared" ca="1" si="106"/>
        <v>84483.242818024548</v>
      </c>
      <c r="AE25" s="17">
        <f ca="1">COUNTIF(V1,"Ocak")*U15
+COUNTIF(V1,"Şubat")*U16
+COUNTIF(V1,"Mart")*U17
+COUNTIF(V1,"Nisan")*U18
+COUNTIF(V1,"Mayıs")*U19
+COUNTIF(V1,"Haziran")*U20
+COUNTIF(V1,"Temmuz")*U21
+COUNTIF(V1,"Ağustos")*U22
+COUNTIF(V1,"Eylül")*U23
+COUNTIF(V1,"Ekim")*U24
+COUNTIF(V1,"Kasım")*U25
+COUNTIF(V1,"Aralık")*U26
+COUNTIF(V1,"Yıllık Toplam")*(U27)*-1
+COUNTIF(V1,"Yıllık Ortalama")*(U28)*-1</f>
        <v>-84483.242818022307</v>
      </c>
      <c r="AF25" s="16">
        <f>(1000)</f>
        <v>1000</v>
      </c>
      <c r="AG25" s="16" t="s">
        <v>0</v>
      </c>
      <c r="AH25" s="17">
        <f>($AF$30*$AF$25)</f>
        <v>22722.792999999998</v>
      </c>
      <c r="AI25" s="17">
        <f>($AG$30*$AF$25)</f>
        <v>25794.915000000001</v>
      </c>
      <c r="AJ25" s="31">
        <f t="shared" si="105"/>
        <v>46327</v>
      </c>
      <c r="AK25" s="31">
        <f t="shared" si="74"/>
        <v>46356</v>
      </c>
      <c r="AL25" s="32">
        <f t="shared" si="102"/>
        <v>30</v>
      </c>
      <c r="AM25" s="32">
        <f t="shared" si="103"/>
        <v>25</v>
      </c>
      <c r="AN25" s="32">
        <f t="shared" si="104"/>
        <v>5</v>
      </c>
      <c r="AO25" s="17">
        <f t="shared" si="107"/>
        <v>2938.43</v>
      </c>
      <c r="AP25" s="17">
        <f t="shared" ca="1" si="76"/>
        <v>1800.9931312999997</v>
      </c>
      <c r="AQ25" s="17">
        <f t="shared" si="108"/>
        <v>2938.43</v>
      </c>
      <c r="AR25" s="19">
        <f t="shared" ca="1" si="78"/>
        <v>1979.8065412999997</v>
      </c>
      <c r="AS25" s="33">
        <f t="shared" si="79"/>
        <v>88152.9</v>
      </c>
      <c r="AT25" s="19">
        <f t="shared" ca="1" si="80"/>
        <v>54029.793938999996</v>
      </c>
      <c r="AU25" s="19">
        <f t="shared" si="81"/>
        <v>96</v>
      </c>
      <c r="AV25" s="19">
        <f t="shared" ca="1" si="82"/>
        <v>58.839359999999999</v>
      </c>
      <c r="AW25" s="19">
        <f t="shared" si="83"/>
        <v>0</v>
      </c>
      <c r="AX25" s="19">
        <f t="shared" ca="1" si="84"/>
        <v>0</v>
      </c>
      <c r="AY25" s="19">
        <f t="shared" si="109"/>
        <v>2420.08</v>
      </c>
      <c r="AZ25" s="19">
        <f t="shared" ca="1" si="86"/>
        <v>1483.2912327999998</v>
      </c>
      <c r="BA25" s="19">
        <f t="shared" si="110"/>
        <v>0</v>
      </c>
      <c r="BB25" s="19">
        <f t="shared" ca="1" si="88"/>
        <v>0</v>
      </c>
      <c r="BC25" s="19">
        <f t="shared" si="111"/>
        <v>2750</v>
      </c>
      <c r="BD25" s="19">
        <f t="shared" ca="1" si="90"/>
        <v>1685.5024999999998</v>
      </c>
      <c r="BE25" s="19">
        <f t="shared" si="112"/>
        <v>0</v>
      </c>
      <c r="BF25" s="19">
        <f t="shared" ca="1" si="92"/>
        <v>0</v>
      </c>
      <c r="BG25" s="19">
        <f t="shared" si="113"/>
        <v>755.4</v>
      </c>
      <c r="BH25" s="19">
        <f t="shared" ca="1" si="94"/>
        <v>739.28591399999993</v>
      </c>
      <c r="BI25" s="19">
        <f t="shared" si="95"/>
        <v>660.6</v>
      </c>
      <c r="BJ25" s="19">
        <f t="shared" si="96"/>
        <v>755.4</v>
      </c>
      <c r="BZ25" s="18">
        <v>23</v>
      </c>
      <c r="CA25" s="26">
        <v>11.5</v>
      </c>
      <c r="CB25" s="27">
        <v>0.25</v>
      </c>
      <c r="CC25" s="80"/>
    </row>
    <row r="26" spans="1:81" ht="39.950000000000003" customHeight="1" x14ac:dyDescent="0.25">
      <c r="A26" s="4">
        <f t="shared" ca="1" si="71"/>
        <v>0.27</v>
      </c>
      <c r="B26" s="5" t="s">
        <v>19</v>
      </c>
      <c r="C26" s="50">
        <v>8</v>
      </c>
      <c r="D26" s="51">
        <v>0</v>
      </c>
      <c r="E26" s="51">
        <v>0</v>
      </c>
      <c r="F26" s="51">
        <v>0</v>
      </c>
      <c r="G26" s="51">
        <v>72</v>
      </c>
      <c r="H26" s="50">
        <v>22</v>
      </c>
      <c r="I26" s="50">
        <v>22</v>
      </c>
      <c r="J26" s="50">
        <v>26</v>
      </c>
      <c r="K26" s="50">
        <v>30</v>
      </c>
      <c r="L26" s="50">
        <v>30</v>
      </c>
      <c r="M26" s="50">
        <v>0</v>
      </c>
      <c r="N26" s="50">
        <v>2</v>
      </c>
      <c r="O26" s="52" t="s">
        <v>1</v>
      </c>
      <c r="P26" s="52" t="s">
        <v>1</v>
      </c>
      <c r="Q26" s="52" t="s">
        <v>1</v>
      </c>
      <c r="R26" s="53">
        <v>0</v>
      </c>
      <c r="S26" s="6">
        <f t="shared" ca="1" si="72"/>
        <v>97347.211455858269</v>
      </c>
      <c r="T26" s="6">
        <f t="shared" ca="1" si="73"/>
        <v>10922.38351512</v>
      </c>
      <c r="U26" s="7">
        <f t="shared" ca="1" si="101"/>
        <v>108269.59497097827</v>
      </c>
      <c r="V26" s="62"/>
      <c r="W26" s="66"/>
      <c r="X26" s="67"/>
      <c r="Y26" s="56"/>
      <c r="Z26" s="58"/>
      <c r="AA26" s="57"/>
      <c r="AB26" s="78"/>
      <c r="AC26" s="36" t="s">
        <v>39</v>
      </c>
      <c r="AD26" s="17">
        <f t="shared" ca="1" si="106"/>
        <v>38484.500859466963</v>
      </c>
      <c r="AE26" s="17">
        <f ca="1">COUNTIF(V1,"Ocak")*(AJ44-U15)
+COUNTIF(V1,"Şubat")*(AJ45-U16)
+COUNTIF(V1,"Mart")*(AJ46-U17)
+COUNTIF(V1,"Nisan")*(AJ47-U18)
+COUNTIF(V1,"Mayıs")*(AJ48-U19)
+COUNTIF(V1,"Haziran")*(AJ49-U20)
+COUNTIF(V1,"Temmuz")*(AJ50-U21)
+COUNTIF(V1,"Ağustos")*(AJ51-U22)
+COUNTIF(V1,"Eylül")*(AJ52-U23)
+COUNTIF(V1,"Ekim")*(AJ53-U24)
+COUNTIF(V1,"Kasım")*(AJ54-U25)
+COUNTIF(V1,"Aralık")*(AJ55-U26)
+COUNTIF(V1,"Yıllık Toplam")*(AJ56-U27)*-1
+COUNTIF(V1,"Yıllık Ortalama")*(AJ57-U28)*-1</f>
        <v>-38484.500859469204</v>
      </c>
      <c r="AF26" s="16">
        <f>($AF$22+$AF$23)</f>
        <v>9500</v>
      </c>
      <c r="AG26" s="16">
        <f>(2.15)</f>
        <v>2.15</v>
      </c>
      <c r="AH26" s="17">
        <f>($AF$29*$AF$26*$AG$26)</f>
        <v>28347.265175</v>
      </c>
      <c r="AI26" s="17">
        <f>($AG$29*$AF$26*$AG$26)</f>
        <v>32179.832599999998</v>
      </c>
      <c r="AJ26" s="31">
        <f t="shared" si="105"/>
        <v>46357</v>
      </c>
      <c r="AK26" s="31">
        <f t="shared" si="74"/>
        <v>46387</v>
      </c>
      <c r="AL26" s="32">
        <f t="shared" si="102"/>
        <v>31</v>
      </c>
      <c r="AM26" s="32">
        <f t="shared" si="103"/>
        <v>27</v>
      </c>
      <c r="AN26" s="32">
        <f t="shared" si="104"/>
        <v>4</v>
      </c>
      <c r="AO26" s="17">
        <f t="shared" si="107"/>
        <v>2938.43</v>
      </c>
      <c r="AP26" s="17">
        <f t="shared" ca="1" si="76"/>
        <v>1800.9931312999997</v>
      </c>
      <c r="AQ26" s="17">
        <f t="shared" si="108"/>
        <v>2938.43</v>
      </c>
      <c r="AR26" s="19">
        <f t="shared" ca="1" si="78"/>
        <v>1979.8065412999997</v>
      </c>
      <c r="AS26" s="33">
        <f t="shared" si="79"/>
        <v>91091.33</v>
      </c>
      <c r="AT26" s="19">
        <f t="shared" ca="1" si="80"/>
        <v>55830.787070299994</v>
      </c>
      <c r="AU26" s="19">
        <f t="shared" si="81"/>
        <v>96</v>
      </c>
      <c r="AV26" s="19">
        <f t="shared" ca="1" si="82"/>
        <v>58.839359999999999</v>
      </c>
      <c r="AW26" s="19">
        <f t="shared" si="83"/>
        <v>0</v>
      </c>
      <c r="AX26" s="19">
        <f t="shared" ca="1" si="84"/>
        <v>0</v>
      </c>
      <c r="AY26" s="19">
        <f t="shared" si="109"/>
        <v>2420.08</v>
      </c>
      <c r="AZ26" s="19">
        <f t="shared" ca="1" si="86"/>
        <v>1483.2912327999998</v>
      </c>
      <c r="BA26" s="19">
        <f t="shared" si="110"/>
        <v>0</v>
      </c>
      <c r="BB26" s="19">
        <f t="shared" ca="1" si="88"/>
        <v>0</v>
      </c>
      <c r="BC26" s="19">
        <f t="shared" si="111"/>
        <v>2750</v>
      </c>
      <c r="BD26" s="19">
        <f t="shared" ca="1" si="90"/>
        <v>1685.5024999999998</v>
      </c>
      <c r="BE26" s="19">
        <f t="shared" si="112"/>
        <v>0</v>
      </c>
      <c r="BF26" s="19">
        <f t="shared" ca="1" si="92"/>
        <v>0</v>
      </c>
      <c r="BG26" s="19">
        <f t="shared" si="113"/>
        <v>755.4</v>
      </c>
      <c r="BH26" s="19">
        <f t="shared" ca="1" si="94"/>
        <v>739.28591399999993</v>
      </c>
      <c r="BI26" s="19">
        <f t="shared" si="95"/>
        <v>660.6</v>
      </c>
      <c r="BJ26" s="19">
        <f t="shared" si="96"/>
        <v>755.4</v>
      </c>
      <c r="BZ26" s="18">
        <v>24</v>
      </c>
      <c r="CA26" s="26">
        <v>12</v>
      </c>
      <c r="CB26" s="27">
        <v>0.26</v>
      </c>
      <c r="CC26" s="80"/>
    </row>
    <row r="27" spans="1:81" ht="39.950000000000003" customHeight="1" x14ac:dyDescent="0.25">
      <c r="A27" s="8" t="s">
        <v>0</v>
      </c>
      <c r="B27" s="9" t="s">
        <v>97</v>
      </c>
      <c r="C27" s="3" t="s">
        <v>0</v>
      </c>
      <c r="D27" s="10">
        <f t="shared" ref="D27:N27" si="114">(D15+D16+D17+D18+D19+D20+D21+D22+D23+D24+D25+D26)</f>
        <v>0</v>
      </c>
      <c r="E27" s="10">
        <f t="shared" si="114"/>
        <v>0</v>
      </c>
      <c r="F27" s="10">
        <f t="shared" si="114"/>
        <v>0</v>
      </c>
      <c r="G27" s="10">
        <f t="shared" si="114"/>
        <v>864</v>
      </c>
      <c r="H27" s="11">
        <f t="shared" si="114"/>
        <v>264</v>
      </c>
      <c r="I27" s="11">
        <f t="shared" si="114"/>
        <v>264</v>
      </c>
      <c r="J27" s="11">
        <f t="shared" si="114"/>
        <v>312</v>
      </c>
      <c r="K27" s="11">
        <f t="shared" si="114"/>
        <v>360</v>
      </c>
      <c r="L27" s="11">
        <f t="shared" si="114"/>
        <v>360</v>
      </c>
      <c r="M27" s="11">
        <f t="shared" si="114"/>
        <v>0</v>
      </c>
      <c r="N27" s="11">
        <f t="shared" si="114"/>
        <v>24</v>
      </c>
      <c r="O27" s="3" t="s">
        <v>0</v>
      </c>
      <c r="P27" s="3" t="s">
        <v>0</v>
      </c>
      <c r="Q27" s="3" t="s">
        <v>0</v>
      </c>
      <c r="R27" s="1" t="s">
        <v>0</v>
      </c>
      <c r="S27" s="12">
        <f t="shared" ref="S27" ca="1" si="115">(S15+S16+S17+S18+S19+S20+S21+S22+S23+S24+S25+S26)</f>
        <v>884680.63358119561</v>
      </c>
      <c r="T27" s="12">
        <f t="shared" ref="T27" ca="1" si="116">(T15+T16+T17+T18+T19+T20+T21+T22+T23+T24+T25+T26)</f>
        <v>129118.28023507207</v>
      </c>
      <c r="U27" s="13">
        <f t="shared" ref="U27" ca="1" si="117">(U15+U16+U17+U18+U19+U20+U21+U22+U23+U24+U25+U26)</f>
        <v>1013798.9138162676</v>
      </c>
      <c r="V27" s="62"/>
      <c r="W27" s="66"/>
      <c r="X27" s="67"/>
      <c r="Y27" s="56"/>
      <c r="Z27" s="58"/>
      <c r="AA27" s="57"/>
      <c r="AB27" s="78"/>
      <c r="AC27" s="16" t="s">
        <v>0</v>
      </c>
      <c r="AD27" s="17" t="s">
        <v>0</v>
      </c>
      <c r="AE27" s="17" t="s">
        <v>0</v>
      </c>
      <c r="AF27" s="16" t="s">
        <v>0</v>
      </c>
      <c r="AG27" s="16" t="s">
        <v>0</v>
      </c>
      <c r="AH27" s="17">
        <f>($AH$22+$AH$23+$AH$24+$AH$25+$AH$26)</f>
        <v>64948.768174999997</v>
      </c>
      <c r="AI27" s="17">
        <f>($AI$22+$AI$23+$AI$24+$AI$25+$AI$26)</f>
        <v>73729.867599999998</v>
      </c>
      <c r="AJ27" s="29" t="s">
        <v>0</v>
      </c>
      <c r="AK27" s="29" t="s">
        <v>0</v>
      </c>
      <c r="AL27" s="38">
        <f>(AL15+AL16+AL17+AL18+AL19+AL20+AL21+AL22+AL23+AL24+AL25+AL26)</f>
        <v>365</v>
      </c>
      <c r="AM27" s="38">
        <f>(AM15+AM16+AM17+AM18+AM19+AM20+AM21+AM22+AM23+AM24+AM25+AM26)</f>
        <v>313</v>
      </c>
      <c r="AN27" s="38">
        <f>(AN15+AN16+AN17+AN18+AN19+AN20+AN21+AN22+AN23+AN24+AN25+AN26)</f>
        <v>52</v>
      </c>
      <c r="AO27" s="19">
        <f>(AO15+AO16+AO17+AO18+AO19+AO20+AO21+AO22+AO23+AO24+AO25+AO26)</f>
        <v>32347.74</v>
      </c>
      <c r="AP27" s="19">
        <f t="shared" ref="AP27:AR27" ca="1" si="118">(AP15+AP16+AP17+AP18+AP19+AP20+AP21+AP22+AP23+AP24+AP25+AP26)</f>
        <v>20799.283431280019</v>
      </c>
      <c r="AQ27" s="19">
        <f t="shared" si="118"/>
        <v>32347.74</v>
      </c>
      <c r="AR27" s="19">
        <f t="shared" ca="1" si="118"/>
        <v>22628.378684613355</v>
      </c>
      <c r="AS27" s="19">
        <f t="shared" ref="AS27:AT27" si="119">(AS15+AS16+AS17+AS18+AS19+AS20+AS21+AS22+AS23+AS24+AS25+AS26)</f>
        <v>984638.77999999991</v>
      </c>
      <c r="AT27" s="19">
        <f t="shared" ca="1" si="119"/>
        <v>632762.36766408046</v>
      </c>
      <c r="AU27" s="19">
        <f t="shared" ref="AU27:AV27" si="120">(AU15+AU16+AU17+AU18+AU19+AU20+AU21+AU22+AU23+AU24+AU25+AU26)</f>
        <v>1152</v>
      </c>
      <c r="AV27" s="19">
        <f t="shared" ca="1" si="120"/>
        <v>744.15475860492711</v>
      </c>
      <c r="AW27" s="19">
        <f t="shared" ref="AW27:AX27" si="121">(AW15+AW16+AW17+AW18+AW19+AW20+AW21+AW22+AW23+AW24+AW25+AW26)</f>
        <v>0</v>
      </c>
      <c r="AX27" s="19">
        <f t="shared" ca="1" si="121"/>
        <v>0</v>
      </c>
      <c r="AY27" s="19">
        <f t="shared" ref="AY27:AZ27" si="122">(AY15+AY16+AY17+AY18+AY19+AY20+AY21+AY22+AY23+AY24+AY25+AY26)</f>
        <v>26621.4</v>
      </c>
      <c r="AZ27" s="19">
        <f t="shared" ca="1" si="122"/>
        <v>17116.578772199889</v>
      </c>
      <c r="BA27" s="19">
        <f t="shared" ref="BA27:BB27" si="123">(BA15+BA16+BA17+BA18+BA19+BA20+BA21+BA22+BA23+BA24+BA25+BA26)</f>
        <v>0</v>
      </c>
      <c r="BB27" s="19">
        <f t="shared" ca="1" si="123"/>
        <v>0</v>
      </c>
      <c r="BC27" s="19">
        <f t="shared" ref="BC27:BD27" si="124">(BC15+BC16+BC17+BC18+BC19+BC20+BC21+BC22+BC23+BC24+BC25+BC26)</f>
        <v>16500</v>
      </c>
      <c r="BD27" s="19">
        <f t="shared" ca="1" si="124"/>
        <v>10113.014999999999</v>
      </c>
      <c r="BE27" s="19">
        <f>(BE15+BE16+BE17+BE18+BE19+BE20+BE21+BE22+BE23+BE24+BE25+BE26)</f>
        <v>0</v>
      </c>
      <c r="BF27" s="19">
        <f ca="1">(BF15+BF16+BF17+BF18+BF19+BF20+BF21+BF22+BF23+BF24+BF25+BF26)</f>
        <v>0</v>
      </c>
      <c r="BG27" s="19">
        <f t="shared" ref="BG27:BH27" si="125">(BG15+BG16+BG17+BG18+BG19+BG20+BG21+BG22+BG23+BG24+BG25+BG26)</f>
        <v>8309.3999999999978</v>
      </c>
      <c r="BH27" s="19">
        <f t="shared" ca="1" si="125"/>
        <v>8184.0480539999999</v>
      </c>
      <c r="BI27" s="19">
        <f t="shared" ref="BI27:BJ27" si="126">(BI15+BI16+BI17+BI18+BI19+BI20+BI21+BI22+BI23+BI24+BI25+BI26)</f>
        <v>7740.6000000000022</v>
      </c>
      <c r="BJ27" s="19">
        <f t="shared" si="126"/>
        <v>8309.3999999999978</v>
      </c>
      <c r="BZ27" s="18">
        <v>25</v>
      </c>
      <c r="CA27" s="26">
        <v>12.5</v>
      </c>
      <c r="CB27" s="27">
        <v>0.27</v>
      </c>
      <c r="CC27" s="80"/>
    </row>
    <row r="28" spans="1:81" ht="39.950000000000003" customHeight="1" x14ac:dyDescent="0.25">
      <c r="A28" s="14">
        <f ca="1">(AY57)</f>
        <v>0.23110862070575236</v>
      </c>
      <c r="B28" s="9" t="s">
        <v>98</v>
      </c>
      <c r="C28" s="3" t="s">
        <v>0</v>
      </c>
      <c r="D28" s="11" t="s">
        <v>0</v>
      </c>
      <c r="E28" s="11" t="s">
        <v>0</v>
      </c>
      <c r="F28" s="3" t="s">
        <v>0</v>
      </c>
      <c r="G28" s="3" t="s">
        <v>0</v>
      </c>
      <c r="H28" s="3" t="s">
        <v>0</v>
      </c>
      <c r="I28" s="3" t="s">
        <v>0</v>
      </c>
      <c r="J28" s="3" t="s">
        <v>0</v>
      </c>
      <c r="K28" s="3" t="s">
        <v>0</v>
      </c>
      <c r="L28" s="3" t="s">
        <v>0</v>
      </c>
      <c r="M28" s="3" t="s">
        <v>0</v>
      </c>
      <c r="N28" s="3" t="s">
        <v>0</v>
      </c>
      <c r="O28" s="3" t="s">
        <v>0</v>
      </c>
      <c r="P28" s="3" t="s">
        <v>0</v>
      </c>
      <c r="Q28" s="3" t="s">
        <v>0</v>
      </c>
      <c r="R28" s="3" t="s">
        <v>0</v>
      </c>
      <c r="S28" s="12">
        <f ca="1">(S27/12)</f>
        <v>73723.386131766296</v>
      </c>
      <c r="T28" s="12">
        <f ca="1">(T27/12)</f>
        <v>10759.856686256006</v>
      </c>
      <c r="U28" s="13">
        <f ca="1">(U27/12)</f>
        <v>84483.242818022307</v>
      </c>
      <c r="V28" s="62"/>
      <c r="W28" s="66"/>
      <c r="X28" s="67"/>
      <c r="Y28" s="63"/>
      <c r="Z28" s="64"/>
      <c r="AA28" s="65"/>
      <c r="AB28" s="79"/>
      <c r="AC28" s="16" t="s">
        <v>0</v>
      </c>
      <c r="AD28" s="17" t="s">
        <v>0</v>
      </c>
      <c r="AE28" s="17" t="s">
        <v>0</v>
      </c>
      <c r="AJ28" s="29" t="s">
        <v>0</v>
      </c>
      <c r="AK28" s="29" t="s">
        <v>0</v>
      </c>
      <c r="AL28" s="29" t="s">
        <v>0</v>
      </c>
      <c r="AM28" s="29" t="s">
        <v>0</v>
      </c>
      <c r="AN28" s="29" t="s">
        <v>0</v>
      </c>
      <c r="AO28" s="19">
        <f>(AO27/12)</f>
        <v>2695.645</v>
      </c>
      <c r="AP28" s="19">
        <f t="shared" ref="AP28:AR28" ca="1" si="127">(AP27/12)</f>
        <v>1733.2736192733348</v>
      </c>
      <c r="AQ28" s="19">
        <f t="shared" si="127"/>
        <v>2695.645</v>
      </c>
      <c r="AR28" s="19">
        <f t="shared" ca="1" si="127"/>
        <v>1885.6982237177797</v>
      </c>
      <c r="AS28" s="19">
        <f t="shared" ref="AS28:AT28" si="128">(AS27/12)</f>
        <v>82053.231666666659</v>
      </c>
      <c r="AT28" s="19">
        <f t="shared" ca="1" si="128"/>
        <v>52730.197305340036</v>
      </c>
      <c r="AU28" s="19">
        <f t="shared" ref="AU28:AV28" si="129">(AU27/12)</f>
        <v>96</v>
      </c>
      <c r="AV28" s="19">
        <f t="shared" ca="1" si="129"/>
        <v>62.012896550410595</v>
      </c>
      <c r="AW28" s="19">
        <f t="shared" ref="AW28:AX28" si="130">(AW27/12)</f>
        <v>0</v>
      </c>
      <c r="AX28" s="19">
        <f t="shared" ca="1" si="130"/>
        <v>0</v>
      </c>
      <c r="AY28" s="19">
        <f t="shared" ref="AY28:AZ28" si="131">(AY27/12)</f>
        <v>2218.4500000000003</v>
      </c>
      <c r="AZ28" s="19">
        <f t="shared" ca="1" si="131"/>
        <v>1426.3815643499909</v>
      </c>
      <c r="BA28" s="19">
        <f t="shared" ref="BA28:BB28" si="132">(BA27/12)</f>
        <v>0</v>
      </c>
      <c r="BB28" s="19">
        <f t="shared" ca="1" si="132"/>
        <v>0</v>
      </c>
      <c r="BC28" s="19">
        <f t="shared" ref="BC28:BD28" si="133">(BC27/12)</f>
        <v>1375</v>
      </c>
      <c r="BD28" s="19">
        <f t="shared" ca="1" si="133"/>
        <v>842.75124999999991</v>
      </c>
      <c r="BE28" s="19">
        <f>(BE27/12)</f>
        <v>0</v>
      </c>
      <c r="BF28" s="19">
        <f ca="1">(BF27/12)</f>
        <v>0</v>
      </c>
      <c r="BG28" s="19">
        <f t="shared" ref="BG28:BH28" si="134">(BG27/12)</f>
        <v>692.44999999999982</v>
      </c>
      <c r="BH28" s="19">
        <f t="shared" ca="1" si="134"/>
        <v>682.00400449999995</v>
      </c>
      <c r="BI28" s="19">
        <f t="shared" ref="BI28:BJ28" si="135">(BI27/12)</f>
        <v>645.05000000000018</v>
      </c>
      <c r="BJ28" s="19">
        <f t="shared" si="135"/>
        <v>692.44999999999982</v>
      </c>
      <c r="BZ28" s="18">
        <v>26</v>
      </c>
      <c r="CA28" s="26">
        <v>13</v>
      </c>
      <c r="CB28" s="27">
        <v>0.28000000000000003</v>
      </c>
      <c r="CC28" s="80"/>
    </row>
    <row r="29" spans="1:81" ht="39.950000000000003" hidden="1" customHeight="1" x14ac:dyDescent="0.25">
      <c r="AC29" s="39" t="s">
        <v>21</v>
      </c>
      <c r="AD29" s="39" t="s">
        <v>64</v>
      </c>
      <c r="AF29" s="40">
        <v>1.3878710000000001</v>
      </c>
      <c r="AG29" s="40">
        <v>1.575512</v>
      </c>
      <c r="AH29" s="16" t="s">
        <v>0</v>
      </c>
      <c r="AI29" s="36" t="s">
        <v>0</v>
      </c>
      <c r="AJ29" s="19">
        <f t="shared" ref="AJ29:AJ40" si="136">(AX1*0.01*-1)</f>
        <v>0</v>
      </c>
      <c r="AK29" s="19">
        <f t="shared" ref="AK29:AK40" si="137">(AR1+AY1+AJ29)</f>
        <v>6600</v>
      </c>
      <c r="AL29" s="19">
        <f t="shared" ref="AL29:AL34" si="138">IF($AH$14*H15&gt;=AP1,AP1,$AH$14*H15)</f>
        <v>6600</v>
      </c>
      <c r="AM29" s="19">
        <f>IF(AK29-AL29&lt;=0,0,AK29-AL29)</f>
        <v>0</v>
      </c>
      <c r="AN29" s="19">
        <f t="shared" ref="AN29:AN40" ca="1" si="139">IF(AM29*AY44*-1&gt;=0,0,AM29*AY44*-1)</f>
        <v>0</v>
      </c>
      <c r="AO29" s="19">
        <f t="shared" ref="AO29:AO40" ca="1" si="140">(AP29/BD44)</f>
        <v>3382.989933464818</v>
      </c>
      <c r="AP29" s="17">
        <f t="shared" ref="AP29:AP34" si="141">(3298/30*I15)</f>
        <v>2418.5333333333333</v>
      </c>
      <c r="AQ29" s="38">
        <v>0</v>
      </c>
      <c r="AR29" s="19">
        <f t="shared" ref="AR29:AR40" si="142">(AO15*AQ29)</f>
        <v>0</v>
      </c>
      <c r="AS29" s="19">
        <f t="shared" ref="AS29:AS40" ca="1" si="143">(AR29*BD44)</f>
        <v>0</v>
      </c>
      <c r="AT29" s="38">
        <v>30</v>
      </c>
      <c r="AU29" s="19">
        <f>(5102.93/30*AT29)</f>
        <v>5102.93</v>
      </c>
      <c r="AV29" s="19">
        <f t="shared" ref="AV29:AV40" ca="1" si="144">(AU29*BD44)</f>
        <v>3648.1356863000005</v>
      </c>
      <c r="AW29" s="38">
        <v>30</v>
      </c>
      <c r="AX29" s="19">
        <f>(377.69/30*AW29)</f>
        <v>377.69</v>
      </c>
      <c r="AY29" s="19">
        <f t="shared" ref="AY29:AY40" ca="1" si="145">AX29-(AX29*0.00759)-((AX29-AZ29)*0.14)-((AX29-AZ29)*0.01)-((AX29-(AX29-AZ29)*0.14-(AX29-AZ29)*0.01)-BA29)*AY44</f>
        <v>326.6678579</v>
      </c>
      <c r="AZ29" s="19">
        <f>(0)</f>
        <v>0</v>
      </c>
      <c r="BA29" s="19">
        <f t="shared" ref="BA29:BA34" si="146">IF(AX29&lt;=$AH$12,AX29,$AH$12)</f>
        <v>377.69</v>
      </c>
      <c r="BB29" s="20">
        <f t="shared" ref="BB29:BB40" ca="1" si="147">(AP44*R15+BC29)*-1</f>
        <v>0</v>
      </c>
      <c r="BC29" s="20">
        <f t="shared" ref="BC29:BC40" si="148">(AW15+AJ1+AL1+AN1+AP1-AW1)*(R15*-1)</f>
        <v>0</v>
      </c>
      <c r="BD29" s="20">
        <f ca="1">(BB29+BC29)</f>
        <v>0</v>
      </c>
      <c r="BE29" s="17">
        <f t="shared" ref="BE29:BF34" si="149">($AH$8)</f>
        <v>33030</v>
      </c>
      <c r="BF29" s="19">
        <f t="shared" si="149"/>
        <v>33030</v>
      </c>
      <c r="BG29" s="19">
        <f t="shared" ref="BG29:BG40" si="150">(BE29-BF29)</f>
        <v>0</v>
      </c>
      <c r="BH29" s="19">
        <f>(BG29*0.00759*-1)</f>
        <v>0</v>
      </c>
      <c r="BI29" s="19">
        <f>(BE29*0.00759)</f>
        <v>250.69770000000003</v>
      </c>
      <c r="BJ29" s="19">
        <f>(BE29)</f>
        <v>33030</v>
      </c>
      <c r="BK29" s="19">
        <f>(0)</f>
        <v>0</v>
      </c>
      <c r="BL29" s="19">
        <f>(BJ29-BK29)</f>
        <v>33030</v>
      </c>
      <c r="BM29" s="19">
        <f>(BL29*0.14*-1)</f>
        <v>-4624.2000000000007</v>
      </c>
      <c r="BN29" s="19">
        <f>(BL29*0.01*-1)</f>
        <v>-330.3</v>
      </c>
      <c r="BO29" s="41" t="s">
        <v>1</v>
      </c>
      <c r="BP29" s="16" t="s">
        <v>65</v>
      </c>
      <c r="BQ29" s="16" t="s">
        <v>65</v>
      </c>
      <c r="BZ29" s="18">
        <v>27</v>
      </c>
      <c r="CA29" s="26">
        <v>13.5</v>
      </c>
      <c r="CB29" s="27">
        <v>0.28999999999999998</v>
      </c>
    </row>
    <row r="30" spans="1:81" ht="39.950000000000003" hidden="1" customHeight="1" x14ac:dyDescent="0.25">
      <c r="AC30" s="42" t="s">
        <v>20</v>
      </c>
      <c r="AD30" s="43" t="s">
        <v>105</v>
      </c>
      <c r="AF30" s="40">
        <v>22.722792999999999</v>
      </c>
      <c r="AG30" s="40">
        <v>25.794915</v>
      </c>
      <c r="AH30" s="16" t="s">
        <v>0</v>
      </c>
      <c r="AI30" s="36" t="s">
        <v>0</v>
      </c>
      <c r="AJ30" s="19">
        <f t="shared" si="136"/>
        <v>0</v>
      </c>
      <c r="AK30" s="19">
        <f t="shared" si="137"/>
        <v>6600</v>
      </c>
      <c r="AL30" s="19">
        <f t="shared" si="138"/>
        <v>6600</v>
      </c>
      <c r="AM30" s="19">
        <f t="shared" ref="AM30:AM40" si="151">IF(AK30-AL30&lt;=0,0,AK30-AL30)</f>
        <v>0</v>
      </c>
      <c r="AN30" s="19">
        <f t="shared" ca="1" si="139"/>
        <v>0</v>
      </c>
      <c r="AO30" s="19">
        <f t="shared" ca="1" si="140"/>
        <v>3382.989933464818</v>
      </c>
      <c r="AP30" s="17">
        <f t="shared" si="141"/>
        <v>2418.5333333333333</v>
      </c>
      <c r="AQ30" s="38">
        <v>0</v>
      </c>
      <c r="AR30" s="19">
        <f t="shared" si="142"/>
        <v>0</v>
      </c>
      <c r="AS30" s="19">
        <f t="shared" ca="1" si="143"/>
        <v>0</v>
      </c>
      <c r="AT30" s="38">
        <v>30</v>
      </c>
      <c r="AU30" s="19">
        <f t="shared" ref="AU30:AU34" si="152">(5102.93/30*AT30)</f>
        <v>5102.93</v>
      </c>
      <c r="AV30" s="19">
        <f t="shared" ca="1" si="144"/>
        <v>3648.1356863000005</v>
      </c>
      <c r="AW30" s="38">
        <v>30</v>
      </c>
      <c r="AX30" s="19">
        <f t="shared" ref="AX30:AX34" si="153">(377.69/30*AW30)</f>
        <v>377.69</v>
      </c>
      <c r="AY30" s="19">
        <f t="shared" ca="1" si="145"/>
        <v>326.6678579</v>
      </c>
      <c r="AZ30" s="19">
        <f>(0)</f>
        <v>0</v>
      </c>
      <c r="BA30" s="19">
        <f t="shared" si="146"/>
        <v>377.69</v>
      </c>
      <c r="BB30" s="20">
        <f t="shared" ca="1" si="147"/>
        <v>0</v>
      </c>
      <c r="BC30" s="20">
        <f t="shared" si="148"/>
        <v>0</v>
      </c>
      <c r="BD30" s="20">
        <f t="shared" ref="BD30:BD40" ca="1" si="154">(BB30+BC30)</f>
        <v>0</v>
      </c>
      <c r="BE30" s="17">
        <f t="shared" si="149"/>
        <v>33030</v>
      </c>
      <c r="BF30" s="19">
        <f t="shared" si="149"/>
        <v>33030</v>
      </c>
      <c r="BG30" s="19">
        <f t="shared" si="150"/>
        <v>0</v>
      </c>
      <c r="BH30" s="19">
        <f t="shared" ref="BH30:BH40" si="155">(BG30*0.00759*-1)</f>
        <v>0</v>
      </c>
      <c r="BI30" s="19">
        <f t="shared" ref="BI30:BI40" si="156">(BE30*0.00759)</f>
        <v>250.69770000000003</v>
      </c>
      <c r="BJ30" s="19">
        <f t="shared" ref="BJ30:BJ40" si="157">(BE30)</f>
        <v>33030</v>
      </c>
      <c r="BK30" s="19">
        <f>(0)</f>
        <v>0</v>
      </c>
      <c r="BL30" s="19">
        <f t="shared" ref="BL30:BL40" si="158">(BJ30-BK30)</f>
        <v>33030</v>
      </c>
      <c r="BM30" s="19">
        <f t="shared" ref="BM30:BM40" si="159">(BL30*0.14*-1)</f>
        <v>-4624.2000000000007</v>
      </c>
      <c r="BN30" s="19">
        <f t="shared" ref="BN30:BN40" si="160">(BL30*0.01*-1)</f>
        <v>-330.3</v>
      </c>
      <c r="BO30" s="44" t="s">
        <v>46</v>
      </c>
      <c r="BP30" s="20">
        <v>0</v>
      </c>
      <c r="BQ30" s="20">
        <v>0</v>
      </c>
      <c r="BZ30" s="18">
        <v>28</v>
      </c>
      <c r="CA30" s="26">
        <v>14</v>
      </c>
      <c r="CB30" s="27">
        <v>0.3</v>
      </c>
    </row>
    <row r="31" spans="1:81" ht="39.950000000000003" hidden="1" customHeight="1" x14ac:dyDescent="0.25">
      <c r="AC31" s="42" t="s">
        <v>22</v>
      </c>
      <c r="AD31" s="45" t="s">
        <v>44</v>
      </c>
      <c r="AF31" s="40">
        <v>0.44144099999999997</v>
      </c>
      <c r="AG31" s="40">
        <v>0.49964900000000001</v>
      </c>
      <c r="AH31" s="16" t="s">
        <v>0</v>
      </c>
      <c r="AI31" s="36" t="s">
        <v>0</v>
      </c>
      <c r="AJ31" s="19">
        <f t="shared" si="136"/>
        <v>0</v>
      </c>
      <c r="AK31" s="19">
        <f t="shared" si="137"/>
        <v>6600</v>
      </c>
      <c r="AL31" s="19">
        <f t="shared" si="138"/>
        <v>6600</v>
      </c>
      <c r="AM31" s="19">
        <f t="shared" si="151"/>
        <v>0</v>
      </c>
      <c r="AN31" s="19">
        <f t="shared" ca="1" si="139"/>
        <v>0</v>
      </c>
      <c r="AO31" s="19">
        <f t="shared" ca="1" si="140"/>
        <v>3506.1570201648365</v>
      </c>
      <c r="AP31" s="17">
        <f t="shared" si="141"/>
        <v>2418.5333333333333</v>
      </c>
      <c r="AQ31" s="38">
        <v>15</v>
      </c>
      <c r="AR31" s="19">
        <f t="shared" si="142"/>
        <v>36792.9</v>
      </c>
      <c r="AS31" s="19">
        <f t="shared" ca="1" si="143"/>
        <v>25379.597824120414</v>
      </c>
      <c r="AT31" s="38">
        <v>30</v>
      </c>
      <c r="AU31" s="19">
        <f t="shared" si="152"/>
        <v>5102.93</v>
      </c>
      <c r="AV31" s="19">
        <f t="shared" ca="1" si="144"/>
        <v>3519.9810595152539</v>
      </c>
      <c r="AW31" s="38">
        <v>30</v>
      </c>
      <c r="AX31" s="19">
        <f t="shared" si="153"/>
        <v>377.69</v>
      </c>
      <c r="AY31" s="19">
        <f t="shared" ca="1" si="145"/>
        <v>328.34173087990615</v>
      </c>
      <c r="AZ31" s="19">
        <f>(0)</f>
        <v>0</v>
      </c>
      <c r="BA31" s="19">
        <f t="shared" si="146"/>
        <v>377.69</v>
      </c>
      <c r="BB31" s="20">
        <f t="shared" ca="1" si="147"/>
        <v>0</v>
      </c>
      <c r="BC31" s="20">
        <f t="shared" si="148"/>
        <v>0</v>
      </c>
      <c r="BD31" s="20">
        <f t="shared" ca="1" si="154"/>
        <v>0</v>
      </c>
      <c r="BE31" s="17">
        <f t="shared" si="149"/>
        <v>33030</v>
      </c>
      <c r="BF31" s="19">
        <f t="shared" si="149"/>
        <v>33030</v>
      </c>
      <c r="BG31" s="19">
        <f t="shared" si="150"/>
        <v>0</v>
      </c>
      <c r="BH31" s="19">
        <f t="shared" si="155"/>
        <v>0</v>
      </c>
      <c r="BI31" s="19">
        <f t="shared" si="156"/>
        <v>250.69770000000003</v>
      </c>
      <c r="BJ31" s="19">
        <f t="shared" si="157"/>
        <v>33030</v>
      </c>
      <c r="BK31" s="19">
        <f>(0)</f>
        <v>0</v>
      </c>
      <c r="BL31" s="19">
        <f t="shared" si="158"/>
        <v>33030</v>
      </c>
      <c r="BM31" s="19">
        <f t="shared" si="159"/>
        <v>-4624.2000000000007</v>
      </c>
      <c r="BN31" s="19">
        <f t="shared" si="160"/>
        <v>-330.3</v>
      </c>
      <c r="BO31" s="44" t="s">
        <v>68</v>
      </c>
      <c r="BP31" s="20">
        <v>2386.2399999999998</v>
      </c>
      <c r="BQ31" s="20">
        <v>2386.2399999999998</v>
      </c>
      <c r="BZ31" s="18">
        <v>29</v>
      </c>
      <c r="CA31" s="26">
        <v>14.5</v>
      </c>
      <c r="CB31" s="27">
        <v>0.31</v>
      </c>
    </row>
    <row r="32" spans="1:81" ht="39.950000000000003" hidden="1" customHeight="1" x14ac:dyDescent="0.25">
      <c r="AC32" s="42" t="s">
        <v>40</v>
      </c>
      <c r="AD32" s="17" t="s">
        <v>75</v>
      </c>
      <c r="AJ32" s="19">
        <f t="shared" si="136"/>
        <v>0</v>
      </c>
      <c r="AK32" s="19">
        <f t="shared" si="137"/>
        <v>6600</v>
      </c>
      <c r="AL32" s="19">
        <f t="shared" si="138"/>
        <v>6600</v>
      </c>
      <c r="AM32" s="19">
        <f t="shared" si="151"/>
        <v>0</v>
      </c>
      <c r="AN32" s="19">
        <f t="shared" ca="1" si="139"/>
        <v>0</v>
      </c>
      <c r="AO32" s="19">
        <f t="shared" ca="1" si="140"/>
        <v>3596.8134521100719</v>
      </c>
      <c r="AP32" s="17">
        <f t="shared" si="141"/>
        <v>2418.5333333333333</v>
      </c>
      <c r="AQ32" s="38">
        <v>0</v>
      </c>
      <c r="AR32" s="19">
        <f t="shared" si="142"/>
        <v>0</v>
      </c>
      <c r="AS32" s="19">
        <f t="shared" ca="1" si="143"/>
        <v>0</v>
      </c>
      <c r="AT32" s="38">
        <v>30</v>
      </c>
      <c r="AU32" s="19">
        <f t="shared" si="152"/>
        <v>5102.93</v>
      </c>
      <c r="AV32" s="19">
        <f t="shared" ca="1" si="144"/>
        <v>3431.2611612999999</v>
      </c>
      <c r="AW32" s="38">
        <v>30</v>
      </c>
      <c r="AX32" s="19">
        <f t="shared" si="153"/>
        <v>377.69</v>
      </c>
      <c r="AY32" s="19">
        <f t="shared" ca="1" si="145"/>
        <v>329.5005329</v>
      </c>
      <c r="AZ32" s="19">
        <f>(0)</f>
        <v>0</v>
      </c>
      <c r="BA32" s="19">
        <f t="shared" si="146"/>
        <v>377.69</v>
      </c>
      <c r="BB32" s="20">
        <f t="shared" ca="1" si="147"/>
        <v>0</v>
      </c>
      <c r="BC32" s="20">
        <f t="shared" si="148"/>
        <v>0</v>
      </c>
      <c r="BD32" s="20">
        <f t="shared" ca="1" si="154"/>
        <v>0</v>
      </c>
      <c r="BE32" s="17">
        <f t="shared" si="149"/>
        <v>33030</v>
      </c>
      <c r="BF32" s="19">
        <f t="shared" si="149"/>
        <v>33030</v>
      </c>
      <c r="BG32" s="19">
        <f t="shared" si="150"/>
        <v>0</v>
      </c>
      <c r="BH32" s="19">
        <f t="shared" si="155"/>
        <v>0</v>
      </c>
      <c r="BI32" s="19">
        <f t="shared" si="156"/>
        <v>250.69770000000003</v>
      </c>
      <c r="BJ32" s="19">
        <f t="shared" si="157"/>
        <v>33030</v>
      </c>
      <c r="BK32" s="19">
        <f>(0)</f>
        <v>0</v>
      </c>
      <c r="BL32" s="19">
        <f t="shared" si="158"/>
        <v>33030</v>
      </c>
      <c r="BM32" s="19">
        <f t="shared" si="159"/>
        <v>-4624.2000000000007</v>
      </c>
      <c r="BN32" s="19">
        <f t="shared" si="160"/>
        <v>-330.3</v>
      </c>
      <c r="BO32" s="44" t="s">
        <v>69</v>
      </c>
      <c r="BP32" s="20">
        <v>2386.2399999999998</v>
      </c>
      <c r="BQ32" s="20">
        <v>2386.2399999999998</v>
      </c>
      <c r="BZ32" s="18">
        <v>30</v>
      </c>
      <c r="CA32" s="26">
        <v>15</v>
      </c>
      <c r="CB32" s="27">
        <v>0.32</v>
      </c>
    </row>
    <row r="33" spans="29:80" ht="39.950000000000003" hidden="1" customHeight="1" x14ac:dyDescent="0.25">
      <c r="AC33" s="42" t="s">
        <v>26</v>
      </c>
      <c r="AD33" s="45" t="s">
        <v>45</v>
      </c>
      <c r="AF33" s="46">
        <f>($AF$34*2)</f>
        <v>19000</v>
      </c>
      <c r="AG33" s="16" t="s">
        <v>0</v>
      </c>
      <c r="AH33" s="17">
        <f>($AF$29*$AF$33)</f>
        <v>26369.549000000003</v>
      </c>
      <c r="AI33" s="17">
        <f>($AG$29*$AF$33)</f>
        <v>29934.727999999999</v>
      </c>
      <c r="AJ33" s="19">
        <f t="shared" si="136"/>
        <v>0</v>
      </c>
      <c r="AK33" s="19">
        <f t="shared" si="137"/>
        <v>6600</v>
      </c>
      <c r="AL33" s="19">
        <f t="shared" si="138"/>
        <v>6600</v>
      </c>
      <c r="AM33" s="19">
        <f t="shared" si="151"/>
        <v>0</v>
      </c>
      <c r="AN33" s="19">
        <f t="shared" ca="1" si="139"/>
        <v>0</v>
      </c>
      <c r="AO33" s="19">
        <f t="shared" ca="1" si="140"/>
        <v>3613.9801464499856</v>
      </c>
      <c r="AP33" s="17">
        <f t="shared" si="141"/>
        <v>2418.5333333333333</v>
      </c>
      <c r="AQ33" s="38">
        <v>0</v>
      </c>
      <c r="AR33" s="19">
        <f t="shared" si="142"/>
        <v>0</v>
      </c>
      <c r="AS33" s="19">
        <f t="shared" ca="1" si="143"/>
        <v>0</v>
      </c>
      <c r="AT33" s="38">
        <v>30</v>
      </c>
      <c r="AU33" s="19">
        <f t="shared" si="152"/>
        <v>5102.93</v>
      </c>
      <c r="AV33" s="19">
        <f t="shared" ca="1" si="144"/>
        <v>3414.9623967330958</v>
      </c>
      <c r="AW33" s="38">
        <v>30</v>
      </c>
      <c r="AX33" s="19">
        <f t="shared" si="153"/>
        <v>377.69</v>
      </c>
      <c r="AY33" s="19">
        <f t="shared" ca="1" si="145"/>
        <v>329.71341683793395</v>
      </c>
      <c r="AZ33" s="19">
        <f>(0)</f>
        <v>0</v>
      </c>
      <c r="BA33" s="19">
        <f t="shared" si="146"/>
        <v>377.69</v>
      </c>
      <c r="BB33" s="20">
        <f t="shared" ca="1" si="147"/>
        <v>0</v>
      </c>
      <c r="BC33" s="20">
        <f t="shared" si="148"/>
        <v>0</v>
      </c>
      <c r="BD33" s="20">
        <f t="shared" ca="1" si="154"/>
        <v>0</v>
      </c>
      <c r="BE33" s="17">
        <f t="shared" si="149"/>
        <v>33030</v>
      </c>
      <c r="BF33" s="19">
        <f t="shared" si="149"/>
        <v>33030</v>
      </c>
      <c r="BG33" s="19">
        <f t="shared" si="150"/>
        <v>0</v>
      </c>
      <c r="BH33" s="19">
        <f t="shared" si="155"/>
        <v>0</v>
      </c>
      <c r="BI33" s="19">
        <f t="shared" si="156"/>
        <v>250.69770000000003</v>
      </c>
      <c r="BJ33" s="19">
        <f t="shared" si="157"/>
        <v>33030</v>
      </c>
      <c r="BK33" s="19">
        <f>(0)</f>
        <v>0</v>
      </c>
      <c r="BL33" s="19">
        <f t="shared" si="158"/>
        <v>33030</v>
      </c>
      <c r="BM33" s="19">
        <f t="shared" si="159"/>
        <v>-4624.2000000000007</v>
      </c>
      <c r="BN33" s="19">
        <f t="shared" si="160"/>
        <v>-330.3</v>
      </c>
      <c r="BO33" s="44" t="s">
        <v>52</v>
      </c>
      <c r="BP33" s="20">
        <v>4314.38</v>
      </c>
      <c r="BQ33" s="20">
        <v>4314.38</v>
      </c>
      <c r="BZ33" s="18">
        <v>31</v>
      </c>
      <c r="CA33" s="26">
        <v>15.5</v>
      </c>
      <c r="CB33" s="27">
        <v>0.33</v>
      </c>
    </row>
    <row r="34" spans="29:80" ht="39.950000000000003" hidden="1" customHeight="1" x14ac:dyDescent="0.25">
      <c r="AC34" s="42" t="s">
        <v>24</v>
      </c>
      <c r="AD34" s="43" t="s">
        <v>106</v>
      </c>
      <c r="AF34" s="46">
        <f>(9500)</f>
        <v>9500</v>
      </c>
      <c r="AG34" s="16" t="s">
        <v>0</v>
      </c>
      <c r="AH34" s="17">
        <f>($AF$29*$AF$34)</f>
        <v>13184.774500000001</v>
      </c>
      <c r="AI34" s="17">
        <f>($AG$29*$AF$34)</f>
        <v>14967.364</v>
      </c>
      <c r="AJ34" s="19">
        <f t="shared" si="136"/>
        <v>0</v>
      </c>
      <c r="AK34" s="19">
        <f t="shared" si="137"/>
        <v>6600</v>
      </c>
      <c r="AL34" s="19">
        <f t="shared" si="138"/>
        <v>6600</v>
      </c>
      <c r="AM34" s="19">
        <f t="shared" si="151"/>
        <v>0</v>
      </c>
      <c r="AN34" s="19">
        <f t="shared" ca="1" si="139"/>
        <v>0</v>
      </c>
      <c r="AO34" s="19">
        <f t="shared" ca="1" si="140"/>
        <v>3945.9844566630231</v>
      </c>
      <c r="AP34" s="17">
        <f t="shared" si="141"/>
        <v>2418.5333333333333</v>
      </c>
      <c r="AQ34" s="38">
        <v>15</v>
      </c>
      <c r="AR34" s="19">
        <f t="shared" si="142"/>
        <v>36792.9</v>
      </c>
      <c r="AS34" s="19">
        <f t="shared" ca="1" si="143"/>
        <v>22550.736338999999</v>
      </c>
      <c r="AT34" s="38">
        <v>30</v>
      </c>
      <c r="AU34" s="19">
        <f t="shared" si="152"/>
        <v>5102.93</v>
      </c>
      <c r="AV34" s="19">
        <f t="shared" ca="1" si="144"/>
        <v>3127.6368262999999</v>
      </c>
      <c r="AW34" s="38">
        <v>30</v>
      </c>
      <c r="AX34" s="19">
        <f t="shared" si="153"/>
        <v>377.69</v>
      </c>
      <c r="AY34" s="19">
        <f t="shared" ca="1" si="145"/>
        <v>333.46627790000002</v>
      </c>
      <c r="AZ34" s="19">
        <f>(0)</f>
        <v>0</v>
      </c>
      <c r="BA34" s="19">
        <f t="shared" si="146"/>
        <v>377.69</v>
      </c>
      <c r="BB34" s="20">
        <f t="shared" ca="1" si="147"/>
        <v>0</v>
      </c>
      <c r="BC34" s="20">
        <f t="shared" si="148"/>
        <v>0</v>
      </c>
      <c r="BD34" s="20">
        <f t="shared" ca="1" si="154"/>
        <v>0</v>
      </c>
      <c r="BE34" s="17">
        <f t="shared" si="149"/>
        <v>33030</v>
      </c>
      <c r="BF34" s="19">
        <f t="shared" si="149"/>
        <v>33030</v>
      </c>
      <c r="BG34" s="19">
        <f t="shared" si="150"/>
        <v>0</v>
      </c>
      <c r="BH34" s="19">
        <f t="shared" si="155"/>
        <v>0</v>
      </c>
      <c r="BI34" s="19">
        <f t="shared" si="156"/>
        <v>250.69770000000003</v>
      </c>
      <c r="BJ34" s="19">
        <f t="shared" si="157"/>
        <v>33030</v>
      </c>
      <c r="BK34" s="19">
        <f>(0)</f>
        <v>0</v>
      </c>
      <c r="BL34" s="19">
        <f t="shared" si="158"/>
        <v>33030</v>
      </c>
      <c r="BM34" s="19">
        <f t="shared" si="159"/>
        <v>-4624.2000000000007</v>
      </c>
      <c r="BN34" s="19">
        <f t="shared" si="160"/>
        <v>-330.3</v>
      </c>
      <c r="BO34" s="44" t="s">
        <v>53</v>
      </c>
      <c r="BP34" s="20">
        <v>4314.38</v>
      </c>
      <c r="BQ34" s="20">
        <v>4314.38</v>
      </c>
      <c r="BZ34" s="18">
        <v>32</v>
      </c>
      <c r="CA34" s="26">
        <v>16</v>
      </c>
      <c r="CB34" s="27">
        <v>0.34</v>
      </c>
    </row>
    <row r="35" spans="29:80" ht="39.950000000000003" hidden="1" customHeight="1" x14ac:dyDescent="0.25">
      <c r="AC35" s="42" t="s">
        <v>25</v>
      </c>
      <c r="AD35" s="43" t="s">
        <v>107</v>
      </c>
      <c r="AJ35" s="19">
        <f t="shared" si="136"/>
        <v>0</v>
      </c>
      <c r="AK35" s="19">
        <f t="shared" si="137"/>
        <v>6600</v>
      </c>
      <c r="AL35" s="19">
        <f t="shared" ref="AL35:AL40" si="161">IF($AI$14*H21&gt;=AP7,AP7,$AI$14*H21)</f>
        <v>6600</v>
      </c>
      <c r="AM35" s="19">
        <f t="shared" si="151"/>
        <v>0</v>
      </c>
      <c r="AN35" s="19">
        <f t="shared" ca="1" si="139"/>
        <v>0</v>
      </c>
      <c r="AO35" s="19">
        <f t="shared" ca="1" si="140"/>
        <v>4340.8221979300934</v>
      </c>
      <c r="AP35" s="17">
        <f t="shared" ref="AP35:AP40" si="162">(3628/30*I21)</f>
        <v>2660.5333333333333</v>
      </c>
      <c r="AQ35" s="38">
        <v>0</v>
      </c>
      <c r="AR35" s="19">
        <f t="shared" si="142"/>
        <v>0</v>
      </c>
      <c r="AS35" s="19">
        <f t="shared" ca="1" si="143"/>
        <v>0</v>
      </c>
      <c r="AT35" s="38">
        <v>30</v>
      </c>
      <c r="AU35" s="19">
        <f>(6123.52/30*AT35)</f>
        <v>6123.52</v>
      </c>
      <c r="AV35" s="19">
        <f t="shared" ca="1" si="144"/>
        <v>3753.1666432000002</v>
      </c>
      <c r="AW35" s="38">
        <v>30</v>
      </c>
      <c r="AX35" s="19">
        <f t="shared" ref="AX35:AX39" si="163">(453.23/30*AW35)</f>
        <v>453.23</v>
      </c>
      <c r="AY35" s="19">
        <f t="shared" ca="1" si="145"/>
        <v>277.78919929999995</v>
      </c>
      <c r="AZ35" s="19">
        <f>(0)</f>
        <v>0</v>
      </c>
      <c r="BA35" s="19">
        <f>(0)</f>
        <v>0</v>
      </c>
      <c r="BB35" s="20">
        <f t="shared" ca="1" si="147"/>
        <v>0</v>
      </c>
      <c r="BC35" s="20">
        <f t="shared" si="148"/>
        <v>0</v>
      </c>
      <c r="BD35" s="20">
        <f t="shared" ca="1" si="154"/>
        <v>0</v>
      </c>
      <c r="BE35" s="17">
        <f t="shared" ref="BE35:BF40" si="164">($AI$8)</f>
        <v>33030</v>
      </c>
      <c r="BF35" s="19">
        <f t="shared" si="164"/>
        <v>33030</v>
      </c>
      <c r="BG35" s="19">
        <f t="shared" si="150"/>
        <v>0</v>
      </c>
      <c r="BH35" s="19">
        <f t="shared" si="155"/>
        <v>0</v>
      </c>
      <c r="BI35" s="19">
        <f t="shared" si="156"/>
        <v>250.69770000000003</v>
      </c>
      <c r="BJ35" s="19">
        <f t="shared" si="157"/>
        <v>33030</v>
      </c>
      <c r="BK35" s="19">
        <f>(0)</f>
        <v>0</v>
      </c>
      <c r="BL35" s="19">
        <f t="shared" si="158"/>
        <v>33030</v>
      </c>
      <c r="BM35" s="19">
        <f t="shared" si="159"/>
        <v>-4624.2000000000007</v>
      </c>
      <c r="BN35" s="19">
        <f t="shared" si="160"/>
        <v>-330.3</v>
      </c>
      <c r="BO35" s="44" t="s">
        <v>54</v>
      </c>
      <c r="BP35" s="20">
        <v>0</v>
      </c>
      <c r="BQ35" s="20">
        <v>0</v>
      </c>
      <c r="BZ35" s="18">
        <v>33</v>
      </c>
      <c r="CA35" s="26">
        <v>16.5</v>
      </c>
      <c r="CB35" s="27">
        <v>0.35</v>
      </c>
    </row>
    <row r="36" spans="29:80" ht="39.950000000000003" hidden="1" customHeight="1" x14ac:dyDescent="0.25">
      <c r="AC36" s="42" t="s">
        <v>41</v>
      </c>
      <c r="AD36" s="45" t="s">
        <v>76</v>
      </c>
      <c r="AF36" s="17">
        <v>12000</v>
      </c>
      <c r="AG36" s="16" t="s">
        <v>0</v>
      </c>
      <c r="AH36" s="16" t="s">
        <v>0</v>
      </c>
      <c r="AI36" s="16" t="s">
        <v>0</v>
      </c>
      <c r="AJ36" s="19">
        <f t="shared" si="136"/>
        <v>0</v>
      </c>
      <c r="AK36" s="19">
        <f t="shared" si="137"/>
        <v>6600</v>
      </c>
      <c r="AL36" s="19">
        <f t="shared" si="161"/>
        <v>6600</v>
      </c>
      <c r="AM36" s="19">
        <f t="shared" si="151"/>
        <v>0</v>
      </c>
      <c r="AN36" s="19">
        <f t="shared" ca="1" si="139"/>
        <v>0</v>
      </c>
      <c r="AO36" s="19">
        <f t="shared" ca="1" si="140"/>
        <v>4340.8221979300934</v>
      </c>
      <c r="AP36" s="17">
        <f t="shared" si="162"/>
        <v>2660.5333333333333</v>
      </c>
      <c r="AQ36" s="38">
        <v>0</v>
      </c>
      <c r="AR36" s="19">
        <f t="shared" si="142"/>
        <v>0</v>
      </c>
      <c r="AS36" s="19">
        <f t="shared" ca="1" si="143"/>
        <v>0</v>
      </c>
      <c r="AT36" s="38">
        <v>30</v>
      </c>
      <c r="AU36" s="19">
        <f t="shared" ref="AU36:AU40" si="165">(6123.52/30*AT36)</f>
        <v>6123.52</v>
      </c>
      <c r="AV36" s="19">
        <f t="shared" ca="1" si="144"/>
        <v>3753.1666432000002</v>
      </c>
      <c r="AW36" s="38">
        <v>30</v>
      </c>
      <c r="AX36" s="19">
        <f t="shared" si="163"/>
        <v>453.23</v>
      </c>
      <c r="AY36" s="19">
        <f t="shared" ca="1" si="145"/>
        <v>277.78919929999995</v>
      </c>
      <c r="AZ36" s="19">
        <f>(0)</f>
        <v>0</v>
      </c>
      <c r="BA36" s="19">
        <f>(0)</f>
        <v>0</v>
      </c>
      <c r="BB36" s="20">
        <f t="shared" ca="1" si="147"/>
        <v>0</v>
      </c>
      <c r="BC36" s="20">
        <f t="shared" si="148"/>
        <v>0</v>
      </c>
      <c r="BD36" s="20">
        <f t="shared" ca="1" si="154"/>
        <v>0</v>
      </c>
      <c r="BE36" s="17">
        <f t="shared" si="164"/>
        <v>33030</v>
      </c>
      <c r="BF36" s="19">
        <f t="shared" si="164"/>
        <v>33030</v>
      </c>
      <c r="BG36" s="19">
        <f t="shared" si="150"/>
        <v>0</v>
      </c>
      <c r="BH36" s="19">
        <f t="shared" si="155"/>
        <v>0</v>
      </c>
      <c r="BI36" s="19">
        <f t="shared" si="156"/>
        <v>250.69770000000003</v>
      </c>
      <c r="BJ36" s="19">
        <f t="shared" si="157"/>
        <v>33030</v>
      </c>
      <c r="BK36" s="19">
        <f>(0)</f>
        <v>0</v>
      </c>
      <c r="BL36" s="19">
        <f t="shared" si="158"/>
        <v>33030</v>
      </c>
      <c r="BM36" s="19">
        <f t="shared" si="159"/>
        <v>-4624.2000000000007</v>
      </c>
      <c r="BN36" s="19">
        <f t="shared" si="160"/>
        <v>-330.3</v>
      </c>
      <c r="BO36" s="44" t="s">
        <v>55</v>
      </c>
      <c r="BP36" s="20">
        <v>0</v>
      </c>
      <c r="BQ36" s="20">
        <v>0</v>
      </c>
      <c r="BZ36" s="18">
        <v>34</v>
      </c>
      <c r="CA36" s="26">
        <v>17</v>
      </c>
      <c r="CB36" s="27">
        <v>0.36</v>
      </c>
    </row>
    <row r="37" spans="29:80" ht="39.950000000000003" hidden="1" customHeight="1" x14ac:dyDescent="0.25">
      <c r="AC37" s="42" t="s">
        <v>36</v>
      </c>
      <c r="AD37" s="43" t="s">
        <v>108</v>
      </c>
      <c r="AF37" s="17">
        <v>7000</v>
      </c>
      <c r="AG37" s="16" t="s">
        <v>0</v>
      </c>
      <c r="AH37" s="16" t="s">
        <v>0</v>
      </c>
      <c r="AI37" s="16" t="s">
        <v>0</v>
      </c>
      <c r="AJ37" s="19">
        <f t="shared" si="136"/>
        <v>0</v>
      </c>
      <c r="AK37" s="19">
        <f t="shared" si="137"/>
        <v>6600</v>
      </c>
      <c r="AL37" s="19">
        <f t="shared" si="161"/>
        <v>6600</v>
      </c>
      <c r="AM37" s="19">
        <f t="shared" si="151"/>
        <v>0</v>
      </c>
      <c r="AN37" s="19">
        <f t="shared" ca="1" si="139"/>
        <v>0</v>
      </c>
      <c r="AO37" s="19">
        <f t="shared" ca="1" si="140"/>
        <v>4340.8221979300934</v>
      </c>
      <c r="AP37" s="17">
        <f t="shared" si="162"/>
        <v>2660.5333333333333</v>
      </c>
      <c r="AQ37" s="38">
        <v>15</v>
      </c>
      <c r="AR37" s="19">
        <f t="shared" si="142"/>
        <v>44076.45</v>
      </c>
      <c r="AS37" s="19">
        <f t="shared" ca="1" si="143"/>
        <v>27014.896969499998</v>
      </c>
      <c r="AT37" s="38">
        <v>30</v>
      </c>
      <c r="AU37" s="19">
        <f t="shared" si="165"/>
        <v>6123.52</v>
      </c>
      <c r="AV37" s="19">
        <f t="shared" ca="1" si="144"/>
        <v>3753.1666432000002</v>
      </c>
      <c r="AW37" s="38">
        <v>30</v>
      </c>
      <c r="AX37" s="19">
        <f t="shared" si="163"/>
        <v>453.23</v>
      </c>
      <c r="AY37" s="19">
        <f t="shared" ca="1" si="145"/>
        <v>277.78919929999995</v>
      </c>
      <c r="AZ37" s="19">
        <f>(0)</f>
        <v>0</v>
      </c>
      <c r="BA37" s="19">
        <f>(0)</f>
        <v>0</v>
      </c>
      <c r="BB37" s="20">
        <f t="shared" ca="1" si="147"/>
        <v>0</v>
      </c>
      <c r="BC37" s="20">
        <f t="shared" si="148"/>
        <v>0</v>
      </c>
      <c r="BD37" s="20">
        <f t="shared" ca="1" si="154"/>
        <v>0</v>
      </c>
      <c r="BE37" s="17">
        <f t="shared" si="164"/>
        <v>33030</v>
      </c>
      <c r="BF37" s="19">
        <f t="shared" si="164"/>
        <v>33030</v>
      </c>
      <c r="BG37" s="19">
        <f t="shared" si="150"/>
        <v>0</v>
      </c>
      <c r="BH37" s="19">
        <f t="shared" si="155"/>
        <v>0</v>
      </c>
      <c r="BI37" s="19">
        <f t="shared" si="156"/>
        <v>250.69770000000003</v>
      </c>
      <c r="BJ37" s="19">
        <f t="shared" si="157"/>
        <v>33030</v>
      </c>
      <c r="BK37" s="19">
        <f>(0)</f>
        <v>0</v>
      </c>
      <c r="BL37" s="19">
        <f t="shared" si="158"/>
        <v>33030</v>
      </c>
      <c r="BM37" s="19">
        <f t="shared" si="159"/>
        <v>-4624.2000000000007</v>
      </c>
      <c r="BN37" s="19">
        <f t="shared" si="160"/>
        <v>-330.3</v>
      </c>
      <c r="BO37" s="44" t="s">
        <v>2</v>
      </c>
      <c r="BP37" s="20">
        <v>12594.69</v>
      </c>
      <c r="BQ37" s="20">
        <v>12594.69</v>
      </c>
      <c r="BZ37" s="18">
        <v>35</v>
      </c>
      <c r="CA37" s="26">
        <v>17.5</v>
      </c>
      <c r="CB37" s="27">
        <v>0.37</v>
      </c>
    </row>
    <row r="38" spans="29:80" ht="39.950000000000003" hidden="1" customHeight="1" x14ac:dyDescent="0.25">
      <c r="AC38" s="42" t="s">
        <v>42</v>
      </c>
      <c r="AD38" s="45" t="s">
        <v>77</v>
      </c>
      <c r="AF38" s="17">
        <v>3000</v>
      </c>
      <c r="AG38" s="16" t="s">
        <v>0</v>
      </c>
      <c r="AH38" s="16" t="s">
        <v>0</v>
      </c>
      <c r="AI38" s="16" t="s">
        <v>0</v>
      </c>
      <c r="AJ38" s="19">
        <f t="shared" si="136"/>
        <v>0</v>
      </c>
      <c r="AK38" s="19">
        <f t="shared" si="137"/>
        <v>6600</v>
      </c>
      <c r="AL38" s="19">
        <f t="shared" si="161"/>
        <v>6600</v>
      </c>
      <c r="AM38" s="19">
        <f t="shared" si="151"/>
        <v>0</v>
      </c>
      <c r="AN38" s="19">
        <f t="shared" ca="1" si="139"/>
        <v>0</v>
      </c>
      <c r="AO38" s="19">
        <f t="shared" ca="1" si="140"/>
        <v>4340.8221979300934</v>
      </c>
      <c r="AP38" s="17">
        <f t="shared" si="162"/>
        <v>2660.5333333333333</v>
      </c>
      <c r="AQ38" s="38">
        <v>0</v>
      </c>
      <c r="AR38" s="19">
        <f t="shared" si="142"/>
        <v>0</v>
      </c>
      <c r="AS38" s="19">
        <f t="shared" ca="1" si="143"/>
        <v>0</v>
      </c>
      <c r="AT38" s="38">
        <v>30</v>
      </c>
      <c r="AU38" s="19">
        <f t="shared" si="165"/>
        <v>6123.52</v>
      </c>
      <c r="AV38" s="19">
        <f t="shared" ca="1" si="144"/>
        <v>3753.1666432000002</v>
      </c>
      <c r="AW38" s="38">
        <v>30</v>
      </c>
      <c r="AX38" s="19">
        <f t="shared" si="163"/>
        <v>453.23</v>
      </c>
      <c r="AY38" s="19">
        <f t="shared" ca="1" si="145"/>
        <v>277.78919929999995</v>
      </c>
      <c r="AZ38" s="19">
        <f>(0)</f>
        <v>0</v>
      </c>
      <c r="BA38" s="19">
        <f>(0)</f>
        <v>0</v>
      </c>
      <c r="BB38" s="20">
        <f t="shared" ca="1" si="147"/>
        <v>0</v>
      </c>
      <c r="BC38" s="20">
        <f t="shared" si="148"/>
        <v>0</v>
      </c>
      <c r="BD38" s="20">
        <f t="shared" ca="1" si="154"/>
        <v>0</v>
      </c>
      <c r="BE38" s="17">
        <f t="shared" si="164"/>
        <v>33030</v>
      </c>
      <c r="BF38" s="19">
        <f t="shared" si="164"/>
        <v>33030</v>
      </c>
      <c r="BG38" s="19">
        <f t="shared" si="150"/>
        <v>0</v>
      </c>
      <c r="BH38" s="19">
        <f t="shared" si="155"/>
        <v>0</v>
      </c>
      <c r="BI38" s="19">
        <f t="shared" si="156"/>
        <v>250.69770000000003</v>
      </c>
      <c r="BJ38" s="19">
        <f t="shared" si="157"/>
        <v>33030</v>
      </c>
      <c r="BK38" s="19">
        <f>(0)</f>
        <v>0</v>
      </c>
      <c r="BL38" s="19">
        <f t="shared" si="158"/>
        <v>33030</v>
      </c>
      <c r="BM38" s="19">
        <f t="shared" si="159"/>
        <v>-4624.2000000000007</v>
      </c>
      <c r="BN38" s="19">
        <f t="shared" si="160"/>
        <v>-330.3</v>
      </c>
      <c r="BO38" s="44" t="s">
        <v>58</v>
      </c>
      <c r="BP38" s="20">
        <v>2967.22</v>
      </c>
      <c r="BQ38" s="20">
        <v>2967.22</v>
      </c>
      <c r="BZ38" s="18">
        <v>36</v>
      </c>
      <c r="CA38" s="26">
        <v>18</v>
      </c>
      <c r="CB38" s="27">
        <v>0.38</v>
      </c>
    </row>
    <row r="39" spans="29:80" ht="39.950000000000003" hidden="1" customHeight="1" x14ac:dyDescent="0.25">
      <c r="AC39" s="42" t="s">
        <v>23</v>
      </c>
      <c r="AD39" s="43" t="s">
        <v>109</v>
      </c>
      <c r="AF39" s="47" t="s">
        <v>83</v>
      </c>
      <c r="AG39" s="17">
        <v>2452.86</v>
      </c>
      <c r="AH39" s="17">
        <v>2938.43</v>
      </c>
      <c r="AJ39" s="19">
        <f t="shared" si="136"/>
        <v>0</v>
      </c>
      <c r="AK39" s="19">
        <f t="shared" si="137"/>
        <v>6600</v>
      </c>
      <c r="AL39" s="19">
        <f t="shared" si="161"/>
        <v>6600</v>
      </c>
      <c r="AM39" s="19">
        <f t="shared" si="151"/>
        <v>0</v>
      </c>
      <c r="AN39" s="19">
        <f t="shared" ca="1" si="139"/>
        <v>0</v>
      </c>
      <c r="AO39" s="19">
        <f t="shared" ca="1" si="140"/>
        <v>4340.8221979300934</v>
      </c>
      <c r="AP39" s="17">
        <f t="shared" si="162"/>
        <v>2660.5333333333333</v>
      </c>
      <c r="AQ39" s="38">
        <v>0</v>
      </c>
      <c r="AR39" s="19">
        <f t="shared" si="142"/>
        <v>0</v>
      </c>
      <c r="AS39" s="19">
        <f t="shared" ca="1" si="143"/>
        <v>0</v>
      </c>
      <c r="AT39" s="38">
        <v>30</v>
      </c>
      <c r="AU39" s="19">
        <f t="shared" si="165"/>
        <v>6123.52</v>
      </c>
      <c r="AV39" s="19">
        <f t="shared" ca="1" si="144"/>
        <v>3753.1666432000002</v>
      </c>
      <c r="AW39" s="38">
        <v>30</v>
      </c>
      <c r="AX39" s="19">
        <f t="shared" si="163"/>
        <v>453.23</v>
      </c>
      <c r="AY39" s="19">
        <f t="shared" ca="1" si="145"/>
        <v>400.1612993</v>
      </c>
      <c r="AZ39" s="19">
        <f>(0)</f>
        <v>0</v>
      </c>
      <c r="BA39" s="19">
        <f>IF(AX39&lt;=$AI$12,AX39,$AI$12)</f>
        <v>453.23</v>
      </c>
      <c r="BB39" s="20">
        <f t="shared" ca="1" si="147"/>
        <v>0</v>
      </c>
      <c r="BC39" s="20">
        <f t="shared" si="148"/>
        <v>0</v>
      </c>
      <c r="BD39" s="20">
        <f t="shared" ca="1" si="154"/>
        <v>0</v>
      </c>
      <c r="BE39" s="17">
        <f t="shared" si="164"/>
        <v>33030</v>
      </c>
      <c r="BF39" s="19">
        <f t="shared" si="164"/>
        <v>33030</v>
      </c>
      <c r="BG39" s="19">
        <f t="shared" si="150"/>
        <v>0</v>
      </c>
      <c r="BH39" s="19">
        <f t="shared" si="155"/>
        <v>0</v>
      </c>
      <c r="BI39" s="19">
        <f t="shared" si="156"/>
        <v>250.69770000000003</v>
      </c>
      <c r="BJ39" s="19">
        <f t="shared" si="157"/>
        <v>33030</v>
      </c>
      <c r="BK39" s="19">
        <f>(0)</f>
        <v>0</v>
      </c>
      <c r="BL39" s="19">
        <f t="shared" si="158"/>
        <v>33030</v>
      </c>
      <c r="BM39" s="19">
        <f t="shared" si="159"/>
        <v>-4624.2000000000007</v>
      </c>
      <c r="BN39" s="19">
        <f t="shared" si="160"/>
        <v>-330.3</v>
      </c>
      <c r="BO39" s="44" t="s">
        <v>59</v>
      </c>
      <c r="BP39" s="20">
        <v>2967.22</v>
      </c>
      <c r="BQ39" s="20">
        <v>2967.22</v>
      </c>
      <c r="BZ39" s="18">
        <v>37</v>
      </c>
      <c r="CA39" s="26">
        <v>18.5</v>
      </c>
      <c r="CB39" s="27">
        <v>0.39</v>
      </c>
    </row>
    <row r="40" spans="29:80" ht="39.950000000000003" hidden="1" customHeight="1" x14ac:dyDescent="0.25">
      <c r="AC40" s="42" t="s">
        <v>35</v>
      </c>
      <c r="AD40" s="43" t="s">
        <v>78</v>
      </c>
      <c r="AF40" s="47" t="s">
        <v>84</v>
      </c>
      <c r="AG40" s="17">
        <v>2452.86</v>
      </c>
      <c r="AH40" s="17">
        <v>2938.43</v>
      </c>
      <c r="AJ40" s="19">
        <f t="shared" si="136"/>
        <v>0</v>
      </c>
      <c r="AK40" s="19">
        <f t="shared" si="137"/>
        <v>6600</v>
      </c>
      <c r="AL40" s="19">
        <f t="shared" si="161"/>
        <v>6600</v>
      </c>
      <c r="AM40" s="19">
        <f t="shared" si="151"/>
        <v>0</v>
      </c>
      <c r="AN40" s="19">
        <f t="shared" ca="1" si="139"/>
        <v>0</v>
      </c>
      <c r="AO40" s="19">
        <f t="shared" ca="1" si="140"/>
        <v>4340.8221979300934</v>
      </c>
      <c r="AP40" s="17">
        <f t="shared" si="162"/>
        <v>2660.5333333333333</v>
      </c>
      <c r="AQ40" s="38">
        <v>15</v>
      </c>
      <c r="AR40" s="19">
        <f t="shared" si="142"/>
        <v>44076.45</v>
      </c>
      <c r="AS40" s="19">
        <f t="shared" ca="1" si="143"/>
        <v>27014.896969499998</v>
      </c>
      <c r="AT40" s="38">
        <v>30</v>
      </c>
      <c r="AU40" s="19">
        <f t="shared" si="165"/>
        <v>6123.52</v>
      </c>
      <c r="AV40" s="19">
        <f t="shared" ca="1" si="144"/>
        <v>3753.1666432000002</v>
      </c>
      <c r="AW40" s="38">
        <v>30</v>
      </c>
      <c r="AX40" s="19">
        <f>(453.23/30*AW40)</f>
        <v>453.23</v>
      </c>
      <c r="AY40" s="19">
        <f t="shared" ca="1" si="145"/>
        <v>400.1612993</v>
      </c>
      <c r="AZ40" s="19">
        <f>(0)</f>
        <v>0</v>
      </c>
      <c r="BA40" s="19">
        <f>IF(AX40&lt;=$AI$12,AX40,$AI$12)</f>
        <v>453.23</v>
      </c>
      <c r="BB40" s="20">
        <f t="shared" ca="1" si="147"/>
        <v>0</v>
      </c>
      <c r="BC40" s="20">
        <f t="shared" si="148"/>
        <v>0</v>
      </c>
      <c r="BD40" s="20">
        <f t="shared" ca="1" si="154"/>
        <v>0</v>
      </c>
      <c r="BE40" s="17">
        <f t="shared" si="164"/>
        <v>33030</v>
      </c>
      <c r="BF40" s="19">
        <f t="shared" si="164"/>
        <v>33030</v>
      </c>
      <c r="BG40" s="19">
        <f t="shared" si="150"/>
        <v>0</v>
      </c>
      <c r="BH40" s="19">
        <f t="shared" si="155"/>
        <v>0</v>
      </c>
      <c r="BI40" s="19">
        <f t="shared" si="156"/>
        <v>250.69770000000003</v>
      </c>
      <c r="BJ40" s="19">
        <f t="shared" si="157"/>
        <v>33030</v>
      </c>
      <c r="BK40" s="19">
        <f>(0)</f>
        <v>0</v>
      </c>
      <c r="BL40" s="19">
        <f t="shared" si="158"/>
        <v>33030</v>
      </c>
      <c r="BM40" s="19">
        <f t="shared" si="159"/>
        <v>-4624.2000000000007</v>
      </c>
      <c r="BN40" s="19">
        <f t="shared" si="160"/>
        <v>-330.3</v>
      </c>
      <c r="BO40" s="44" t="s">
        <v>60</v>
      </c>
      <c r="BP40" s="20">
        <v>3362.85</v>
      </c>
      <c r="BQ40" s="20">
        <v>3362.85</v>
      </c>
      <c r="BZ40" s="18">
        <v>38</v>
      </c>
      <c r="CA40" s="26">
        <v>19</v>
      </c>
      <c r="CB40" s="27">
        <v>0.4</v>
      </c>
    </row>
    <row r="41" spans="29:80" ht="39.950000000000003" hidden="1" customHeight="1" x14ac:dyDescent="0.25">
      <c r="AC41" s="44" t="s">
        <v>37</v>
      </c>
      <c r="AD41" s="45" t="s">
        <v>86</v>
      </c>
      <c r="AJ41" s="19">
        <f t="shared" ref="AJ41:AN41" si="166">(AJ29+AJ30+AJ31+AJ32+AJ33+AJ34+AJ35+AJ36+AJ37+AJ38+AJ39+AJ40)</f>
        <v>0</v>
      </c>
      <c r="AK41" s="19">
        <f t="shared" si="166"/>
        <v>79200</v>
      </c>
      <c r="AL41" s="19">
        <f t="shared" si="166"/>
        <v>79200</v>
      </c>
      <c r="AM41" s="19">
        <f t="shared" si="166"/>
        <v>0</v>
      </c>
      <c r="AN41" s="19">
        <f t="shared" ca="1" si="166"/>
        <v>0</v>
      </c>
      <c r="AO41" s="19">
        <f t="shared" ref="AO41:AP41" ca="1" si="167">(AO29+AO30+AO31+AO32+AO33+AO34+AO35+AO36+AO37+AO38+AO39+AO40)</f>
        <v>47473.848129898121</v>
      </c>
      <c r="AP41" s="19">
        <f t="shared" si="167"/>
        <v>30474.399999999998</v>
      </c>
      <c r="AQ41" s="29" t="s">
        <v>0</v>
      </c>
      <c r="AR41" s="19">
        <f t="shared" ref="AR41:AS41" si="168">(AR29+AR30+AR31+AR32+AR33+AR34+AR35+AR36+AR37+AR38+AR39+AR40)</f>
        <v>161738.70000000001</v>
      </c>
      <c r="AS41" s="19">
        <f t="shared" ca="1" si="168"/>
        <v>101960.1281021204</v>
      </c>
      <c r="AT41" s="38">
        <f>(AT29+AT30+AT31+AT32+AT33+AT34+AT35+AT36+AT37+AT38+AT39+AT40)</f>
        <v>360</v>
      </c>
      <c r="AU41" s="19">
        <f t="shared" ref="AU41:AV41" si="169">(AU29+AU30+AU31+AU32+AU33+AU34+AU35+AU36+AU37+AU38+AU39+AU40)</f>
        <v>67358.700000000026</v>
      </c>
      <c r="AV41" s="19">
        <f t="shared" ca="1" si="169"/>
        <v>43309.112675648343</v>
      </c>
      <c r="AW41" s="38">
        <f>(AW29+AW30+AW31+AW32+AW33+AW34+AW35+AW36+AW37+AW38+AW39+AW40)</f>
        <v>360</v>
      </c>
      <c r="AX41" s="19">
        <f t="shared" ref="AX41:BA41" si="170">(AX29+AX30+AX31+AX32+AX33+AX34+AX35+AX36+AX37+AX38+AX39+AX40)</f>
        <v>4985.5200000000004</v>
      </c>
      <c r="AY41" s="19">
        <f t="shared" ca="1" si="170"/>
        <v>3885.8370701178392</v>
      </c>
      <c r="AZ41" s="19">
        <f t="shared" si="170"/>
        <v>0</v>
      </c>
      <c r="BA41" s="19">
        <f t="shared" si="170"/>
        <v>3172.6</v>
      </c>
      <c r="BB41" s="19">
        <f t="shared" ref="BB41:BD41" ca="1" si="171">(BB29+BB30+BB31+BB32+BB33+BB34+BB35+BB36+BB37+BB38+BB39+BB40)</f>
        <v>0</v>
      </c>
      <c r="BC41" s="19">
        <f t="shared" si="171"/>
        <v>0</v>
      </c>
      <c r="BD41" s="19">
        <f t="shared" ca="1" si="171"/>
        <v>0</v>
      </c>
      <c r="BE41" s="19">
        <f t="shared" ref="BE41" si="172">(BE29+BE30+BE31+BE32+BE33+BE34+BE35+BE36+BE37+BE38+BE39+BE40)</f>
        <v>396360</v>
      </c>
      <c r="BF41" s="19">
        <f t="shared" ref="BF41" si="173">(BF29+BF30+BF31+BF32+BF33+BF34+BF35+BF36+BF37+BF38+BF39+BF40)</f>
        <v>396360</v>
      </c>
      <c r="BG41" s="19">
        <f t="shared" ref="BG41" si="174">(BG29+BG30+BG31+BG32+BG33+BG34+BG35+BG36+BG37+BG38+BG39+BG40)</f>
        <v>0</v>
      </c>
      <c r="BH41" s="19">
        <f t="shared" ref="BH41:BJ41" si="175">(BH29+BH30+BH31+BH32+BH33+BH34+BH35+BH36+BH37+BH38+BH39+BH40)</f>
        <v>0</v>
      </c>
      <c r="BI41" s="19">
        <f t="shared" si="175"/>
        <v>3008.3724000000007</v>
      </c>
      <c r="BJ41" s="19">
        <f t="shared" si="175"/>
        <v>396360</v>
      </c>
      <c r="BK41" s="19">
        <f t="shared" ref="BK41:BL41" si="176">(BK29+BK30+BK31+BK32+BK33+BK34+BK35+BK36+BK37+BK38+BK39+BK40)</f>
        <v>0</v>
      </c>
      <c r="BL41" s="19">
        <f t="shared" si="176"/>
        <v>396360</v>
      </c>
      <c r="BM41" s="19">
        <f t="shared" ref="BM41" si="177">(BM29+BM30+BM31+BM32+BM33+BM34+BM35+BM36+BM37+BM38+BM39+BM40)</f>
        <v>-55490.399999999994</v>
      </c>
      <c r="BN41" s="19">
        <f t="shared" ref="BN41" si="178">(BN29+BN30+BN31+BN32+BN33+BN34+BN35+BN36+BN37+BN38+BN39+BN40)</f>
        <v>-3963.6000000000008</v>
      </c>
      <c r="BO41" s="44" t="s">
        <v>61</v>
      </c>
      <c r="BP41" s="20">
        <v>3956.29</v>
      </c>
      <c r="BQ41" s="20">
        <v>3956.29</v>
      </c>
      <c r="BZ41" s="18">
        <v>39</v>
      </c>
      <c r="CA41" s="26">
        <v>19.5</v>
      </c>
      <c r="CB41" s="27">
        <v>0.41</v>
      </c>
    </row>
    <row r="42" spans="29:80" ht="39.950000000000003" hidden="1" customHeight="1" x14ac:dyDescent="0.25">
      <c r="AC42" s="42" t="s">
        <v>43</v>
      </c>
      <c r="AD42" s="43" t="s">
        <v>47</v>
      </c>
      <c r="AJ42" s="19">
        <f t="shared" ref="AJ42:AN42" si="179">(AJ41/12)</f>
        <v>0</v>
      </c>
      <c r="AK42" s="19">
        <f t="shared" si="179"/>
        <v>6600</v>
      </c>
      <c r="AL42" s="19">
        <f t="shared" si="179"/>
        <v>6600</v>
      </c>
      <c r="AM42" s="19">
        <f t="shared" si="179"/>
        <v>0</v>
      </c>
      <c r="AN42" s="19">
        <f t="shared" ca="1" si="179"/>
        <v>0</v>
      </c>
      <c r="AO42" s="19">
        <f t="shared" ref="AO42:AP42" ca="1" si="180">(AO41/12)</f>
        <v>3956.1540108248432</v>
      </c>
      <c r="AP42" s="19">
        <f t="shared" si="180"/>
        <v>2539.5333333333333</v>
      </c>
      <c r="AQ42" s="29" t="s">
        <v>0</v>
      </c>
      <c r="AR42" s="19">
        <f t="shared" ref="AR42:AS42" si="181">(AR41/12)</f>
        <v>13478.225</v>
      </c>
      <c r="AS42" s="19">
        <f t="shared" ca="1" si="181"/>
        <v>8496.6773418433677</v>
      </c>
      <c r="AT42" s="29" t="s">
        <v>0</v>
      </c>
      <c r="AU42" s="19">
        <f t="shared" ref="AU42:AV42" si="182">(AU41/12)</f>
        <v>5613.2250000000022</v>
      </c>
      <c r="AV42" s="19">
        <f t="shared" ca="1" si="182"/>
        <v>3609.0927229706954</v>
      </c>
      <c r="AW42" s="29" t="s">
        <v>0</v>
      </c>
      <c r="AX42" s="19">
        <f t="shared" ref="AX42:BA42" si="183">(AX41/12)</f>
        <v>415.46000000000004</v>
      </c>
      <c r="AY42" s="19">
        <f t="shared" ca="1" si="183"/>
        <v>323.81975584315325</v>
      </c>
      <c r="AZ42" s="19">
        <f t="shared" si="183"/>
        <v>0</v>
      </c>
      <c r="BA42" s="19">
        <f t="shared" si="183"/>
        <v>264.38333333333333</v>
      </c>
      <c r="BB42" s="19">
        <f t="shared" ref="BB42:BD42" ca="1" si="184">(BB41/12)</f>
        <v>0</v>
      </c>
      <c r="BC42" s="19">
        <f t="shared" si="184"/>
        <v>0</v>
      </c>
      <c r="BD42" s="19">
        <f t="shared" ca="1" si="184"/>
        <v>0</v>
      </c>
      <c r="BE42" s="19">
        <f t="shared" ref="BE42" si="185">(BE41/12)</f>
        <v>33030</v>
      </c>
      <c r="BF42" s="19">
        <f t="shared" ref="BF42" si="186">(BF41/12)</f>
        <v>33030</v>
      </c>
      <c r="BG42" s="19">
        <f t="shared" ref="BG42" si="187">(BG41/12)</f>
        <v>0</v>
      </c>
      <c r="BH42" s="19">
        <f t="shared" ref="BH42:BJ42" si="188">(BH41/12)</f>
        <v>0</v>
      </c>
      <c r="BI42" s="19">
        <f t="shared" si="188"/>
        <v>250.69770000000005</v>
      </c>
      <c r="BJ42" s="19">
        <f t="shared" si="188"/>
        <v>33030</v>
      </c>
      <c r="BK42" s="19">
        <f t="shared" ref="BK42:BL42" si="189">(BK41/12)</f>
        <v>0</v>
      </c>
      <c r="BL42" s="19">
        <f t="shared" si="189"/>
        <v>33030</v>
      </c>
      <c r="BM42" s="19">
        <f t="shared" ref="BM42" si="190">(BM41/12)</f>
        <v>-4624.2</v>
      </c>
      <c r="BN42" s="19">
        <f t="shared" ref="BN42" si="191">(BN41/12)</f>
        <v>-330.30000000000007</v>
      </c>
      <c r="BO42" s="44" t="s">
        <v>56</v>
      </c>
      <c r="BP42" s="20">
        <v>3362.85</v>
      </c>
      <c r="BQ42" s="20">
        <v>3362.85</v>
      </c>
      <c r="BZ42" s="18">
        <v>40</v>
      </c>
      <c r="CA42" s="26">
        <v>20</v>
      </c>
      <c r="CB42" s="27">
        <v>0.42</v>
      </c>
    </row>
    <row r="43" spans="29:80" ht="39.950000000000003" hidden="1" customHeight="1" x14ac:dyDescent="0.25">
      <c r="AC43" s="36" t="s">
        <v>0</v>
      </c>
      <c r="AD43" s="45" t="s">
        <v>0</v>
      </c>
      <c r="AV43" s="19">
        <f>(0)</f>
        <v>0</v>
      </c>
      <c r="AW43" s="22">
        <f>(0%)</f>
        <v>0</v>
      </c>
      <c r="BO43" s="44" t="s">
        <v>57</v>
      </c>
      <c r="BP43" s="20">
        <v>3956.29</v>
      </c>
      <c r="BQ43" s="20">
        <v>3956.29</v>
      </c>
      <c r="BZ43" s="18">
        <v>41</v>
      </c>
      <c r="CA43" s="26">
        <v>20.5</v>
      </c>
      <c r="CB43" s="27">
        <v>0.43</v>
      </c>
    </row>
    <row r="44" spans="29:80" ht="39.950000000000003" hidden="1" customHeight="1" x14ac:dyDescent="0.25">
      <c r="AC44" s="36" t="s">
        <v>0</v>
      </c>
      <c r="AD44" s="45" t="s">
        <v>0</v>
      </c>
      <c r="AJ44" s="19">
        <f t="shared" ref="AJ44:AJ55" ca="1" si="192">(AS15+AU15+AW15+AJ1+AL1+AN1+AP1+AO29+AR29+AU29+AX29+AY15+BA15+BC15+BE15+BG15+AZ1)</f>
        <v>100131.45393346483</v>
      </c>
      <c r="AK44" s="19">
        <f t="shared" ref="AK44:AK55" si="193">(AS1+BF29)</f>
        <v>39630</v>
      </c>
      <c r="AL44" s="19">
        <f t="shared" ref="AL44:AL55" ca="1" si="194">(AJ44-AK44)</f>
        <v>60501.453933464829</v>
      </c>
      <c r="AM44" s="19">
        <f t="shared" ref="AM44:AM55" ca="1" si="195">(AL44*0.00759*-1)</f>
        <v>-459.20603535499805</v>
      </c>
      <c r="AN44" s="19">
        <f t="shared" ref="AN44:AN55" ca="1" si="196">(AJ44)</f>
        <v>100131.45393346483</v>
      </c>
      <c r="AO44" s="19">
        <f t="shared" ref="AO44:AO55" si="197">(AW1+AZ29+BI15+BA1)</f>
        <v>7229.5</v>
      </c>
      <c r="AP44" s="19">
        <f t="shared" ref="AP44:AP55" ca="1" si="198">IF(AN44-AO44&gt;=BE29*7.5,BE29*7.5,AN44-AO44)</f>
        <v>92901.953933464829</v>
      </c>
      <c r="AQ44" s="19">
        <f t="shared" ref="AQ44:AQ55" ca="1" si="199">(AP44*0.14*-1)</f>
        <v>-13006.273550685077</v>
      </c>
      <c r="AR44" s="19">
        <f t="shared" ref="AR44:AR55" ca="1" si="200">(AP44*0.01*-1)</f>
        <v>-929.01953933464836</v>
      </c>
      <c r="AS44" s="19">
        <f t="shared" ref="AS44:AS55" ca="1" si="201">(AJ44+AQ44+AR44)</f>
        <v>86196.160843445105</v>
      </c>
      <c r="AT44" s="19">
        <f t="shared" ref="AT44:AT55" si="202">(AL29+BA29+BJ15+BA1+BE1)</f>
        <v>10060.049999999999</v>
      </c>
      <c r="AU44" s="19">
        <f t="shared" ref="AU44:AU55" ca="1" si="203">(AS44-AT44)</f>
        <v>76136.110843445102</v>
      </c>
      <c r="AV44" s="19">
        <f ca="1">SUM($AU$44:AU44)</f>
        <v>76136.110843445102</v>
      </c>
      <c r="AW44" s="22">
        <f t="shared" ref="AW44:AW55" ca="1" si="204">IF(AV44&lt;=$BM$2,$BK$2,
IF(AV44&gt;$BM$4,
IF(AV44&gt;$BM$5,$BK$6,$BK$5),
IF(AV44&lt;$BM$3,$BK$3,$BK$4)))</f>
        <v>0.15</v>
      </c>
      <c r="AX44" s="21">
        <f t="shared" ref="AX44:AX55" ca="1" si="205">IF(AW44-AW43=0,0,1)</f>
        <v>1</v>
      </c>
      <c r="AY44" s="25">
        <f t="shared" ref="AY44:AY55" ca="1" si="206">(IF(AX44=0,AW44,(VLOOKUP($AW44,$BK$2:$BN$6,2,0)-AV43)/AU44*AW43+(AV44-VLOOKUP($AW44,$BK$2:$BN$6,2,0))/AU44*AW44))</f>
        <v>0.15</v>
      </c>
      <c r="AZ44" s="19">
        <f ca="1">(ROUND(AU44*AY44,2)*(-1)+VLOOKUP(AW44,$BK$2:$BN$6,4,0)*(-1))</f>
        <v>-11420.42</v>
      </c>
      <c r="BA44" s="19">
        <f t="shared" ref="BA44:BA55" ca="1" si="207">(AZ44+BV2)</f>
        <v>-7209.09</v>
      </c>
      <c r="BB44" s="25">
        <f t="shared" ref="BB44:BB55" ca="1" si="208">(100+(100*0.00759*-1)+(100)*AY44*-1)/100</f>
        <v>0.84240999999999999</v>
      </c>
      <c r="BC44" s="25">
        <f t="shared" ref="BC44:BC55" si="209">(100+(100*0.00759*-1)+(100*0.14*-1)+(100*0.01*-1))/100</f>
        <v>0.84240999999999999</v>
      </c>
      <c r="BD44" s="25">
        <f t="shared" ref="BD44:BD55" ca="1" si="210">(100+(100*0.00759*-1)+(100*0.14*-1)+(100*0.01*-1)+(100+100*0.14*-1+100*0.01*-1)*AY44*-1)/100</f>
        <v>0.71491000000000005</v>
      </c>
      <c r="BO44" s="44" t="s">
        <v>6</v>
      </c>
      <c r="BP44" s="20">
        <v>1905.24</v>
      </c>
      <c r="BQ44" s="20">
        <v>1905.24</v>
      </c>
      <c r="BZ44" s="18">
        <v>42</v>
      </c>
      <c r="CA44" s="26">
        <v>21</v>
      </c>
      <c r="CB44" s="27">
        <v>0.44</v>
      </c>
    </row>
    <row r="45" spans="29:80" ht="39.950000000000003" hidden="1" customHeight="1" x14ac:dyDescent="0.25">
      <c r="AC45" s="36" t="s">
        <v>0</v>
      </c>
      <c r="AD45" s="45" t="s">
        <v>0</v>
      </c>
      <c r="AJ45" s="19">
        <f t="shared" ca="1" si="192"/>
        <v>92772.873933464842</v>
      </c>
      <c r="AK45" s="19">
        <f t="shared" si="193"/>
        <v>39630</v>
      </c>
      <c r="AL45" s="19">
        <f t="shared" ca="1" si="194"/>
        <v>53142.873933464842</v>
      </c>
      <c r="AM45" s="19">
        <f t="shared" ca="1" si="195"/>
        <v>-403.35441315499816</v>
      </c>
      <c r="AN45" s="19">
        <f t="shared" ca="1" si="196"/>
        <v>92772.873933464842</v>
      </c>
      <c r="AO45" s="19">
        <f t="shared" si="197"/>
        <v>7229.5</v>
      </c>
      <c r="AP45" s="19">
        <f t="shared" ca="1" si="198"/>
        <v>85543.373933464842</v>
      </c>
      <c r="AQ45" s="19">
        <f t="shared" ca="1" si="199"/>
        <v>-11976.072350685079</v>
      </c>
      <c r="AR45" s="19">
        <f t="shared" ca="1" si="200"/>
        <v>-855.43373933464841</v>
      </c>
      <c r="AS45" s="19">
        <f t="shared" ca="1" si="201"/>
        <v>79941.367843445114</v>
      </c>
      <c r="AT45" s="19">
        <f t="shared" si="202"/>
        <v>10060.049999999999</v>
      </c>
      <c r="AU45" s="19">
        <f t="shared" ca="1" si="203"/>
        <v>69881.317843445111</v>
      </c>
      <c r="AV45" s="19">
        <f ca="1">SUM($AU$44:AU45)</f>
        <v>146017.42868689023</v>
      </c>
      <c r="AW45" s="22">
        <f t="shared" ca="1" si="204"/>
        <v>0.15</v>
      </c>
      <c r="AX45" s="21">
        <f t="shared" ca="1" si="205"/>
        <v>0</v>
      </c>
      <c r="AY45" s="25">
        <f t="shared" ca="1" si="206"/>
        <v>0.15</v>
      </c>
      <c r="AZ45" s="19">
        <f t="shared" ref="AZ45:AZ55" ca="1" si="211">(ROUND(AU45*AY45,2)*(-1))</f>
        <v>-10482.200000000001</v>
      </c>
      <c r="BA45" s="19">
        <f t="shared" ca="1" si="207"/>
        <v>-6270.8700000000008</v>
      </c>
      <c r="BB45" s="25">
        <f t="shared" ca="1" si="208"/>
        <v>0.84240999999999999</v>
      </c>
      <c r="BC45" s="25">
        <f t="shared" si="209"/>
        <v>0.84240999999999999</v>
      </c>
      <c r="BD45" s="25">
        <f t="shared" ca="1" si="210"/>
        <v>0.71491000000000005</v>
      </c>
      <c r="BZ45" s="18">
        <v>43</v>
      </c>
      <c r="CA45" s="26">
        <v>21.5</v>
      </c>
      <c r="CB45" s="27">
        <v>0.45</v>
      </c>
    </row>
    <row r="46" spans="29:80" ht="39.950000000000003" hidden="1" customHeight="1" x14ac:dyDescent="0.25">
      <c r="AC46" s="36" t="s">
        <v>0</v>
      </c>
      <c r="AD46" s="45" t="s">
        <v>0</v>
      </c>
      <c r="AJ46" s="19">
        <f t="shared" ca="1" si="192"/>
        <v>137047.52102016486</v>
      </c>
      <c r="AK46" s="19">
        <f t="shared" si="193"/>
        <v>39630</v>
      </c>
      <c r="AL46" s="19">
        <f t="shared" ca="1" si="194"/>
        <v>97417.521020164859</v>
      </c>
      <c r="AM46" s="19">
        <f t="shared" ca="1" si="195"/>
        <v>-739.39898454305137</v>
      </c>
      <c r="AN46" s="19">
        <f t="shared" ca="1" si="196"/>
        <v>137047.52102016486</v>
      </c>
      <c r="AO46" s="19">
        <f t="shared" si="197"/>
        <v>7229.5</v>
      </c>
      <c r="AP46" s="19">
        <f t="shared" ca="1" si="198"/>
        <v>129818.02102016486</v>
      </c>
      <c r="AQ46" s="19">
        <f t="shared" ca="1" si="199"/>
        <v>-18174.522942823081</v>
      </c>
      <c r="AR46" s="19">
        <f t="shared" ca="1" si="200"/>
        <v>-1298.1802102016486</v>
      </c>
      <c r="AS46" s="19">
        <f t="shared" ca="1" si="201"/>
        <v>117574.81786714013</v>
      </c>
      <c r="AT46" s="19">
        <f t="shared" si="202"/>
        <v>10060.049999999999</v>
      </c>
      <c r="AU46" s="19">
        <f t="shared" ca="1" si="203"/>
        <v>107514.76786714012</v>
      </c>
      <c r="AV46" s="19">
        <f ca="1">SUM($AU$44:AU46)</f>
        <v>253532.19655403035</v>
      </c>
      <c r="AW46" s="22">
        <f t="shared" ca="1" si="204"/>
        <v>0.2</v>
      </c>
      <c r="AX46" s="21">
        <f t="shared" ca="1" si="205"/>
        <v>1</v>
      </c>
      <c r="AY46" s="25">
        <f t="shared" ca="1" si="206"/>
        <v>0.17954579999304809</v>
      </c>
      <c r="AZ46" s="19">
        <f t="shared" ca="1" si="211"/>
        <v>-19303.830000000002</v>
      </c>
      <c r="BA46" s="19">
        <f t="shared" ca="1" si="207"/>
        <v>-15092.500000000002</v>
      </c>
      <c r="BB46" s="25">
        <f t="shared" ca="1" si="208"/>
        <v>0.81286420000695192</v>
      </c>
      <c r="BC46" s="25">
        <f t="shared" si="209"/>
        <v>0.84240999999999999</v>
      </c>
      <c r="BD46" s="25">
        <f t="shared" ca="1" si="210"/>
        <v>0.68979607000590915</v>
      </c>
      <c r="BZ46" s="18">
        <v>44</v>
      </c>
      <c r="CA46" s="26">
        <v>22</v>
      </c>
      <c r="CB46" s="27">
        <v>0.46</v>
      </c>
    </row>
    <row r="47" spans="29:80" ht="39.950000000000003" hidden="1" customHeight="1" x14ac:dyDescent="0.25">
      <c r="AC47" s="36" t="s">
        <v>0</v>
      </c>
      <c r="AD47" s="45" t="s">
        <v>0</v>
      </c>
      <c r="AJ47" s="19">
        <f t="shared" ca="1" si="192"/>
        <v>97892.417452110094</v>
      </c>
      <c r="AK47" s="19">
        <f t="shared" si="193"/>
        <v>39630</v>
      </c>
      <c r="AL47" s="19">
        <f t="shared" ca="1" si="194"/>
        <v>58262.417452110094</v>
      </c>
      <c r="AM47" s="19">
        <f t="shared" ca="1" si="195"/>
        <v>-442.21174846151564</v>
      </c>
      <c r="AN47" s="19">
        <f t="shared" ca="1" si="196"/>
        <v>97892.417452110094</v>
      </c>
      <c r="AO47" s="19">
        <f t="shared" si="197"/>
        <v>7229.5</v>
      </c>
      <c r="AP47" s="19">
        <f t="shared" ca="1" si="198"/>
        <v>90662.917452110094</v>
      </c>
      <c r="AQ47" s="19">
        <f t="shared" ca="1" si="199"/>
        <v>-12692.808443295415</v>
      </c>
      <c r="AR47" s="19">
        <f t="shared" ca="1" si="200"/>
        <v>-906.62917452110094</v>
      </c>
      <c r="AS47" s="19">
        <f t="shared" ca="1" si="201"/>
        <v>84292.979834293568</v>
      </c>
      <c r="AT47" s="19">
        <f t="shared" si="202"/>
        <v>10060.049999999999</v>
      </c>
      <c r="AU47" s="19">
        <f t="shared" ca="1" si="203"/>
        <v>74232.929834293565</v>
      </c>
      <c r="AV47" s="19">
        <f ca="1">SUM($AU$44:AU47)</f>
        <v>327765.1263883239</v>
      </c>
      <c r="AW47" s="22">
        <f t="shared" ca="1" si="204"/>
        <v>0.2</v>
      </c>
      <c r="AX47" s="21">
        <f t="shared" ca="1" si="205"/>
        <v>0</v>
      </c>
      <c r="AY47" s="25">
        <f t="shared" ca="1" si="206"/>
        <v>0.2</v>
      </c>
      <c r="AZ47" s="19">
        <f t="shared" ca="1" si="211"/>
        <v>-14846.59</v>
      </c>
      <c r="BA47" s="19">
        <f t="shared" ca="1" si="207"/>
        <v>-10635.26</v>
      </c>
      <c r="BB47" s="25">
        <f t="shared" ca="1" si="208"/>
        <v>0.79240999999999995</v>
      </c>
      <c r="BC47" s="25">
        <f t="shared" si="209"/>
        <v>0.84240999999999999</v>
      </c>
      <c r="BD47" s="25">
        <f t="shared" ca="1" si="210"/>
        <v>0.67240999999999995</v>
      </c>
      <c r="BZ47" s="18">
        <v>45</v>
      </c>
      <c r="CA47" s="26">
        <v>22.5</v>
      </c>
      <c r="CB47" s="27">
        <v>0.47</v>
      </c>
    </row>
    <row r="48" spans="29:80" ht="39.950000000000003" hidden="1" customHeight="1" x14ac:dyDescent="0.25">
      <c r="AC48" s="36" t="s">
        <v>0</v>
      </c>
      <c r="AD48" s="45" t="s">
        <v>0</v>
      </c>
      <c r="AJ48" s="19">
        <f t="shared" ca="1" si="192"/>
        <v>100362.44414645</v>
      </c>
      <c r="AK48" s="19">
        <f t="shared" si="193"/>
        <v>39630</v>
      </c>
      <c r="AL48" s="19">
        <f t="shared" ca="1" si="194"/>
        <v>60732.444146449998</v>
      </c>
      <c r="AM48" s="19">
        <f t="shared" ca="1" si="195"/>
        <v>-460.95925107155551</v>
      </c>
      <c r="AN48" s="19">
        <f t="shared" ca="1" si="196"/>
        <v>100362.44414645</v>
      </c>
      <c r="AO48" s="19">
        <f t="shared" si="197"/>
        <v>7229.5</v>
      </c>
      <c r="AP48" s="19">
        <f t="shared" ca="1" si="198"/>
        <v>93132.944146449998</v>
      </c>
      <c r="AQ48" s="19">
        <f t="shared" ca="1" si="199"/>
        <v>-13038.612180503002</v>
      </c>
      <c r="AR48" s="19">
        <f t="shared" ca="1" si="200"/>
        <v>-931.32944146449995</v>
      </c>
      <c r="AS48" s="19">
        <f t="shared" ca="1" si="201"/>
        <v>86392.502524482494</v>
      </c>
      <c r="AT48" s="19">
        <f t="shared" si="202"/>
        <v>10060.049999999999</v>
      </c>
      <c r="AU48" s="19">
        <f t="shared" ca="1" si="203"/>
        <v>76332.452524482491</v>
      </c>
      <c r="AV48" s="19">
        <f ca="1">SUM($AU$44:AU48)</f>
        <v>404097.57891280641</v>
      </c>
      <c r="AW48" s="22">
        <f t="shared" ca="1" si="204"/>
        <v>0.27</v>
      </c>
      <c r="AX48" s="21">
        <f t="shared" ca="1" si="205"/>
        <v>1</v>
      </c>
      <c r="AY48" s="25">
        <f t="shared" ca="1" si="206"/>
        <v>0.20375764847598021</v>
      </c>
      <c r="AZ48" s="19">
        <f t="shared" ca="1" si="211"/>
        <v>-15553.32</v>
      </c>
      <c r="BA48" s="19">
        <f t="shared" ca="1" si="207"/>
        <v>-11341.99</v>
      </c>
      <c r="BB48" s="25">
        <f t="shared" ca="1" si="208"/>
        <v>0.7886523515240198</v>
      </c>
      <c r="BC48" s="25">
        <f t="shared" si="209"/>
        <v>0.84240999999999999</v>
      </c>
      <c r="BD48" s="25">
        <f t="shared" ca="1" si="210"/>
        <v>0.66921599879541671</v>
      </c>
      <c r="BK48" s="35"/>
      <c r="BL48" s="16"/>
      <c r="BM48" s="16"/>
      <c r="BZ48" s="18">
        <v>46</v>
      </c>
      <c r="CA48" s="26">
        <v>23</v>
      </c>
      <c r="CB48" s="27">
        <v>0.48</v>
      </c>
    </row>
    <row r="49" spans="29:80" ht="39.950000000000003" hidden="1" customHeight="1" x14ac:dyDescent="0.25">
      <c r="AC49" s="36" t="s">
        <v>0</v>
      </c>
      <c r="AD49" s="45" t="s">
        <v>0</v>
      </c>
      <c r="AJ49" s="19">
        <f t="shared" ca="1" si="192"/>
        <v>135034.48845666304</v>
      </c>
      <c r="AK49" s="19">
        <f t="shared" si="193"/>
        <v>39630</v>
      </c>
      <c r="AL49" s="19">
        <f t="shared" ca="1" si="194"/>
        <v>95404.488456663035</v>
      </c>
      <c r="AM49" s="19">
        <f t="shared" ca="1" si="195"/>
        <v>-724.12006738607249</v>
      </c>
      <c r="AN49" s="19">
        <f t="shared" ca="1" si="196"/>
        <v>135034.48845666304</v>
      </c>
      <c r="AO49" s="19">
        <f t="shared" si="197"/>
        <v>7229.5</v>
      </c>
      <c r="AP49" s="19">
        <f t="shared" ca="1" si="198"/>
        <v>127804.98845666304</v>
      </c>
      <c r="AQ49" s="19">
        <f t="shared" ca="1" si="199"/>
        <v>-17892.698383932828</v>
      </c>
      <c r="AR49" s="19">
        <f t="shared" ca="1" si="200"/>
        <v>-1278.0498845666305</v>
      </c>
      <c r="AS49" s="19">
        <f t="shared" ca="1" si="201"/>
        <v>115863.74018816357</v>
      </c>
      <c r="AT49" s="19">
        <f t="shared" si="202"/>
        <v>10060.049999999999</v>
      </c>
      <c r="AU49" s="19">
        <f t="shared" ca="1" si="203"/>
        <v>105803.69018816357</v>
      </c>
      <c r="AV49" s="19">
        <f ca="1">SUM($AU$44:AU49)</f>
        <v>509901.26910097001</v>
      </c>
      <c r="AW49" s="22">
        <f t="shared" ca="1" si="204"/>
        <v>0.27</v>
      </c>
      <c r="AX49" s="21">
        <f t="shared" ca="1" si="205"/>
        <v>0</v>
      </c>
      <c r="AY49" s="25">
        <f t="shared" ca="1" si="206"/>
        <v>0.27</v>
      </c>
      <c r="AZ49" s="19">
        <f t="shared" ca="1" si="211"/>
        <v>-28567</v>
      </c>
      <c r="BA49" s="19">
        <f t="shared" ca="1" si="207"/>
        <v>-24355.67</v>
      </c>
      <c r="BB49" s="25">
        <f t="shared" ca="1" si="208"/>
        <v>0.72241</v>
      </c>
      <c r="BC49" s="25">
        <f t="shared" si="209"/>
        <v>0.84240999999999999</v>
      </c>
      <c r="BD49" s="25">
        <f t="shared" ca="1" si="210"/>
        <v>0.61290999999999995</v>
      </c>
      <c r="BK49" s="35"/>
      <c r="BL49" s="16"/>
      <c r="BM49" s="16"/>
      <c r="BZ49" s="18">
        <v>47</v>
      </c>
      <c r="CA49" s="26">
        <v>23.5</v>
      </c>
      <c r="CB49" s="27">
        <v>0.49</v>
      </c>
    </row>
    <row r="50" spans="29:80" ht="39.950000000000003" hidden="1" customHeight="1" x14ac:dyDescent="0.25">
      <c r="AC50" s="36" t="s">
        <v>0</v>
      </c>
      <c r="AD50" s="45" t="s">
        <v>0</v>
      </c>
      <c r="AJ50" s="19">
        <f t="shared" ca="1" si="192"/>
        <v>121682.61419793009</v>
      </c>
      <c r="AK50" s="19">
        <f t="shared" si="193"/>
        <v>39630</v>
      </c>
      <c r="AL50" s="19">
        <f t="shared" ca="1" si="194"/>
        <v>82052.614197930088</v>
      </c>
      <c r="AM50" s="19">
        <f t="shared" ca="1" si="195"/>
        <v>-622.77934176228939</v>
      </c>
      <c r="AN50" s="19">
        <f t="shared" ca="1" si="196"/>
        <v>121682.61419793009</v>
      </c>
      <c r="AO50" s="19">
        <f t="shared" si="197"/>
        <v>7260.6</v>
      </c>
      <c r="AP50" s="19">
        <f t="shared" ca="1" si="198"/>
        <v>114422.01419793008</v>
      </c>
      <c r="AQ50" s="19">
        <f t="shared" ca="1" si="199"/>
        <v>-16019.081987710213</v>
      </c>
      <c r="AR50" s="19">
        <f t="shared" ca="1" si="200"/>
        <v>-1144.2201419793009</v>
      </c>
      <c r="AS50" s="19">
        <f t="shared" ca="1" si="201"/>
        <v>104519.31206824057</v>
      </c>
      <c r="AT50" s="19">
        <f t="shared" si="202"/>
        <v>10293.83</v>
      </c>
      <c r="AU50" s="19">
        <f t="shared" ca="1" si="203"/>
        <v>94225.48206824057</v>
      </c>
      <c r="AV50" s="19">
        <f ca="1">SUM($AU$44:AU50)</f>
        <v>604126.75116921053</v>
      </c>
      <c r="AW50" s="22">
        <f t="shared" ca="1" si="204"/>
        <v>0.27</v>
      </c>
      <c r="AX50" s="21">
        <f t="shared" ca="1" si="205"/>
        <v>0</v>
      </c>
      <c r="AY50" s="25">
        <f t="shared" ca="1" si="206"/>
        <v>0.27</v>
      </c>
      <c r="AZ50" s="19">
        <f t="shared" ca="1" si="211"/>
        <v>-25440.880000000001</v>
      </c>
      <c r="BA50" s="19">
        <f t="shared" ca="1" si="207"/>
        <v>-20903.13</v>
      </c>
      <c r="BB50" s="25">
        <f t="shared" ca="1" si="208"/>
        <v>0.72241</v>
      </c>
      <c r="BC50" s="25">
        <f t="shared" si="209"/>
        <v>0.84240999999999999</v>
      </c>
      <c r="BD50" s="25">
        <f t="shared" ca="1" si="210"/>
        <v>0.61290999999999995</v>
      </c>
      <c r="BK50" s="35"/>
      <c r="BL50" s="16"/>
      <c r="BM50" s="16"/>
      <c r="BZ50" s="18">
        <v>48</v>
      </c>
      <c r="CA50" s="26">
        <v>24</v>
      </c>
      <c r="CB50" s="27">
        <v>0.5</v>
      </c>
    </row>
    <row r="51" spans="29:80" ht="39.950000000000003" hidden="1" customHeight="1" x14ac:dyDescent="0.25">
      <c r="AC51" s="36" t="s">
        <v>0</v>
      </c>
      <c r="AD51" s="45" t="s">
        <v>0</v>
      </c>
      <c r="AJ51" s="19">
        <f t="shared" ca="1" si="192"/>
        <v>121682.61419793009</v>
      </c>
      <c r="AK51" s="19">
        <f t="shared" si="193"/>
        <v>39630</v>
      </c>
      <c r="AL51" s="19">
        <f t="shared" ca="1" si="194"/>
        <v>82052.614197930088</v>
      </c>
      <c r="AM51" s="19">
        <f t="shared" ca="1" si="195"/>
        <v>-622.77934176228939</v>
      </c>
      <c r="AN51" s="19">
        <f t="shared" ca="1" si="196"/>
        <v>121682.61419793009</v>
      </c>
      <c r="AO51" s="19">
        <f t="shared" si="197"/>
        <v>7260.6</v>
      </c>
      <c r="AP51" s="19">
        <f t="shared" ca="1" si="198"/>
        <v>114422.01419793008</v>
      </c>
      <c r="AQ51" s="19">
        <f t="shared" ca="1" si="199"/>
        <v>-16019.081987710213</v>
      </c>
      <c r="AR51" s="19">
        <f t="shared" ca="1" si="200"/>
        <v>-1144.2201419793009</v>
      </c>
      <c r="AS51" s="19">
        <f t="shared" ca="1" si="201"/>
        <v>104519.31206824057</v>
      </c>
      <c r="AT51" s="19">
        <f t="shared" si="202"/>
        <v>10293.83</v>
      </c>
      <c r="AU51" s="19">
        <f t="shared" ca="1" si="203"/>
        <v>94225.48206824057</v>
      </c>
      <c r="AV51" s="19">
        <f ca="1">SUM($AU$44:AU51)</f>
        <v>698352.23323745106</v>
      </c>
      <c r="AW51" s="22">
        <f t="shared" ca="1" si="204"/>
        <v>0.27</v>
      </c>
      <c r="AX51" s="21">
        <f t="shared" ca="1" si="205"/>
        <v>0</v>
      </c>
      <c r="AY51" s="25">
        <f t="shared" ca="1" si="206"/>
        <v>0.27</v>
      </c>
      <c r="AZ51" s="19">
        <f t="shared" ca="1" si="211"/>
        <v>-25440.880000000001</v>
      </c>
      <c r="BA51" s="19">
        <f t="shared" ca="1" si="207"/>
        <v>-19825.78</v>
      </c>
      <c r="BB51" s="25">
        <f t="shared" ca="1" si="208"/>
        <v>0.72241</v>
      </c>
      <c r="BC51" s="25">
        <f t="shared" si="209"/>
        <v>0.84240999999999999</v>
      </c>
      <c r="BD51" s="25">
        <f t="shared" ca="1" si="210"/>
        <v>0.61290999999999995</v>
      </c>
      <c r="BK51" s="35"/>
      <c r="BL51" s="16"/>
      <c r="BM51" s="16"/>
      <c r="BZ51" s="18">
        <v>49</v>
      </c>
      <c r="CA51" s="26">
        <v>24.5</v>
      </c>
      <c r="CB51" s="48" t="s">
        <v>0</v>
      </c>
    </row>
    <row r="52" spans="29:80" ht="39.950000000000003" hidden="1" customHeight="1" x14ac:dyDescent="0.25">
      <c r="AC52" s="36" t="s">
        <v>0</v>
      </c>
      <c r="AD52" s="45" t="s">
        <v>0</v>
      </c>
      <c r="AJ52" s="19">
        <f t="shared" ca="1" si="192"/>
        <v>162820.63419793005</v>
      </c>
      <c r="AK52" s="19">
        <f t="shared" si="193"/>
        <v>39630</v>
      </c>
      <c r="AL52" s="19">
        <f t="shared" ca="1" si="194"/>
        <v>123190.63419793005</v>
      </c>
      <c r="AM52" s="19">
        <f t="shared" ca="1" si="195"/>
        <v>-935.01691356228912</v>
      </c>
      <c r="AN52" s="19">
        <f t="shared" ca="1" si="196"/>
        <v>162820.63419793005</v>
      </c>
      <c r="AO52" s="19">
        <f t="shared" si="197"/>
        <v>7260.6</v>
      </c>
      <c r="AP52" s="19">
        <f t="shared" ca="1" si="198"/>
        <v>155560.03419793004</v>
      </c>
      <c r="AQ52" s="19">
        <f t="shared" ca="1" si="199"/>
        <v>-21778.404787710209</v>
      </c>
      <c r="AR52" s="19">
        <f t="shared" ca="1" si="200"/>
        <v>-1555.6003419793005</v>
      </c>
      <c r="AS52" s="19">
        <f t="shared" ca="1" si="201"/>
        <v>139486.62906824055</v>
      </c>
      <c r="AT52" s="19">
        <f t="shared" si="202"/>
        <v>10293.83</v>
      </c>
      <c r="AU52" s="19">
        <f t="shared" ca="1" si="203"/>
        <v>129192.79906824055</v>
      </c>
      <c r="AV52" s="19">
        <f ca="1">SUM($AU$44:AU52)</f>
        <v>827545.03230569162</v>
      </c>
      <c r="AW52" s="22">
        <f t="shared" ca="1" si="204"/>
        <v>0.27</v>
      </c>
      <c r="AX52" s="21">
        <f t="shared" ca="1" si="205"/>
        <v>0</v>
      </c>
      <c r="AY52" s="25">
        <f t="shared" ca="1" si="206"/>
        <v>0.27</v>
      </c>
      <c r="AZ52" s="19">
        <f t="shared" ca="1" si="211"/>
        <v>-34882.06</v>
      </c>
      <c r="BA52" s="19">
        <f t="shared" ca="1" si="207"/>
        <v>-29266.959999999999</v>
      </c>
      <c r="BB52" s="25">
        <f t="shared" ca="1" si="208"/>
        <v>0.72241</v>
      </c>
      <c r="BC52" s="25">
        <f t="shared" si="209"/>
        <v>0.84240999999999999</v>
      </c>
      <c r="BD52" s="25">
        <f t="shared" ca="1" si="210"/>
        <v>0.61290999999999995</v>
      </c>
      <c r="BK52" s="35"/>
      <c r="BL52" s="16"/>
      <c r="BM52" s="16"/>
      <c r="BZ52" s="18">
        <v>50</v>
      </c>
      <c r="CA52" s="26">
        <v>25</v>
      </c>
      <c r="CB52" s="48" t="s">
        <v>0</v>
      </c>
    </row>
    <row r="53" spans="29:80" ht="39.950000000000003" hidden="1" customHeight="1" x14ac:dyDescent="0.25">
      <c r="AC53" s="36" t="s">
        <v>0</v>
      </c>
      <c r="AD53" s="45" t="s">
        <v>0</v>
      </c>
      <c r="AJ53" s="19">
        <f t="shared" ca="1" si="192"/>
        <v>121682.61419793009</v>
      </c>
      <c r="AK53" s="19">
        <f t="shared" si="193"/>
        <v>39630</v>
      </c>
      <c r="AL53" s="19">
        <f t="shared" ca="1" si="194"/>
        <v>82052.614197930088</v>
      </c>
      <c r="AM53" s="19">
        <f t="shared" ca="1" si="195"/>
        <v>-622.77934176228939</v>
      </c>
      <c r="AN53" s="19">
        <f t="shared" ca="1" si="196"/>
        <v>121682.61419793009</v>
      </c>
      <c r="AO53" s="19">
        <f t="shared" si="197"/>
        <v>7260.6</v>
      </c>
      <c r="AP53" s="19">
        <f t="shared" ca="1" si="198"/>
        <v>114422.01419793008</v>
      </c>
      <c r="AQ53" s="19">
        <f t="shared" ca="1" si="199"/>
        <v>-16019.081987710213</v>
      </c>
      <c r="AR53" s="19">
        <f t="shared" ca="1" si="200"/>
        <v>-1144.2201419793009</v>
      </c>
      <c r="AS53" s="19">
        <f t="shared" ca="1" si="201"/>
        <v>104519.31206824057</v>
      </c>
      <c r="AT53" s="19">
        <f t="shared" si="202"/>
        <v>10293.83</v>
      </c>
      <c r="AU53" s="19">
        <f t="shared" ca="1" si="203"/>
        <v>94225.48206824057</v>
      </c>
      <c r="AV53" s="19">
        <f ca="1">SUM($AU$44:AU53)</f>
        <v>921770.51437393215</v>
      </c>
      <c r="AW53" s="22">
        <f t="shared" ca="1" si="204"/>
        <v>0.27</v>
      </c>
      <c r="AX53" s="21">
        <f t="shared" ca="1" si="205"/>
        <v>0</v>
      </c>
      <c r="AY53" s="25">
        <f t="shared" ca="1" si="206"/>
        <v>0.27</v>
      </c>
      <c r="AZ53" s="19">
        <f t="shared" ca="1" si="211"/>
        <v>-25440.880000000001</v>
      </c>
      <c r="BA53" s="19">
        <f t="shared" ca="1" si="207"/>
        <v>-19825.78</v>
      </c>
      <c r="BB53" s="25">
        <f t="shared" ca="1" si="208"/>
        <v>0.72241</v>
      </c>
      <c r="BC53" s="25">
        <f t="shared" si="209"/>
        <v>0.84240999999999999</v>
      </c>
      <c r="BD53" s="25">
        <f t="shared" ca="1" si="210"/>
        <v>0.61290999999999995</v>
      </c>
      <c r="BK53" s="35"/>
      <c r="BL53" s="16"/>
      <c r="BM53" s="16"/>
      <c r="BZ53" s="18">
        <v>51</v>
      </c>
      <c r="CA53" s="26">
        <v>25.5</v>
      </c>
      <c r="CB53" s="48" t="s">
        <v>0</v>
      </c>
    </row>
    <row r="54" spans="29:80" ht="39.950000000000003" hidden="1" customHeight="1" x14ac:dyDescent="0.25">
      <c r="AC54" s="36" t="s">
        <v>0</v>
      </c>
      <c r="AD54" s="45" t="s">
        <v>0</v>
      </c>
      <c r="AJ54" s="19">
        <f t="shared" ca="1" si="192"/>
        <v>118744.18419793008</v>
      </c>
      <c r="AK54" s="19">
        <f t="shared" si="193"/>
        <v>39630</v>
      </c>
      <c r="AL54" s="19">
        <f t="shared" ca="1" si="194"/>
        <v>79114.184197930081</v>
      </c>
      <c r="AM54" s="19">
        <f t="shared" ca="1" si="195"/>
        <v>-600.47665806228929</v>
      </c>
      <c r="AN54" s="19">
        <f t="shared" ca="1" si="196"/>
        <v>118744.18419793008</v>
      </c>
      <c r="AO54" s="19">
        <f t="shared" si="197"/>
        <v>7260.6</v>
      </c>
      <c r="AP54" s="19">
        <f t="shared" ca="1" si="198"/>
        <v>111483.58419793007</v>
      </c>
      <c r="AQ54" s="19">
        <f t="shared" ca="1" si="199"/>
        <v>-15607.701787710212</v>
      </c>
      <c r="AR54" s="19">
        <f t="shared" ca="1" si="200"/>
        <v>-1114.8358419793008</v>
      </c>
      <c r="AS54" s="19">
        <f t="shared" ca="1" si="201"/>
        <v>102021.64656824057</v>
      </c>
      <c r="AT54" s="19">
        <f t="shared" si="202"/>
        <v>10747.06</v>
      </c>
      <c r="AU54" s="19">
        <f t="shared" ca="1" si="203"/>
        <v>91274.586568240571</v>
      </c>
      <c r="AV54" s="19">
        <f ca="1">SUM($AU$44:AU54)</f>
        <v>1013045.1009421727</v>
      </c>
      <c r="AW54" s="22">
        <f t="shared" ca="1" si="204"/>
        <v>0.27</v>
      </c>
      <c r="AX54" s="21">
        <f t="shared" ca="1" si="205"/>
        <v>0</v>
      </c>
      <c r="AY54" s="25">
        <f t="shared" ca="1" si="206"/>
        <v>0.27</v>
      </c>
      <c r="AZ54" s="19">
        <f t="shared" ca="1" si="211"/>
        <v>-24644.14</v>
      </c>
      <c r="BA54" s="19">
        <f t="shared" ca="1" si="207"/>
        <v>-19029.04</v>
      </c>
      <c r="BB54" s="25">
        <f t="shared" ca="1" si="208"/>
        <v>0.72241</v>
      </c>
      <c r="BC54" s="25">
        <f t="shared" si="209"/>
        <v>0.84240999999999999</v>
      </c>
      <c r="BD54" s="25">
        <f t="shared" ca="1" si="210"/>
        <v>0.61290999999999995</v>
      </c>
      <c r="BK54" s="35"/>
      <c r="BL54" s="16"/>
      <c r="BM54" s="16"/>
      <c r="BZ54" s="18">
        <v>52</v>
      </c>
      <c r="CA54" s="26">
        <v>26</v>
      </c>
      <c r="CB54" s="48" t="s">
        <v>0</v>
      </c>
    </row>
    <row r="55" spans="29:80" ht="39.950000000000003" hidden="1" customHeight="1" x14ac:dyDescent="0.25">
      <c r="AC55" s="36" t="s">
        <v>0</v>
      </c>
      <c r="AD55" s="45" t="s">
        <v>0</v>
      </c>
      <c r="AJ55" s="19">
        <f t="shared" ca="1" si="192"/>
        <v>165759.06419793007</v>
      </c>
      <c r="AK55" s="19">
        <f t="shared" si="193"/>
        <v>39630</v>
      </c>
      <c r="AL55" s="19">
        <f t="shared" ca="1" si="194"/>
        <v>126129.06419793007</v>
      </c>
      <c r="AM55" s="19">
        <f t="shared" ca="1" si="195"/>
        <v>-957.31959726228934</v>
      </c>
      <c r="AN55" s="19">
        <f t="shared" ca="1" si="196"/>
        <v>165759.06419793007</v>
      </c>
      <c r="AO55" s="19">
        <f t="shared" si="197"/>
        <v>7260.6</v>
      </c>
      <c r="AP55" s="19">
        <f t="shared" ca="1" si="198"/>
        <v>158498.46419793006</v>
      </c>
      <c r="AQ55" s="19">
        <f t="shared" ca="1" si="199"/>
        <v>-22189.784987710213</v>
      </c>
      <c r="AR55" s="19">
        <f t="shared" ca="1" si="200"/>
        <v>-1584.9846419793007</v>
      </c>
      <c r="AS55" s="19">
        <f t="shared" ca="1" si="201"/>
        <v>141984.29456824056</v>
      </c>
      <c r="AT55" s="19">
        <f t="shared" si="202"/>
        <v>10747.06</v>
      </c>
      <c r="AU55" s="19">
        <f t="shared" ca="1" si="203"/>
        <v>131237.23456824056</v>
      </c>
      <c r="AV55" s="19">
        <f ca="1">SUM($AU$44:AU55)</f>
        <v>1144282.3355104132</v>
      </c>
      <c r="AW55" s="22">
        <f t="shared" ca="1" si="204"/>
        <v>0.27</v>
      </c>
      <c r="AX55" s="21">
        <f t="shared" ca="1" si="205"/>
        <v>0</v>
      </c>
      <c r="AY55" s="25">
        <f t="shared" ca="1" si="206"/>
        <v>0.27</v>
      </c>
      <c r="AZ55" s="19">
        <f t="shared" ca="1" si="211"/>
        <v>-35434.050000000003</v>
      </c>
      <c r="BA55" s="19">
        <f t="shared" ca="1" si="207"/>
        <v>-29818.950000000004</v>
      </c>
      <c r="BB55" s="25">
        <f t="shared" ca="1" si="208"/>
        <v>0.72241</v>
      </c>
      <c r="BC55" s="25">
        <f t="shared" si="209"/>
        <v>0.84240999999999999</v>
      </c>
      <c r="BD55" s="25">
        <f t="shared" ca="1" si="210"/>
        <v>0.61290999999999995</v>
      </c>
      <c r="BK55" s="35"/>
      <c r="BL55" s="16"/>
      <c r="BM55" s="16"/>
      <c r="BZ55" s="18">
        <v>53</v>
      </c>
      <c r="CA55" s="26">
        <v>26.5</v>
      </c>
      <c r="CB55" s="48" t="s">
        <v>0</v>
      </c>
    </row>
    <row r="56" spans="29:80" ht="39.950000000000003" hidden="1" customHeight="1" x14ac:dyDescent="0.25">
      <c r="AC56" s="36" t="s">
        <v>0</v>
      </c>
      <c r="AD56" s="45" t="s">
        <v>0</v>
      </c>
      <c r="AJ56" s="19">
        <f t="shared" ref="AJ56:AU56" ca="1" si="212">(AJ44+AJ45+AJ46+AJ47+AJ48+AJ49+AJ50+AJ51+AJ52+AJ53+AJ54+AJ55)</f>
        <v>1475612.9241298982</v>
      </c>
      <c r="AK56" s="19">
        <f t="shared" si="212"/>
        <v>475560</v>
      </c>
      <c r="AL56" s="19">
        <f t="shared" ca="1" si="212"/>
        <v>1000052.9241298981</v>
      </c>
      <c r="AM56" s="19">
        <f t="shared" ca="1" si="212"/>
        <v>-7590.4016941459267</v>
      </c>
      <c r="AN56" s="19">
        <f t="shared" ca="1" si="212"/>
        <v>1475612.9241298982</v>
      </c>
      <c r="AO56" s="19">
        <f t="shared" si="212"/>
        <v>86940.6</v>
      </c>
      <c r="AP56" s="19">
        <f t="shared" ca="1" si="212"/>
        <v>1388672.3241298981</v>
      </c>
      <c r="AQ56" s="19">
        <f t="shared" ca="1" si="212"/>
        <v>-194414.12537818577</v>
      </c>
      <c r="AR56" s="19">
        <f t="shared" ca="1" si="212"/>
        <v>-13886.723241298982</v>
      </c>
      <c r="AS56" s="19">
        <f t="shared" ca="1" si="212"/>
        <v>1267312.0755104134</v>
      </c>
      <c r="AT56" s="19">
        <f t="shared" si="212"/>
        <v>123029.74</v>
      </c>
      <c r="AU56" s="19">
        <f t="shared" ca="1" si="212"/>
        <v>1144282.3355104132</v>
      </c>
      <c r="AV56" s="29" t="s">
        <v>0</v>
      </c>
      <c r="AW56" s="18" t="s">
        <v>0</v>
      </c>
      <c r="AX56" s="18" t="s">
        <v>0</v>
      </c>
      <c r="AY56" s="49">
        <f ca="1">(AY44+AY45+AY46+AY47+AY48+AY49+AY50+AY51+AY52+AY53+AY54+AY55)</f>
        <v>2.7733034484690284</v>
      </c>
      <c r="AZ56" s="19">
        <f ca="1">(AZ44+AZ45+AZ46+AZ47+AZ48+AZ49+AZ50+AZ51+AZ52+AZ53+AZ54+AZ55)</f>
        <v>-271456.25</v>
      </c>
      <c r="BA56" s="19">
        <f ca="1">(BA44+BA45+BA46+BA47+BA48+BA49+BA50+BA51+BA52+BA53+BA54+BA55)</f>
        <v>-213575.02000000002</v>
      </c>
      <c r="BB56" s="18" t="s">
        <v>0</v>
      </c>
      <c r="BC56" s="18" t="s">
        <v>0</v>
      </c>
      <c r="BD56" s="18" t="s">
        <v>0</v>
      </c>
      <c r="BK56" s="35"/>
      <c r="BL56" s="16"/>
      <c r="BM56" s="16"/>
      <c r="BZ56" s="18">
        <v>54</v>
      </c>
      <c r="CA56" s="26">
        <v>27</v>
      </c>
      <c r="CB56" s="48" t="s">
        <v>0</v>
      </c>
    </row>
    <row r="57" spans="29:80" ht="39.950000000000003" hidden="1" customHeight="1" x14ac:dyDescent="0.25">
      <c r="AJ57" s="19">
        <f t="shared" ref="AJ57:AU57" ca="1" si="213">(AJ56/12)</f>
        <v>122967.74367749151</v>
      </c>
      <c r="AK57" s="19">
        <f t="shared" si="213"/>
        <v>39630</v>
      </c>
      <c r="AL57" s="19">
        <f t="shared" ca="1" si="213"/>
        <v>83337.743677491511</v>
      </c>
      <c r="AM57" s="19">
        <f t="shared" ca="1" si="213"/>
        <v>-632.53347451216052</v>
      </c>
      <c r="AN57" s="19">
        <f t="shared" ca="1" si="213"/>
        <v>122967.74367749151</v>
      </c>
      <c r="AO57" s="19">
        <f t="shared" si="213"/>
        <v>7245.05</v>
      </c>
      <c r="AP57" s="19">
        <f t="shared" ca="1" si="213"/>
        <v>115722.69367749151</v>
      </c>
      <c r="AQ57" s="19">
        <f t="shared" ca="1" si="213"/>
        <v>-16201.177114848813</v>
      </c>
      <c r="AR57" s="19">
        <f t="shared" ca="1" si="213"/>
        <v>-1157.2269367749152</v>
      </c>
      <c r="AS57" s="19">
        <f t="shared" ca="1" si="213"/>
        <v>105609.33962586778</v>
      </c>
      <c r="AT57" s="19">
        <f t="shared" si="213"/>
        <v>10252.478333333334</v>
      </c>
      <c r="AU57" s="19">
        <f t="shared" ca="1" si="213"/>
        <v>95356.861292534435</v>
      </c>
      <c r="AV57" s="29" t="s">
        <v>0</v>
      </c>
      <c r="AW57" s="29" t="s">
        <v>0</v>
      </c>
      <c r="AX57" s="29" t="s">
        <v>0</v>
      </c>
      <c r="AY57" s="49">
        <f ca="1">(AY56/12)</f>
        <v>0.23110862070575236</v>
      </c>
      <c r="AZ57" s="19">
        <f ca="1">(AZ56/12)</f>
        <v>-22621.354166666668</v>
      </c>
      <c r="BA57" s="19">
        <f ca="1">(BA56/12)</f>
        <v>-17797.918333333335</v>
      </c>
      <c r="BB57" s="18" t="s">
        <v>0</v>
      </c>
      <c r="BC57" s="18" t="s">
        <v>0</v>
      </c>
      <c r="BD57" s="18" t="s">
        <v>0</v>
      </c>
      <c r="BK57" s="35"/>
      <c r="BL57" s="16"/>
      <c r="BM57" s="16"/>
      <c r="BZ57" s="18">
        <v>55</v>
      </c>
      <c r="CA57" s="26">
        <v>27.5</v>
      </c>
      <c r="CB57" s="48" t="s">
        <v>0</v>
      </c>
    </row>
    <row r="58" spans="29:80" ht="39.950000000000003" hidden="1" customHeight="1" x14ac:dyDescent="0.25">
      <c r="BK58" s="35"/>
      <c r="BL58" s="16"/>
      <c r="BM58" s="16"/>
      <c r="BZ58" s="18">
        <v>56</v>
      </c>
      <c r="CA58" s="26">
        <v>28</v>
      </c>
      <c r="CB58" s="48" t="s">
        <v>0</v>
      </c>
    </row>
    <row r="59" spans="29:80" ht="39.950000000000003" hidden="1" customHeight="1" x14ac:dyDescent="0.25">
      <c r="BK59" s="35"/>
      <c r="BL59" s="16"/>
      <c r="BM59" s="16"/>
      <c r="BZ59" s="18">
        <v>57</v>
      </c>
      <c r="CA59" s="26">
        <v>28.5</v>
      </c>
      <c r="CB59" s="48" t="s">
        <v>0</v>
      </c>
    </row>
    <row r="60" spans="29:80" ht="39.950000000000003" hidden="1" customHeight="1" x14ac:dyDescent="0.25">
      <c r="BK60" s="35"/>
      <c r="BL60" s="16"/>
      <c r="BM60" s="16"/>
      <c r="BZ60" s="18">
        <v>58</v>
      </c>
      <c r="CA60" s="26">
        <v>29</v>
      </c>
      <c r="CB60" s="48" t="s">
        <v>0</v>
      </c>
    </row>
    <row r="61" spans="29:80" ht="39.950000000000003" hidden="1" customHeight="1" x14ac:dyDescent="0.25">
      <c r="BK61" s="35"/>
      <c r="BL61" s="16"/>
      <c r="BM61" s="16"/>
      <c r="BZ61" s="18">
        <v>59</v>
      </c>
      <c r="CA61" s="26">
        <v>29.5</v>
      </c>
      <c r="CB61" s="48" t="s">
        <v>0</v>
      </c>
    </row>
    <row r="62" spans="29:80" ht="39.950000000000003" hidden="1" customHeight="1" x14ac:dyDescent="0.25">
      <c r="BK62" s="35"/>
      <c r="BL62" s="16"/>
      <c r="BM62" s="16"/>
      <c r="BZ62" s="18">
        <v>60</v>
      </c>
      <c r="CA62" s="26">
        <v>30</v>
      </c>
      <c r="CB62" s="48" t="s">
        <v>0</v>
      </c>
    </row>
    <row r="63" spans="29:80" ht="39.950000000000003" hidden="1" customHeight="1" x14ac:dyDescent="0.25">
      <c r="BK63" s="35"/>
      <c r="BL63" s="16"/>
      <c r="BM63" s="16"/>
      <c r="BZ63" s="18">
        <v>61</v>
      </c>
      <c r="CA63" s="26">
        <v>30.5</v>
      </c>
      <c r="CB63" s="48" t="s">
        <v>0</v>
      </c>
    </row>
    <row r="64" spans="29:80" ht="39.950000000000003" hidden="1" customHeight="1" x14ac:dyDescent="0.25">
      <c r="BZ64" s="18">
        <v>62</v>
      </c>
      <c r="CA64" s="26">
        <v>31</v>
      </c>
      <c r="CB64" s="48" t="s">
        <v>0</v>
      </c>
    </row>
    <row r="65" spans="78:80" ht="39.950000000000003" hidden="1" customHeight="1" x14ac:dyDescent="0.25">
      <c r="BZ65" s="18">
        <v>63</v>
      </c>
      <c r="CA65" s="26">
        <v>31.5</v>
      </c>
      <c r="CB65" s="48" t="s">
        <v>0</v>
      </c>
    </row>
    <row r="66" spans="78:80" ht="39.950000000000003" hidden="1" customHeight="1" x14ac:dyDescent="0.25">
      <c r="BZ66" s="18">
        <v>64</v>
      </c>
      <c r="CA66" s="26">
        <v>32</v>
      </c>
      <c r="CB66" s="48" t="s">
        <v>0</v>
      </c>
    </row>
    <row r="67" spans="78:80" ht="39.950000000000003" hidden="1" customHeight="1" x14ac:dyDescent="0.25">
      <c r="BZ67" s="18">
        <v>65</v>
      </c>
      <c r="CA67" s="26">
        <v>32.5</v>
      </c>
      <c r="CB67" s="48" t="s">
        <v>0</v>
      </c>
    </row>
    <row r="68" spans="78:80" ht="39.950000000000003" hidden="1" customHeight="1" x14ac:dyDescent="0.25">
      <c r="BZ68" s="18">
        <v>66</v>
      </c>
      <c r="CA68" s="26">
        <v>33</v>
      </c>
      <c r="CB68" s="48" t="s">
        <v>0</v>
      </c>
    </row>
    <row r="69" spans="78:80" ht="39.950000000000003" hidden="1" customHeight="1" x14ac:dyDescent="0.25">
      <c r="BZ69" s="18">
        <v>67</v>
      </c>
      <c r="CA69" s="26">
        <v>33.5</v>
      </c>
      <c r="CB69" s="48" t="s">
        <v>0</v>
      </c>
    </row>
    <row r="70" spans="78:80" ht="39.950000000000003" hidden="1" customHeight="1" x14ac:dyDescent="0.25">
      <c r="BZ70" s="18">
        <v>68</v>
      </c>
      <c r="CA70" s="26">
        <v>34</v>
      </c>
      <c r="CB70" s="48" t="s">
        <v>0</v>
      </c>
    </row>
    <row r="71" spans="78:80" ht="39.950000000000003" hidden="1" customHeight="1" x14ac:dyDescent="0.25">
      <c r="BZ71" s="18">
        <v>69</v>
      </c>
      <c r="CA71" s="26">
        <v>34.5</v>
      </c>
      <c r="CB71" s="48" t="s">
        <v>0</v>
      </c>
    </row>
    <row r="72" spans="78:80" ht="39.950000000000003" hidden="1" customHeight="1" x14ac:dyDescent="0.25">
      <c r="BZ72" s="18">
        <v>70</v>
      </c>
      <c r="CA72" s="26">
        <v>35</v>
      </c>
      <c r="CB72" s="48" t="s">
        <v>0</v>
      </c>
    </row>
    <row r="73" spans="78:80" ht="39.950000000000003" hidden="1" customHeight="1" x14ac:dyDescent="0.25">
      <c r="BZ73" s="18">
        <v>71</v>
      </c>
      <c r="CA73" s="26">
        <v>35.5</v>
      </c>
      <c r="CB73" s="48" t="s">
        <v>0</v>
      </c>
    </row>
    <row r="74" spans="78:80" ht="39.950000000000003" hidden="1" customHeight="1" x14ac:dyDescent="0.25">
      <c r="BZ74" s="18">
        <v>72</v>
      </c>
      <c r="CA74" s="26">
        <v>36</v>
      </c>
      <c r="CB74" s="48" t="s">
        <v>0</v>
      </c>
    </row>
    <row r="75" spans="78:80" ht="39.950000000000003" hidden="1" customHeight="1" x14ac:dyDescent="0.25">
      <c r="BZ75" s="18">
        <v>73</v>
      </c>
      <c r="CA75" s="26">
        <v>36.5</v>
      </c>
      <c r="CB75" s="48" t="s">
        <v>0</v>
      </c>
    </row>
    <row r="76" spans="78:80" ht="39.950000000000003" hidden="1" customHeight="1" x14ac:dyDescent="0.25">
      <c r="BZ76" s="18">
        <v>74</v>
      </c>
      <c r="CA76" s="26">
        <v>37</v>
      </c>
      <c r="CB76" s="48" t="s">
        <v>0</v>
      </c>
    </row>
    <row r="77" spans="78:80" ht="39.950000000000003" hidden="1" customHeight="1" x14ac:dyDescent="0.25">
      <c r="BZ77" s="18">
        <v>75</v>
      </c>
      <c r="CA77" s="26">
        <v>37.5</v>
      </c>
      <c r="CB77" s="48" t="s">
        <v>0</v>
      </c>
    </row>
    <row r="78" spans="78:80" ht="39.950000000000003" hidden="1" customHeight="1" x14ac:dyDescent="0.25">
      <c r="BZ78" s="18">
        <v>76</v>
      </c>
      <c r="CA78" s="26">
        <v>38</v>
      </c>
      <c r="CB78" s="48" t="s">
        <v>0</v>
      </c>
    </row>
    <row r="79" spans="78:80" ht="39.950000000000003" hidden="1" customHeight="1" x14ac:dyDescent="0.25">
      <c r="BZ79" s="18">
        <v>77</v>
      </c>
      <c r="CA79" s="26">
        <v>38.5</v>
      </c>
      <c r="CB79" s="48" t="s">
        <v>0</v>
      </c>
    </row>
    <row r="80" spans="78:80" ht="39.950000000000003" hidden="1" customHeight="1" x14ac:dyDescent="0.25">
      <c r="BZ80" s="18">
        <v>78</v>
      </c>
      <c r="CA80" s="26">
        <v>39</v>
      </c>
      <c r="CB80" s="48" t="s">
        <v>0</v>
      </c>
    </row>
    <row r="81" spans="78:80" ht="39.950000000000003" hidden="1" customHeight="1" x14ac:dyDescent="0.25">
      <c r="BZ81" s="18">
        <v>79</v>
      </c>
      <c r="CA81" s="26">
        <v>39.5</v>
      </c>
      <c r="CB81" s="48" t="s">
        <v>0</v>
      </c>
    </row>
    <row r="82" spans="78:80" ht="39.950000000000003" hidden="1" customHeight="1" x14ac:dyDescent="0.25">
      <c r="BZ82" s="18">
        <v>80</v>
      </c>
      <c r="CA82" s="26">
        <v>40</v>
      </c>
      <c r="CB82" s="48" t="s">
        <v>0</v>
      </c>
    </row>
    <row r="83" spans="78:80" ht="39.950000000000003" hidden="1" customHeight="1" x14ac:dyDescent="0.25">
      <c r="BZ83" s="18">
        <v>81</v>
      </c>
      <c r="CA83" s="26">
        <v>40.5</v>
      </c>
      <c r="CB83" s="48" t="s">
        <v>0</v>
      </c>
    </row>
    <row r="84" spans="78:80" ht="39.950000000000003" hidden="1" customHeight="1" x14ac:dyDescent="0.25">
      <c r="BZ84" s="18">
        <v>82</v>
      </c>
      <c r="CA84" s="26">
        <v>41</v>
      </c>
      <c r="CB84" s="48" t="s">
        <v>0</v>
      </c>
    </row>
    <row r="85" spans="78:80" ht="39.950000000000003" hidden="1" customHeight="1" x14ac:dyDescent="0.25">
      <c r="BZ85" s="18">
        <v>83</v>
      </c>
      <c r="CA85" s="26">
        <v>41.5</v>
      </c>
      <c r="CB85" s="48" t="s">
        <v>0</v>
      </c>
    </row>
    <row r="86" spans="78:80" ht="39.950000000000003" hidden="1" customHeight="1" x14ac:dyDescent="0.25">
      <c r="BZ86" s="18">
        <v>84</v>
      </c>
      <c r="CA86" s="26">
        <v>42</v>
      </c>
      <c r="CB86" s="48" t="s">
        <v>0</v>
      </c>
    </row>
    <row r="87" spans="78:80" ht="39.950000000000003" hidden="1" customHeight="1" x14ac:dyDescent="0.25">
      <c r="BZ87" s="18">
        <v>85</v>
      </c>
      <c r="CA87" s="26">
        <v>42.5</v>
      </c>
      <c r="CB87" s="48" t="s">
        <v>0</v>
      </c>
    </row>
    <row r="88" spans="78:80" ht="39.950000000000003" hidden="1" customHeight="1" x14ac:dyDescent="0.25">
      <c r="BZ88" s="18">
        <v>86</v>
      </c>
      <c r="CA88" s="26">
        <v>43</v>
      </c>
      <c r="CB88" s="48" t="s">
        <v>0</v>
      </c>
    </row>
    <row r="89" spans="78:80" ht="39.950000000000003" hidden="1" customHeight="1" x14ac:dyDescent="0.25">
      <c r="BZ89" s="18">
        <v>87</v>
      </c>
      <c r="CA89" s="26">
        <v>43.5</v>
      </c>
      <c r="CB89" s="48" t="s">
        <v>0</v>
      </c>
    </row>
    <row r="90" spans="78:80" ht="39.950000000000003" hidden="1" customHeight="1" x14ac:dyDescent="0.25">
      <c r="BZ90" s="18">
        <v>88</v>
      </c>
      <c r="CA90" s="26">
        <v>44</v>
      </c>
      <c r="CB90" s="48" t="s">
        <v>0</v>
      </c>
    </row>
    <row r="91" spans="78:80" ht="39.950000000000003" hidden="1" customHeight="1" x14ac:dyDescent="0.25">
      <c r="BZ91" s="18">
        <v>89</v>
      </c>
      <c r="CA91" s="26">
        <v>44.5</v>
      </c>
      <c r="CB91" s="48" t="s">
        <v>0</v>
      </c>
    </row>
    <row r="92" spans="78:80" ht="39.950000000000003" hidden="1" customHeight="1" x14ac:dyDescent="0.25">
      <c r="BZ92" s="18">
        <v>90</v>
      </c>
      <c r="CA92" s="26">
        <v>45</v>
      </c>
      <c r="CB92" s="48" t="s">
        <v>0</v>
      </c>
    </row>
    <row r="93" spans="78:80" ht="39.950000000000003" hidden="1" customHeight="1" x14ac:dyDescent="0.25">
      <c r="BZ93" s="18">
        <v>91</v>
      </c>
      <c r="CA93" s="26">
        <v>45.5</v>
      </c>
      <c r="CB93" s="48" t="s">
        <v>0</v>
      </c>
    </row>
    <row r="94" spans="78:80" ht="39.950000000000003" hidden="1" customHeight="1" x14ac:dyDescent="0.25">
      <c r="BZ94" s="18">
        <v>92</v>
      </c>
      <c r="CA94" s="26">
        <v>46</v>
      </c>
      <c r="CB94" s="48" t="s">
        <v>0</v>
      </c>
    </row>
    <row r="95" spans="78:80" ht="39.950000000000003" hidden="1" customHeight="1" x14ac:dyDescent="0.25">
      <c r="BZ95" s="18">
        <v>93</v>
      </c>
      <c r="CA95" s="26">
        <v>46.5</v>
      </c>
      <c r="CB95" s="48" t="s">
        <v>0</v>
      </c>
    </row>
    <row r="96" spans="78:80" ht="39.950000000000003" hidden="1" customHeight="1" x14ac:dyDescent="0.25">
      <c r="BZ96" s="18">
        <v>94</v>
      </c>
      <c r="CA96" s="26">
        <v>47</v>
      </c>
      <c r="CB96" s="48" t="s">
        <v>0</v>
      </c>
    </row>
    <row r="97" spans="78:80" ht="39.950000000000003" hidden="1" customHeight="1" x14ac:dyDescent="0.25">
      <c r="BZ97" s="18">
        <v>95</v>
      </c>
      <c r="CA97" s="26">
        <v>47.5</v>
      </c>
      <c r="CB97" s="48" t="s">
        <v>0</v>
      </c>
    </row>
    <row r="98" spans="78:80" ht="39.950000000000003" hidden="1" customHeight="1" x14ac:dyDescent="0.25">
      <c r="BZ98" s="18">
        <v>96</v>
      </c>
      <c r="CA98" s="26">
        <v>48</v>
      </c>
      <c r="CB98" s="48" t="s">
        <v>0</v>
      </c>
    </row>
    <row r="99" spans="78:80" ht="39.950000000000003" hidden="1" customHeight="1" x14ac:dyDescent="0.25">
      <c r="BZ99" s="18">
        <v>97</v>
      </c>
      <c r="CA99" s="26">
        <v>48.5</v>
      </c>
      <c r="CB99" s="48" t="s">
        <v>0</v>
      </c>
    </row>
    <row r="100" spans="78:80" ht="39.950000000000003" hidden="1" customHeight="1" x14ac:dyDescent="0.25">
      <c r="BZ100" s="18">
        <v>98</v>
      </c>
      <c r="CA100" s="26">
        <v>49</v>
      </c>
      <c r="CB100" s="48" t="s">
        <v>0</v>
      </c>
    </row>
    <row r="101" spans="78:80" ht="39.950000000000003" hidden="1" customHeight="1" x14ac:dyDescent="0.25">
      <c r="BZ101" s="18">
        <v>99</v>
      </c>
      <c r="CA101" s="26">
        <v>49.5</v>
      </c>
      <c r="CB101" s="48" t="s">
        <v>0</v>
      </c>
    </row>
    <row r="102" spans="78:80" ht="39.950000000000003" hidden="1" customHeight="1" x14ac:dyDescent="0.25">
      <c r="BZ102" s="18">
        <v>100</v>
      </c>
      <c r="CA102" s="26">
        <v>50</v>
      </c>
      <c r="CB102" s="48" t="s">
        <v>0</v>
      </c>
    </row>
    <row r="103" spans="78:80" ht="39.950000000000003" hidden="1" customHeight="1" x14ac:dyDescent="0.25">
      <c r="BZ103" s="18">
        <v>101</v>
      </c>
      <c r="CA103" s="26">
        <v>50.5</v>
      </c>
      <c r="CB103" s="48" t="s">
        <v>0</v>
      </c>
    </row>
    <row r="104" spans="78:80" ht="39.950000000000003" hidden="1" customHeight="1" x14ac:dyDescent="0.25">
      <c r="BZ104" s="18">
        <v>102</v>
      </c>
      <c r="CA104" s="26">
        <v>51</v>
      </c>
      <c r="CB104" s="48" t="s">
        <v>0</v>
      </c>
    </row>
    <row r="105" spans="78:80" ht="39.950000000000003" hidden="1" customHeight="1" x14ac:dyDescent="0.25">
      <c r="BZ105" s="18">
        <v>103</v>
      </c>
      <c r="CA105" s="26">
        <v>51.5</v>
      </c>
      <c r="CB105" s="48" t="s">
        <v>0</v>
      </c>
    </row>
    <row r="106" spans="78:80" ht="39.950000000000003" hidden="1" customHeight="1" x14ac:dyDescent="0.25">
      <c r="BZ106" s="18">
        <v>104</v>
      </c>
      <c r="CA106" s="26">
        <v>52</v>
      </c>
      <c r="CB106" s="48" t="s">
        <v>0</v>
      </c>
    </row>
    <row r="107" spans="78:80" ht="39.950000000000003" hidden="1" customHeight="1" x14ac:dyDescent="0.25">
      <c r="BZ107" s="18">
        <v>105</v>
      </c>
      <c r="CA107" s="26">
        <v>52.5</v>
      </c>
      <c r="CB107" s="48" t="s">
        <v>0</v>
      </c>
    </row>
    <row r="108" spans="78:80" ht="39.950000000000003" hidden="1" customHeight="1" x14ac:dyDescent="0.25">
      <c r="BZ108" s="18">
        <v>106</v>
      </c>
      <c r="CA108" s="26">
        <v>53</v>
      </c>
      <c r="CB108" s="48" t="s">
        <v>0</v>
      </c>
    </row>
    <row r="109" spans="78:80" ht="39.950000000000003" hidden="1" customHeight="1" x14ac:dyDescent="0.25">
      <c r="BZ109" s="18">
        <v>107</v>
      </c>
      <c r="CA109" s="26">
        <v>53.5</v>
      </c>
      <c r="CB109" s="48" t="s">
        <v>0</v>
      </c>
    </row>
    <row r="110" spans="78:80" ht="39.950000000000003" hidden="1" customHeight="1" x14ac:dyDescent="0.25">
      <c r="BZ110" s="18">
        <v>108</v>
      </c>
      <c r="CA110" s="26">
        <v>54</v>
      </c>
      <c r="CB110" s="48" t="s">
        <v>0</v>
      </c>
    </row>
    <row r="111" spans="78:80" ht="39.950000000000003" hidden="1" customHeight="1" x14ac:dyDescent="0.25">
      <c r="BZ111" s="18">
        <v>109</v>
      </c>
      <c r="CA111" s="26">
        <v>54.5</v>
      </c>
      <c r="CB111" s="48" t="s">
        <v>0</v>
      </c>
    </row>
    <row r="112" spans="78:80" ht="39.950000000000003" hidden="1" customHeight="1" x14ac:dyDescent="0.25">
      <c r="BZ112" s="18">
        <v>110</v>
      </c>
      <c r="CA112" s="26">
        <v>55</v>
      </c>
      <c r="CB112" s="48" t="s">
        <v>0</v>
      </c>
    </row>
    <row r="113" spans="78:80" ht="39.950000000000003" hidden="1" customHeight="1" x14ac:dyDescent="0.25">
      <c r="BZ113" s="18">
        <v>111</v>
      </c>
      <c r="CA113" s="26">
        <v>55.5</v>
      </c>
      <c r="CB113" s="48" t="s">
        <v>0</v>
      </c>
    </row>
    <row r="114" spans="78:80" ht="39.950000000000003" hidden="1" customHeight="1" x14ac:dyDescent="0.25">
      <c r="BZ114" s="18">
        <v>112</v>
      </c>
      <c r="CA114" s="26">
        <v>56</v>
      </c>
      <c r="CB114" s="48" t="s">
        <v>0</v>
      </c>
    </row>
    <row r="115" spans="78:80" ht="39.950000000000003" hidden="1" customHeight="1" x14ac:dyDescent="0.25">
      <c r="BZ115" s="18">
        <v>113</v>
      </c>
      <c r="CA115" s="26">
        <v>56.5</v>
      </c>
      <c r="CB115" s="48" t="s">
        <v>0</v>
      </c>
    </row>
    <row r="116" spans="78:80" ht="39.950000000000003" hidden="1" customHeight="1" x14ac:dyDescent="0.25">
      <c r="BZ116" s="18">
        <v>114</v>
      </c>
      <c r="CA116" s="26">
        <v>57</v>
      </c>
      <c r="CB116" s="48" t="s">
        <v>0</v>
      </c>
    </row>
    <row r="117" spans="78:80" ht="39.950000000000003" hidden="1" customHeight="1" x14ac:dyDescent="0.25">
      <c r="BZ117" s="18">
        <v>115</v>
      </c>
      <c r="CA117" s="26">
        <v>57.5</v>
      </c>
      <c r="CB117" s="48" t="s">
        <v>0</v>
      </c>
    </row>
    <row r="118" spans="78:80" ht="39.950000000000003" hidden="1" customHeight="1" x14ac:dyDescent="0.25">
      <c r="BZ118" s="18">
        <v>116</v>
      </c>
      <c r="CA118" s="26">
        <v>58</v>
      </c>
      <c r="CB118" s="48" t="s">
        <v>0</v>
      </c>
    </row>
    <row r="119" spans="78:80" ht="39.950000000000003" hidden="1" customHeight="1" x14ac:dyDescent="0.25">
      <c r="BZ119" s="18">
        <v>117</v>
      </c>
      <c r="CA119" s="26">
        <v>58.5</v>
      </c>
      <c r="CB119" s="48" t="s">
        <v>0</v>
      </c>
    </row>
    <row r="120" spans="78:80" ht="39.950000000000003" hidden="1" customHeight="1" x14ac:dyDescent="0.25">
      <c r="BZ120" s="18">
        <v>118</v>
      </c>
      <c r="CA120" s="26">
        <v>59</v>
      </c>
      <c r="CB120" s="48" t="s">
        <v>0</v>
      </c>
    </row>
    <row r="121" spans="78:80" ht="39.950000000000003" hidden="1" customHeight="1" x14ac:dyDescent="0.25">
      <c r="BZ121" s="18">
        <v>119</v>
      </c>
      <c r="CA121" s="26">
        <v>59.5</v>
      </c>
      <c r="CB121" s="48" t="s">
        <v>0</v>
      </c>
    </row>
    <row r="122" spans="78:80" ht="39.950000000000003" hidden="1" customHeight="1" x14ac:dyDescent="0.25">
      <c r="BZ122" s="18">
        <v>120</v>
      </c>
      <c r="CA122" s="26">
        <v>60</v>
      </c>
      <c r="CB122" s="48" t="s">
        <v>0</v>
      </c>
    </row>
    <row r="123" spans="78:80" ht="39.950000000000003" hidden="1" customHeight="1" x14ac:dyDescent="0.25">
      <c r="BZ123" s="18">
        <v>121</v>
      </c>
      <c r="CA123" s="26">
        <v>60.5</v>
      </c>
      <c r="CB123" s="48" t="s">
        <v>0</v>
      </c>
    </row>
    <row r="124" spans="78:80" ht="39.950000000000003" hidden="1" customHeight="1" x14ac:dyDescent="0.25">
      <c r="BZ124" s="18">
        <v>122</v>
      </c>
      <c r="CA124" s="26">
        <v>61</v>
      </c>
      <c r="CB124" s="48" t="s">
        <v>0</v>
      </c>
    </row>
    <row r="125" spans="78:80" ht="39.950000000000003" hidden="1" customHeight="1" x14ac:dyDescent="0.25">
      <c r="BZ125" s="18">
        <v>123</v>
      </c>
      <c r="CA125" s="26">
        <v>61.5</v>
      </c>
      <c r="CB125" s="48" t="s">
        <v>0</v>
      </c>
    </row>
    <row r="126" spans="78:80" ht="39.950000000000003" hidden="1" customHeight="1" x14ac:dyDescent="0.25">
      <c r="BZ126" s="18">
        <v>124</v>
      </c>
      <c r="CA126" s="26">
        <v>62</v>
      </c>
      <c r="CB126" s="48" t="s">
        <v>0</v>
      </c>
    </row>
    <row r="127" spans="78:80" ht="39.950000000000003" hidden="1" customHeight="1" x14ac:dyDescent="0.25">
      <c r="BZ127" s="18">
        <v>125</v>
      </c>
      <c r="CA127" s="26">
        <v>62.5</v>
      </c>
      <c r="CB127" s="48" t="s">
        <v>0</v>
      </c>
    </row>
    <row r="128" spans="78:80" ht="39.950000000000003" hidden="1" customHeight="1" x14ac:dyDescent="0.25">
      <c r="BZ128" s="18">
        <v>126</v>
      </c>
      <c r="CA128" s="26">
        <v>63</v>
      </c>
      <c r="CB128" s="48" t="s">
        <v>0</v>
      </c>
    </row>
    <row r="129" spans="78:80" ht="39.950000000000003" hidden="1" customHeight="1" x14ac:dyDescent="0.25">
      <c r="BZ129" s="18">
        <v>127</v>
      </c>
      <c r="CA129" s="26">
        <v>63.5</v>
      </c>
      <c r="CB129" s="48" t="s">
        <v>0</v>
      </c>
    </row>
    <row r="130" spans="78:80" ht="39.950000000000003" hidden="1" customHeight="1" x14ac:dyDescent="0.25">
      <c r="BZ130" s="18">
        <v>128</v>
      </c>
      <c r="CA130" s="26">
        <v>64</v>
      </c>
      <c r="CB130" s="48" t="s">
        <v>0</v>
      </c>
    </row>
    <row r="131" spans="78:80" ht="39.950000000000003" hidden="1" customHeight="1" x14ac:dyDescent="0.25">
      <c r="BZ131" s="18">
        <v>129</v>
      </c>
      <c r="CA131" s="26">
        <v>64.5</v>
      </c>
      <c r="CB131" s="48" t="s">
        <v>0</v>
      </c>
    </row>
    <row r="132" spans="78:80" ht="39.950000000000003" hidden="1" customHeight="1" x14ac:dyDescent="0.25">
      <c r="BZ132" s="18">
        <v>130</v>
      </c>
      <c r="CA132" s="26">
        <v>65</v>
      </c>
      <c r="CB132" s="48" t="s">
        <v>0</v>
      </c>
    </row>
    <row r="133" spans="78:80" ht="39.950000000000003" hidden="1" customHeight="1" x14ac:dyDescent="0.25">
      <c r="BZ133" s="18">
        <v>131</v>
      </c>
      <c r="CA133" s="26">
        <v>65.5</v>
      </c>
      <c r="CB133" s="48" t="s">
        <v>0</v>
      </c>
    </row>
    <row r="134" spans="78:80" ht="39.950000000000003" hidden="1" customHeight="1" x14ac:dyDescent="0.25">
      <c r="BZ134" s="18">
        <v>132</v>
      </c>
      <c r="CA134" s="26">
        <v>66</v>
      </c>
      <c r="CB134" s="48" t="s">
        <v>0</v>
      </c>
    </row>
    <row r="135" spans="78:80" ht="39.950000000000003" hidden="1" customHeight="1" x14ac:dyDescent="0.25">
      <c r="BZ135" s="18">
        <v>133</v>
      </c>
      <c r="CA135" s="26">
        <v>66.5</v>
      </c>
      <c r="CB135" s="48" t="s">
        <v>0</v>
      </c>
    </row>
    <row r="136" spans="78:80" ht="39.950000000000003" hidden="1" customHeight="1" x14ac:dyDescent="0.25">
      <c r="BZ136" s="18">
        <v>134</v>
      </c>
      <c r="CA136" s="26">
        <v>67</v>
      </c>
      <c r="CB136" s="48" t="s">
        <v>0</v>
      </c>
    </row>
    <row r="137" spans="78:80" ht="39.950000000000003" hidden="1" customHeight="1" x14ac:dyDescent="0.25">
      <c r="BZ137" s="18">
        <v>135</v>
      </c>
      <c r="CA137" s="26">
        <v>67.5</v>
      </c>
      <c r="CB137" s="48" t="s">
        <v>0</v>
      </c>
    </row>
    <row r="138" spans="78:80" ht="39.950000000000003" hidden="1" customHeight="1" x14ac:dyDescent="0.25">
      <c r="BZ138" s="18">
        <v>136</v>
      </c>
      <c r="CA138" s="26">
        <v>68</v>
      </c>
      <c r="CB138" s="48" t="s">
        <v>0</v>
      </c>
    </row>
    <row r="139" spans="78:80" ht="39.950000000000003" hidden="1" customHeight="1" x14ac:dyDescent="0.25">
      <c r="BZ139" s="18">
        <v>137</v>
      </c>
      <c r="CA139" s="26">
        <v>68.5</v>
      </c>
      <c r="CB139" s="48" t="s">
        <v>0</v>
      </c>
    </row>
    <row r="140" spans="78:80" ht="39.950000000000003" hidden="1" customHeight="1" x14ac:dyDescent="0.25">
      <c r="BZ140" s="18">
        <v>138</v>
      </c>
      <c r="CA140" s="26">
        <v>69</v>
      </c>
      <c r="CB140" s="48" t="s">
        <v>0</v>
      </c>
    </row>
    <row r="141" spans="78:80" ht="39.950000000000003" hidden="1" customHeight="1" x14ac:dyDescent="0.25">
      <c r="BZ141" s="18">
        <v>139</v>
      </c>
      <c r="CA141" s="26">
        <v>69.5</v>
      </c>
      <c r="CB141" s="48" t="s">
        <v>0</v>
      </c>
    </row>
    <row r="142" spans="78:80" ht="39.950000000000003" hidden="1" customHeight="1" x14ac:dyDescent="0.25">
      <c r="BZ142" s="18">
        <v>140</v>
      </c>
      <c r="CA142" s="26">
        <v>70</v>
      </c>
      <c r="CB142" s="48" t="s">
        <v>0</v>
      </c>
    </row>
    <row r="143" spans="78:80" ht="39.950000000000003" hidden="1" customHeight="1" x14ac:dyDescent="0.25">
      <c r="BZ143" s="18">
        <v>141</v>
      </c>
      <c r="CA143" s="26">
        <v>70.5</v>
      </c>
      <c r="CB143" s="48" t="s">
        <v>0</v>
      </c>
    </row>
    <row r="144" spans="78:80" ht="39.950000000000003" hidden="1" customHeight="1" x14ac:dyDescent="0.25">
      <c r="BZ144" s="18">
        <v>142</v>
      </c>
      <c r="CA144" s="26">
        <v>71</v>
      </c>
      <c r="CB144" s="48" t="s">
        <v>0</v>
      </c>
    </row>
    <row r="145" spans="78:80" ht="39.950000000000003" hidden="1" customHeight="1" x14ac:dyDescent="0.25">
      <c r="BZ145" s="18">
        <v>143</v>
      </c>
      <c r="CA145" s="26">
        <v>71.5</v>
      </c>
      <c r="CB145" s="48" t="s">
        <v>0</v>
      </c>
    </row>
    <row r="146" spans="78:80" ht="39.950000000000003" hidden="1" customHeight="1" x14ac:dyDescent="0.25">
      <c r="BZ146" s="18">
        <v>144</v>
      </c>
      <c r="CA146" s="26">
        <v>72</v>
      </c>
      <c r="CB146" s="48" t="s">
        <v>0</v>
      </c>
    </row>
    <row r="147" spans="78:80" ht="39.950000000000003" hidden="1" customHeight="1" x14ac:dyDescent="0.25">
      <c r="BZ147" s="18">
        <v>145</v>
      </c>
      <c r="CA147" s="26">
        <v>72.5</v>
      </c>
      <c r="CB147" s="48" t="s">
        <v>0</v>
      </c>
    </row>
    <row r="148" spans="78:80" ht="39.950000000000003" hidden="1" customHeight="1" x14ac:dyDescent="0.25">
      <c r="BZ148" s="18">
        <v>146</v>
      </c>
      <c r="CA148" s="26">
        <v>73</v>
      </c>
      <c r="CB148" s="48" t="s">
        <v>0</v>
      </c>
    </row>
    <row r="149" spans="78:80" ht="39.950000000000003" hidden="1" customHeight="1" x14ac:dyDescent="0.25">
      <c r="BZ149" s="18">
        <v>147</v>
      </c>
      <c r="CA149" s="26">
        <v>73.5</v>
      </c>
      <c r="CB149" s="48" t="s">
        <v>0</v>
      </c>
    </row>
    <row r="150" spans="78:80" ht="39.950000000000003" hidden="1" customHeight="1" x14ac:dyDescent="0.25">
      <c r="BZ150" s="18">
        <v>148</v>
      </c>
      <c r="CA150" s="26">
        <v>74</v>
      </c>
      <c r="CB150" s="48" t="s">
        <v>0</v>
      </c>
    </row>
    <row r="151" spans="78:80" ht="39.950000000000003" hidden="1" customHeight="1" x14ac:dyDescent="0.25">
      <c r="BZ151" s="18">
        <v>149</v>
      </c>
      <c r="CA151" s="26">
        <v>74.5</v>
      </c>
      <c r="CB151" s="48" t="s">
        <v>0</v>
      </c>
    </row>
    <row r="152" spans="78:80" ht="39.950000000000003" hidden="1" customHeight="1" x14ac:dyDescent="0.25">
      <c r="BZ152" s="18">
        <v>150</v>
      </c>
      <c r="CA152" s="26">
        <v>75</v>
      </c>
      <c r="CB152" s="48" t="s">
        <v>0</v>
      </c>
    </row>
    <row r="153" spans="78:80" ht="39.950000000000003" hidden="1" customHeight="1" x14ac:dyDescent="0.25">
      <c r="BZ153" s="18">
        <v>151</v>
      </c>
      <c r="CA153" s="26">
        <v>75.5</v>
      </c>
      <c r="CB153" s="48" t="s">
        <v>0</v>
      </c>
    </row>
    <row r="154" spans="78:80" ht="39.950000000000003" hidden="1" customHeight="1" x14ac:dyDescent="0.25">
      <c r="BZ154" s="18">
        <v>152</v>
      </c>
      <c r="CA154" s="26">
        <v>76</v>
      </c>
      <c r="CB154" s="48" t="s">
        <v>0</v>
      </c>
    </row>
    <row r="155" spans="78:80" ht="39.950000000000003" hidden="1" customHeight="1" x14ac:dyDescent="0.25">
      <c r="BZ155" s="18">
        <v>153</v>
      </c>
      <c r="CA155" s="26">
        <v>76.5</v>
      </c>
      <c r="CB155" s="48" t="s">
        <v>0</v>
      </c>
    </row>
    <row r="156" spans="78:80" ht="39.950000000000003" hidden="1" customHeight="1" x14ac:dyDescent="0.25">
      <c r="BZ156" s="18">
        <v>154</v>
      </c>
      <c r="CA156" s="26">
        <v>77</v>
      </c>
      <c r="CB156" s="48" t="s">
        <v>0</v>
      </c>
    </row>
    <row r="157" spans="78:80" ht="39.950000000000003" hidden="1" customHeight="1" x14ac:dyDescent="0.25">
      <c r="BZ157" s="18">
        <v>155</v>
      </c>
      <c r="CA157" s="26">
        <v>77.5</v>
      </c>
      <c r="CB157" s="48" t="s">
        <v>0</v>
      </c>
    </row>
    <row r="158" spans="78:80" ht="39.950000000000003" hidden="1" customHeight="1" x14ac:dyDescent="0.25">
      <c r="BZ158" s="18">
        <v>156</v>
      </c>
      <c r="CA158" s="26">
        <v>78</v>
      </c>
      <c r="CB158" s="48" t="s">
        <v>0</v>
      </c>
    </row>
    <row r="159" spans="78:80" ht="39.950000000000003" hidden="1" customHeight="1" x14ac:dyDescent="0.25">
      <c r="BZ159" s="18">
        <v>157</v>
      </c>
      <c r="CA159" s="26">
        <v>78.5</v>
      </c>
      <c r="CB159" s="48" t="s">
        <v>0</v>
      </c>
    </row>
    <row r="160" spans="78:80" ht="39.950000000000003" hidden="1" customHeight="1" x14ac:dyDescent="0.25">
      <c r="BZ160" s="18">
        <v>158</v>
      </c>
      <c r="CA160" s="26">
        <v>79</v>
      </c>
      <c r="CB160" s="48" t="s">
        <v>0</v>
      </c>
    </row>
    <row r="161" spans="78:80" ht="39.950000000000003" hidden="1" customHeight="1" x14ac:dyDescent="0.25">
      <c r="BZ161" s="18">
        <v>159</v>
      </c>
      <c r="CA161" s="26">
        <v>79.5</v>
      </c>
      <c r="CB161" s="48" t="s">
        <v>0</v>
      </c>
    </row>
    <row r="162" spans="78:80" ht="39.950000000000003" hidden="1" customHeight="1" x14ac:dyDescent="0.25">
      <c r="BZ162" s="18">
        <v>160</v>
      </c>
      <c r="CA162" s="26">
        <v>80</v>
      </c>
      <c r="CB162" s="48" t="s">
        <v>0</v>
      </c>
    </row>
    <row r="163" spans="78:80" ht="39.950000000000003" hidden="1" customHeight="1" x14ac:dyDescent="0.25">
      <c r="BZ163" s="18">
        <v>161</v>
      </c>
      <c r="CA163" s="26">
        <v>80.5</v>
      </c>
      <c r="CB163" s="48" t="s">
        <v>0</v>
      </c>
    </row>
    <row r="164" spans="78:80" ht="39.950000000000003" hidden="1" customHeight="1" x14ac:dyDescent="0.25">
      <c r="BZ164" s="18">
        <v>162</v>
      </c>
      <c r="CA164" s="26">
        <v>81</v>
      </c>
      <c r="CB164" s="48" t="s">
        <v>0</v>
      </c>
    </row>
    <row r="165" spans="78:80" ht="39.950000000000003" hidden="1" customHeight="1" x14ac:dyDescent="0.25">
      <c r="BZ165" s="18">
        <v>163</v>
      </c>
      <c r="CA165" s="26">
        <v>81.5</v>
      </c>
      <c r="CB165" s="48" t="s">
        <v>0</v>
      </c>
    </row>
    <row r="166" spans="78:80" ht="39.950000000000003" hidden="1" customHeight="1" x14ac:dyDescent="0.25">
      <c r="BZ166" s="18">
        <v>164</v>
      </c>
      <c r="CA166" s="26">
        <v>82</v>
      </c>
      <c r="CB166" s="48" t="s">
        <v>0</v>
      </c>
    </row>
    <row r="167" spans="78:80" ht="39.950000000000003" hidden="1" customHeight="1" x14ac:dyDescent="0.25">
      <c r="BZ167" s="18">
        <v>165</v>
      </c>
      <c r="CA167" s="26">
        <v>82.5</v>
      </c>
      <c r="CB167" s="48" t="s">
        <v>0</v>
      </c>
    </row>
    <row r="168" spans="78:80" ht="39.950000000000003" hidden="1" customHeight="1" x14ac:dyDescent="0.25">
      <c r="BZ168" s="18">
        <v>166</v>
      </c>
      <c r="CA168" s="26">
        <v>83</v>
      </c>
      <c r="CB168" s="48" t="s">
        <v>0</v>
      </c>
    </row>
    <row r="169" spans="78:80" ht="39.950000000000003" hidden="1" customHeight="1" x14ac:dyDescent="0.25">
      <c r="BZ169" s="18">
        <v>167</v>
      </c>
      <c r="CA169" s="26">
        <v>83.5</v>
      </c>
      <c r="CB169" s="48" t="s">
        <v>0</v>
      </c>
    </row>
    <row r="170" spans="78:80" ht="39.950000000000003" hidden="1" customHeight="1" x14ac:dyDescent="0.25">
      <c r="BZ170" s="18">
        <v>168</v>
      </c>
      <c r="CA170" s="26">
        <v>84</v>
      </c>
      <c r="CB170" s="48" t="s">
        <v>0</v>
      </c>
    </row>
    <row r="171" spans="78:80" ht="39.950000000000003" hidden="1" customHeight="1" x14ac:dyDescent="0.25">
      <c r="BZ171" s="18">
        <v>169</v>
      </c>
      <c r="CA171" s="26">
        <v>84.5</v>
      </c>
      <c r="CB171" s="48" t="s">
        <v>0</v>
      </c>
    </row>
    <row r="172" spans="78:80" ht="39.950000000000003" hidden="1" customHeight="1" x14ac:dyDescent="0.25">
      <c r="BZ172" s="18">
        <v>170</v>
      </c>
      <c r="CA172" s="26">
        <v>85</v>
      </c>
      <c r="CB172" s="48" t="s">
        <v>0</v>
      </c>
    </row>
    <row r="173" spans="78:80" ht="39.950000000000003" hidden="1" customHeight="1" x14ac:dyDescent="0.25">
      <c r="BZ173" s="18">
        <v>171</v>
      </c>
      <c r="CA173" s="26">
        <v>85.5</v>
      </c>
      <c r="CB173" s="48" t="s">
        <v>0</v>
      </c>
    </row>
    <row r="174" spans="78:80" ht="39.950000000000003" hidden="1" customHeight="1" x14ac:dyDescent="0.25">
      <c r="BZ174" s="18">
        <v>172</v>
      </c>
      <c r="CA174" s="26">
        <v>86</v>
      </c>
      <c r="CB174" s="48" t="s">
        <v>0</v>
      </c>
    </row>
    <row r="175" spans="78:80" ht="39.950000000000003" hidden="1" customHeight="1" x14ac:dyDescent="0.25">
      <c r="BZ175" s="18">
        <v>173</v>
      </c>
      <c r="CA175" s="26">
        <v>86.5</v>
      </c>
      <c r="CB175" s="48" t="s">
        <v>0</v>
      </c>
    </row>
    <row r="176" spans="78:80" ht="39.950000000000003" hidden="1" customHeight="1" x14ac:dyDescent="0.25">
      <c r="BZ176" s="18">
        <v>174</v>
      </c>
      <c r="CA176" s="26">
        <v>87</v>
      </c>
      <c r="CB176" s="48" t="s">
        <v>0</v>
      </c>
    </row>
    <row r="177" spans="78:80" ht="39.950000000000003" hidden="1" customHeight="1" x14ac:dyDescent="0.25">
      <c r="BZ177" s="18">
        <v>175</v>
      </c>
      <c r="CA177" s="26">
        <v>87.5</v>
      </c>
      <c r="CB177" s="48" t="s">
        <v>0</v>
      </c>
    </row>
    <row r="178" spans="78:80" ht="39.950000000000003" hidden="1" customHeight="1" x14ac:dyDescent="0.25">
      <c r="BZ178" s="18">
        <v>176</v>
      </c>
      <c r="CA178" s="26">
        <v>88</v>
      </c>
      <c r="CB178" s="48" t="s">
        <v>0</v>
      </c>
    </row>
    <row r="179" spans="78:80" ht="39.950000000000003" hidden="1" customHeight="1" x14ac:dyDescent="0.25">
      <c r="BZ179" s="18">
        <v>177</v>
      </c>
      <c r="CA179" s="26">
        <v>88.5</v>
      </c>
      <c r="CB179" s="48" t="s">
        <v>0</v>
      </c>
    </row>
    <row r="180" spans="78:80" ht="39.950000000000003" hidden="1" customHeight="1" x14ac:dyDescent="0.25">
      <c r="BZ180" s="18">
        <v>178</v>
      </c>
      <c r="CA180" s="26">
        <v>89</v>
      </c>
      <c r="CB180" s="48" t="s">
        <v>0</v>
      </c>
    </row>
    <row r="181" spans="78:80" ht="39.950000000000003" hidden="1" customHeight="1" x14ac:dyDescent="0.25">
      <c r="BZ181" s="18">
        <v>179</v>
      </c>
      <c r="CA181" s="26">
        <v>89.5</v>
      </c>
      <c r="CB181" s="48" t="s">
        <v>0</v>
      </c>
    </row>
    <row r="182" spans="78:80" ht="39.950000000000003" hidden="1" customHeight="1" x14ac:dyDescent="0.25">
      <c r="BZ182" s="18">
        <v>180</v>
      </c>
      <c r="CA182" s="26">
        <v>90</v>
      </c>
      <c r="CB182" s="48" t="s">
        <v>0</v>
      </c>
    </row>
    <row r="183" spans="78:80" ht="39.950000000000003" hidden="1" customHeight="1" x14ac:dyDescent="0.25">
      <c r="BZ183" s="18">
        <v>181</v>
      </c>
      <c r="CA183" s="26">
        <v>90.5</v>
      </c>
      <c r="CB183" s="48" t="s">
        <v>0</v>
      </c>
    </row>
    <row r="184" spans="78:80" ht="39.950000000000003" hidden="1" customHeight="1" x14ac:dyDescent="0.25">
      <c r="BZ184" s="18">
        <v>182</v>
      </c>
      <c r="CA184" s="26">
        <v>91</v>
      </c>
      <c r="CB184" s="48" t="s">
        <v>0</v>
      </c>
    </row>
    <row r="185" spans="78:80" ht="39.950000000000003" hidden="1" customHeight="1" x14ac:dyDescent="0.25">
      <c r="BZ185" s="18">
        <v>183</v>
      </c>
      <c r="CA185" s="26">
        <v>91.5</v>
      </c>
      <c r="CB185" s="48" t="s">
        <v>0</v>
      </c>
    </row>
    <row r="186" spans="78:80" ht="39.950000000000003" hidden="1" customHeight="1" x14ac:dyDescent="0.25">
      <c r="BZ186" s="18">
        <v>184</v>
      </c>
      <c r="CA186" s="26">
        <v>92</v>
      </c>
      <c r="CB186" s="48" t="s">
        <v>0</v>
      </c>
    </row>
    <row r="187" spans="78:80" ht="39.950000000000003" hidden="1" customHeight="1" x14ac:dyDescent="0.25">
      <c r="BZ187" s="18">
        <v>185</v>
      </c>
      <c r="CA187" s="26">
        <v>92.5</v>
      </c>
      <c r="CB187" s="48" t="s">
        <v>0</v>
      </c>
    </row>
    <row r="188" spans="78:80" ht="39.950000000000003" hidden="1" customHeight="1" x14ac:dyDescent="0.25">
      <c r="BZ188" s="18">
        <v>186</v>
      </c>
      <c r="CA188" s="26">
        <v>93</v>
      </c>
      <c r="CB188" s="48" t="s">
        <v>0</v>
      </c>
    </row>
    <row r="189" spans="78:80" ht="39.950000000000003" hidden="1" customHeight="1" x14ac:dyDescent="0.25">
      <c r="BZ189" s="18">
        <v>187</v>
      </c>
      <c r="CA189" s="26">
        <v>93.5</v>
      </c>
      <c r="CB189" s="48" t="s">
        <v>0</v>
      </c>
    </row>
    <row r="190" spans="78:80" ht="39.950000000000003" hidden="1" customHeight="1" x14ac:dyDescent="0.25">
      <c r="BZ190" s="18">
        <v>188</v>
      </c>
      <c r="CA190" s="26">
        <v>94</v>
      </c>
      <c r="CB190" s="48" t="s">
        <v>0</v>
      </c>
    </row>
    <row r="191" spans="78:80" ht="39.950000000000003" hidden="1" customHeight="1" x14ac:dyDescent="0.25">
      <c r="BZ191" s="18">
        <v>189</v>
      </c>
      <c r="CA191" s="26">
        <v>94.5</v>
      </c>
      <c r="CB191" s="48" t="s">
        <v>0</v>
      </c>
    </row>
    <row r="192" spans="78:80" ht="39.950000000000003" hidden="1" customHeight="1" x14ac:dyDescent="0.25">
      <c r="BZ192" s="18">
        <v>190</v>
      </c>
      <c r="CA192" s="26">
        <v>95</v>
      </c>
      <c r="CB192" s="48" t="s">
        <v>0</v>
      </c>
    </row>
    <row r="193" spans="78:80" ht="39.950000000000003" hidden="1" customHeight="1" x14ac:dyDescent="0.25">
      <c r="BZ193" s="18">
        <v>191</v>
      </c>
      <c r="CA193" s="26">
        <v>95.5</v>
      </c>
      <c r="CB193" s="48" t="s">
        <v>0</v>
      </c>
    </row>
    <row r="194" spans="78:80" ht="39.950000000000003" hidden="1" customHeight="1" x14ac:dyDescent="0.25">
      <c r="BZ194" s="18">
        <v>192</v>
      </c>
      <c r="CA194" s="26">
        <v>96</v>
      </c>
      <c r="CB194" s="48" t="s">
        <v>0</v>
      </c>
    </row>
    <row r="195" spans="78:80" ht="39.950000000000003" hidden="1" customHeight="1" x14ac:dyDescent="0.25">
      <c r="BZ195" s="18">
        <v>193</v>
      </c>
      <c r="CA195" s="26">
        <v>96.5</v>
      </c>
      <c r="CB195" s="48" t="s">
        <v>0</v>
      </c>
    </row>
    <row r="196" spans="78:80" ht="39.950000000000003" hidden="1" customHeight="1" x14ac:dyDescent="0.25">
      <c r="BZ196" s="18">
        <v>194</v>
      </c>
      <c r="CA196" s="26">
        <v>97</v>
      </c>
      <c r="CB196" s="48" t="s">
        <v>0</v>
      </c>
    </row>
    <row r="197" spans="78:80" ht="39.950000000000003" hidden="1" customHeight="1" x14ac:dyDescent="0.25">
      <c r="BZ197" s="18">
        <v>195</v>
      </c>
      <c r="CA197" s="26">
        <v>97.5</v>
      </c>
      <c r="CB197" s="48" t="s">
        <v>0</v>
      </c>
    </row>
    <row r="198" spans="78:80" ht="39.950000000000003" hidden="1" customHeight="1" x14ac:dyDescent="0.25">
      <c r="BZ198" s="18">
        <v>196</v>
      </c>
      <c r="CA198" s="26">
        <v>98</v>
      </c>
      <c r="CB198" s="48" t="s">
        <v>0</v>
      </c>
    </row>
    <row r="199" spans="78:80" ht="39.950000000000003" hidden="1" customHeight="1" x14ac:dyDescent="0.25">
      <c r="BZ199" s="18">
        <v>197</v>
      </c>
      <c r="CA199" s="26">
        <v>98.5</v>
      </c>
      <c r="CB199" s="48" t="s">
        <v>0</v>
      </c>
    </row>
    <row r="200" spans="78:80" ht="39.950000000000003" hidden="1" customHeight="1" x14ac:dyDescent="0.25">
      <c r="BZ200" s="18">
        <v>198</v>
      </c>
      <c r="CA200" s="26">
        <v>99</v>
      </c>
      <c r="CB200" s="48" t="s">
        <v>0</v>
      </c>
    </row>
    <row r="201" spans="78:80" ht="39.950000000000003" hidden="1" customHeight="1" x14ac:dyDescent="0.25">
      <c r="BZ201" s="18">
        <v>199</v>
      </c>
      <c r="CA201" s="26">
        <v>99.5</v>
      </c>
      <c r="CB201" s="48" t="s">
        <v>0</v>
      </c>
    </row>
    <row r="202" spans="78:80" ht="39.950000000000003" hidden="1" customHeight="1" x14ac:dyDescent="0.25">
      <c r="BZ202" s="18">
        <v>200</v>
      </c>
      <c r="CA202" s="26">
        <v>100</v>
      </c>
      <c r="CB202" s="48" t="s">
        <v>0</v>
      </c>
    </row>
    <row r="203" spans="78:80" ht="39.950000000000003" hidden="1" customHeight="1" x14ac:dyDescent="0.25">
      <c r="BZ203" s="18">
        <v>201</v>
      </c>
      <c r="CA203" s="26">
        <v>100.5</v>
      </c>
      <c r="CB203" s="48" t="s">
        <v>0</v>
      </c>
    </row>
    <row r="204" spans="78:80" ht="39.950000000000003" hidden="1" customHeight="1" x14ac:dyDescent="0.25">
      <c r="BZ204" s="18">
        <v>202</v>
      </c>
      <c r="CA204" s="26">
        <v>101</v>
      </c>
      <c r="CB204" s="48" t="s">
        <v>0</v>
      </c>
    </row>
    <row r="205" spans="78:80" ht="39.950000000000003" hidden="1" customHeight="1" x14ac:dyDescent="0.25">
      <c r="BZ205" s="18">
        <v>203</v>
      </c>
      <c r="CA205" s="26">
        <v>101.5</v>
      </c>
      <c r="CB205" s="48" t="s">
        <v>0</v>
      </c>
    </row>
    <row r="206" spans="78:80" ht="39.950000000000003" hidden="1" customHeight="1" x14ac:dyDescent="0.25">
      <c r="BZ206" s="18">
        <v>204</v>
      </c>
      <c r="CA206" s="26">
        <v>102</v>
      </c>
      <c r="CB206" s="48" t="s">
        <v>0</v>
      </c>
    </row>
    <row r="207" spans="78:80" ht="39.950000000000003" hidden="1" customHeight="1" x14ac:dyDescent="0.25">
      <c r="BZ207" s="18">
        <v>205</v>
      </c>
      <c r="CA207" s="26">
        <v>102.5</v>
      </c>
      <c r="CB207" s="48" t="s">
        <v>0</v>
      </c>
    </row>
    <row r="208" spans="78:80" ht="39.950000000000003" hidden="1" customHeight="1" x14ac:dyDescent="0.25">
      <c r="BZ208" s="18">
        <v>206</v>
      </c>
      <c r="CA208" s="26">
        <v>103</v>
      </c>
      <c r="CB208" s="48" t="s">
        <v>0</v>
      </c>
    </row>
    <row r="209" spans="78:80" ht="39.950000000000003" hidden="1" customHeight="1" x14ac:dyDescent="0.25">
      <c r="BZ209" s="18">
        <v>207</v>
      </c>
      <c r="CA209" s="26">
        <v>103.5</v>
      </c>
      <c r="CB209" s="48" t="s">
        <v>0</v>
      </c>
    </row>
    <row r="210" spans="78:80" ht="39.950000000000003" hidden="1" customHeight="1" x14ac:dyDescent="0.25">
      <c r="BZ210" s="18">
        <v>208</v>
      </c>
      <c r="CA210" s="26">
        <v>104</v>
      </c>
      <c r="CB210" s="48" t="s">
        <v>0</v>
      </c>
    </row>
    <row r="211" spans="78:80" ht="39.950000000000003" hidden="1" customHeight="1" x14ac:dyDescent="0.25">
      <c r="BZ211" s="18">
        <v>209</v>
      </c>
      <c r="CA211" s="26">
        <v>104.5</v>
      </c>
      <c r="CB211" s="48" t="s">
        <v>0</v>
      </c>
    </row>
    <row r="212" spans="78:80" ht="39.950000000000003" hidden="1" customHeight="1" x14ac:dyDescent="0.25">
      <c r="BZ212" s="18">
        <v>210</v>
      </c>
      <c r="CA212" s="26">
        <v>105</v>
      </c>
      <c r="CB212" s="48" t="s">
        <v>0</v>
      </c>
    </row>
    <row r="213" spans="78:80" ht="39.950000000000003" hidden="1" customHeight="1" x14ac:dyDescent="0.25">
      <c r="BZ213" s="18">
        <v>211</v>
      </c>
      <c r="CA213" s="26">
        <v>105.5</v>
      </c>
      <c r="CB213" s="48" t="s">
        <v>0</v>
      </c>
    </row>
    <row r="214" spans="78:80" ht="39.950000000000003" hidden="1" customHeight="1" x14ac:dyDescent="0.25">
      <c r="BZ214" s="18">
        <v>212</v>
      </c>
      <c r="CA214" s="26">
        <v>106</v>
      </c>
      <c r="CB214" s="48" t="s">
        <v>0</v>
      </c>
    </row>
    <row r="215" spans="78:80" ht="39.950000000000003" hidden="1" customHeight="1" x14ac:dyDescent="0.25">
      <c r="BZ215" s="18">
        <v>213</v>
      </c>
      <c r="CA215" s="26">
        <v>106.5</v>
      </c>
      <c r="CB215" s="48" t="s">
        <v>0</v>
      </c>
    </row>
    <row r="216" spans="78:80" ht="39.950000000000003" hidden="1" customHeight="1" x14ac:dyDescent="0.25">
      <c r="BZ216" s="18">
        <v>214</v>
      </c>
      <c r="CA216" s="26">
        <v>107</v>
      </c>
      <c r="CB216" s="48" t="s">
        <v>0</v>
      </c>
    </row>
    <row r="217" spans="78:80" ht="39.950000000000003" hidden="1" customHeight="1" x14ac:dyDescent="0.25">
      <c r="BZ217" s="18">
        <v>215</v>
      </c>
      <c r="CA217" s="26">
        <v>107.5</v>
      </c>
      <c r="CB217" s="48" t="s">
        <v>0</v>
      </c>
    </row>
    <row r="218" spans="78:80" ht="39.950000000000003" hidden="1" customHeight="1" x14ac:dyDescent="0.25">
      <c r="BZ218" s="18">
        <v>216</v>
      </c>
      <c r="CA218" s="26">
        <v>108</v>
      </c>
      <c r="CB218" s="48" t="s">
        <v>0</v>
      </c>
    </row>
    <row r="219" spans="78:80" ht="39.950000000000003" hidden="1" customHeight="1" x14ac:dyDescent="0.25">
      <c r="BZ219" s="18">
        <v>217</v>
      </c>
      <c r="CA219" s="26">
        <v>108.5</v>
      </c>
      <c r="CB219" s="48" t="s">
        <v>0</v>
      </c>
    </row>
    <row r="220" spans="78:80" ht="39.950000000000003" hidden="1" customHeight="1" x14ac:dyDescent="0.25">
      <c r="BZ220" s="18">
        <v>218</v>
      </c>
      <c r="CA220" s="26">
        <v>109</v>
      </c>
      <c r="CB220" s="48" t="s">
        <v>0</v>
      </c>
    </row>
    <row r="221" spans="78:80" ht="39.950000000000003" hidden="1" customHeight="1" x14ac:dyDescent="0.25">
      <c r="BZ221" s="18">
        <v>219</v>
      </c>
      <c r="CA221" s="26">
        <v>109.5</v>
      </c>
      <c r="CB221" s="48" t="s">
        <v>0</v>
      </c>
    </row>
    <row r="222" spans="78:80" ht="39.950000000000003" hidden="1" customHeight="1" x14ac:dyDescent="0.25">
      <c r="BZ222" s="18">
        <v>220</v>
      </c>
      <c r="CA222" s="26">
        <v>110</v>
      </c>
      <c r="CB222" s="48" t="s">
        <v>0</v>
      </c>
    </row>
    <row r="223" spans="78:80" ht="39.950000000000003" hidden="1" customHeight="1" x14ac:dyDescent="0.25">
      <c r="BZ223" s="18">
        <v>221</v>
      </c>
      <c r="CA223" s="26">
        <v>110.5</v>
      </c>
      <c r="CB223" s="48" t="s">
        <v>0</v>
      </c>
    </row>
    <row r="224" spans="78:80" ht="39.950000000000003" hidden="1" customHeight="1" x14ac:dyDescent="0.25">
      <c r="BZ224" s="18">
        <v>222</v>
      </c>
      <c r="CA224" s="26">
        <v>111</v>
      </c>
      <c r="CB224" s="48" t="s">
        <v>0</v>
      </c>
    </row>
    <row r="225" spans="78:80" ht="39.950000000000003" hidden="1" customHeight="1" x14ac:dyDescent="0.25">
      <c r="BZ225" s="18">
        <v>223</v>
      </c>
      <c r="CA225" s="26">
        <v>111.5</v>
      </c>
      <c r="CB225" s="48" t="s">
        <v>0</v>
      </c>
    </row>
    <row r="226" spans="78:80" ht="39.950000000000003" hidden="1" customHeight="1" x14ac:dyDescent="0.25">
      <c r="BZ226" s="18">
        <v>224</v>
      </c>
      <c r="CA226" s="26">
        <v>112</v>
      </c>
      <c r="CB226" s="48" t="s">
        <v>0</v>
      </c>
    </row>
    <row r="227" spans="78:80" ht="39.950000000000003" hidden="1" customHeight="1" x14ac:dyDescent="0.25">
      <c r="BZ227" s="18">
        <v>225</v>
      </c>
      <c r="CA227" s="26">
        <v>112.5</v>
      </c>
      <c r="CB227" s="48" t="s">
        <v>0</v>
      </c>
    </row>
    <row r="228" spans="78:80" ht="39.950000000000003" hidden="1" customHeight="1" x14ac:dyDescent="0.25">
      <c r="BZ228" s="18">
        <v>226</v>
      </c>
      <c r="CA228" s="26">
        <v>113</v>
      </c>
      <c r="CB228" s="48" t="s">
        <v>0</v>
      </c>
    </row>
    <row r="229" spans="78:80" ht="39.950000000000003" hidden="1" customHeight="1" x14ac:dyDescent="0.25">
      <c r="BZ229" s="18">
        <v>227</v>
      </c>
      <c r="CA229" s="26">
        <v>113.5</v>
      </c>
      <c r="CB229" s="48" t="s">
        <v>0</v>
      </c>
    </row>
    <row r="230" spans="78:80" ht="39.950000000000003" hidden="1" customHeight="1" x14ac:dyDescent="0.25">
      <c r="BZ230" s="18">
        <v>228</v>
      </c>
      <c r="CA230" s="26">
        <v>114</v>
      </c>
      <c r="CB230" s="48" t="s">
        <v>0</v>
      </c>
    </row>
    <row r="231" spans="78:80" ht="39.950000000000003" hidden="1" customHeight="1" x14ac:dyDescent="0.25">
      <c r="BZ231" s="18">
        <v>229</v>
      </c>
      <c r="CA231" s="26">
        <v>114.5</v>
      </c>
      <c r="CB231" s="48" t="s">
        <v>0</v>
      </c>
    </row>
    <row r="232" spans="78:80" ht="39.950000000000003" hidden="1" customHeight="1" x14ac:dyDescent="0.25">
      <c r="BZ232" s="18">
        <v>230</v>
      </c>
      <c r="CA232" s="26">
        <v>115</v>
      </c>
      <c r="CB232" s="48" t="s">
        <v>0</v>
      </c>
    </row>
    <row r="233" spans="78:80" ht="39.950000000000003" hidden="1" customHeight="1" x14ac:dyDescent="0.25">
      <c r="BZ233" s="18">
        <v>231</v>
      </c>
      <c r="CA233" s="26">
        <v>115.5</v>
      </c>
      <c r="CB233" s="48" t="s">
        <v>0</v>
      </c>
    </row>
    <row r="234" spans="78:80" ht="39.950000000000003" hidden="1" customHeight="1" x14ac:dyDescent="0.25">
      <c r="BZ234" s="18">
        <v>232</v>
      </c>
      <c r="CA234" s="26">
        <v>116</v>
      </c>
      <c r="CB234" s="48" t="s">
        <v>0</v>
      </c>
    </row>
    <row r="235" spans="78:80" ht="39.950000000000003" hidden="1" customHeight="1" x14ac:dyDescent="0.25">
      <c r="BZ235" s="18">
        <v>233</v>
      </c>
      <c r="CA235" s="26">
        <v>116.5</v>
      </c>
      <c r="CB235" s="48" t="s">
        <v>0</v>
      </c>
    </row>
    <row r="236" spans="78:80" ht="39.950000000000003" hidden="1" customHeight="1" x14ac:dyDescent="0.25">
      <c r="BZ236" s="18">
        <v>234</v>
      </c>
      <c r="CA236" s="26">
        <v>117</v>
      </c>
      <c r="CB236" s="48" t="s">
        <v>0</v>
      </c>
    </row>
    <row r="237" spans="78:80" ht="39.950000000000003" hidden="1" customHeight="1" x14ac:dyDescent="0.25">
      <c r="BZ237" s="18">
        <v>235</v>
      </c>
      <c r="CA237" s="26">
        <v>117.5</v>
      </c>
      <c r="CB237" s="48" t="s">
        <v>0</v>
      </c>
    </row>
    <row r="238" spans="78:80" ht="39.950000000000003" hidden="1" customHeight="1" x14ac:dyDescent="0.25">
      <c r="BZ238" s="18">
        <v>236</v>
      </c>
      <c r="CA238" s="26">
        <v>118</v>
      </c>
      <c r="CB238" s="48" t="s">
        <v>0</v>
      </c>
    </row>
    <row r="239" spans="78:80" ht="39.950000000000003" hidden="1" customHeight="1" x14ac:dyDescent="0.25">
      <c r="BZ239" s="18">
        <v>237</v>
      </c>
      <c r="CA239" s="26">
        <v>118.5</v>
      </c>
      <c r="CB239" s="48" t="s">
        <v>0</v>
      </c>
    </row>
    <row r="240" spans="78:80" ht="39.950000000000003" hidden="1" customHeight="1" x14ac:dyDescent="0.25">
      <c r="BZ240" s="18">
        <v>238</v>
      </c>
      <c r="CA240" s="26">
        <v>119</v>
      </c>
      <c r="CB240" s="48" t="s">
        <v>0</v>
      </c>
    </row>
    <row r="241" spans="1:80" ht="39.950000000000003" hidden="1" customHeight="1" x14ac:dyDescent="0.25">
      <c r="BZ241" s="18">
        <v>239</v>
      </c>
      <c r="CA241" s="26">
        <v>119.5</v>
      </c>
      <c r="CB241" s="48" t="s">
        <v>0</v>
      </c>
    </row>
    <row r="242" spans="1:80" ht="39.950000000000003" hidden="1" customHeight="1" x14ac:dyDescent="0.25">
      <c r="BZ242" s="18">
        <v>240</v>
      </c>
      <c r="CA242" s="26">
        <v>120</v>
      </c>
      <c r="CB242" s="48" t="s">
        <v>0</v>
      </c>
    </row>
    <row r="243" spans="1:80" ht="39.950000000000003" hidden="1" customHeight="1" x14ac:dyDescent="0.25">
      <c r="BZ243" s="18">
        <v>241</v>
      </c>
      <c r="CA243" s="26">
        <v>120.5</v>
      </c>
      <c r="CB243" s="48" t="s">
        <v>0</v>
      </c>
    </row>
    <row r="244" spans="1:80" ht="39.950000000000003" hidden="1" customHeight="1" x14ac:dyDescent="0.25">
      <c r="BZ244" s="18">
        <v>242</v>
      </c>
      <c r="CA244" s="26">
        <v>121</v>
      </c>
      <c r="CB244" s="48" t="s">
        <v>0</v>
      </c>
    </row>
    <row r="245" spans="1:80" ht="39.950000000000003" hidden="1" customHeight="1" x14ac:dyDescent="0.25">
      <c r="BZ245" s="18">
        <v>243</v>
      </c>
      <c r="CA245" s="26">
        <v>121.5</v>
      </c>
      <c r="CB245" s="48" t="s">
        <v>0</v>
      </c>
    </row>
    <row r="246" spans="1:80" ht="39.950000000000003" hidden="1" customHeight="1" x14ac:dyDescent="0.25">
      <c r="BZ246" s="18">
        <v>244</v>
      </c>
      <c r="CA246" s="26">
        <v>122</v>
      </c>
      <c r="CB246" s="48" t="s">
        <v>0</v>
      </c>
    </row>
    <row r="247" spans="1:80" ht="39.950000000000003" hidden="1" customHeight="1" x14ac:dyDescent="0.25">
      <c r="BZ247" s="18">
        <v>245</v>
      </c>
      <c r="CA247" s="26">
        <v>122.5</v>
      </c>
      <c r="CB247" s="48" t="s">
        <v>0</v>
      </c>
    </row>
    <row r="248" spans="1:80" ht="39.950000000000003" hidden="1" customHeight="1" x14ac:dyDescent="0.25">
      <c r="BZ248" s="18">
        <v>246</v>
      </c>
      <c r="CA248" s="26">
        <v>123</v>
      </c>
      <c r="CB248" s="48" t="s">
        <v>0</v>
      </c>
    </row>
    <row r="249" spans="1:80" ht="39.950000000000003" hidden="1" customHeight="1" x14ac:dyDescent="0.25">
      <c r="BZ249" s="18">
        <v>247</v>
      </c>
      <c r="CA249" s="26">
        <v>123.5</v>
      </c>
      <c r="CB249" s="48" t="s">
        <v>0</v>
      </c>
    </row>
    <row r="250" spans="1:80" ht="39.950000000000003" hidden="1" customHeight="1" x14ac:dyDescent="0.25">
      <c r="BZ250" s="18">
        <v>248</v>
      </c>
      <c r="CA250" s="26">
        <v>124</v>
      </c>
      <c r="CB250" s="48" t="s">
        <v>0</v>
      </c>
    </row>
    <row r="251" spans="1:80" ht="39.950000000000003" hidden="1" customHeight="1" x14ac:dyDescent="0.25">
      <c r="BZ251" s="18">
        <v>249</v>
      </c>
      <c r="CA251" s="26">
        <v>124.5</v>
      </c>
      <c r="CB251" s="48" t="s">
        <v>0</v>
      </c>
    </row>
    <row r="252" spans="1:80" ht="39.950000000000003" hidden="1" customHeight="1" x14ac:dyDescent="0.25">
      <c r="BZ252" s="18">
        <v>250</v>
      </c>
      <c r="CA252" s="26">
        <v>125</v>
      </c>
      <c r="CB252" s="48" t="s">
        <v>0</v>
      </c>
    </row>
    <row r="253" spans="1:80" ht="39.950000000000003" hidden="1" customHeight="1" x14ac:dyDescent="0.25">
      <c r="BZ253" s="18">
        <v>251</v>
      </c>
      <c r="CA253" s="26">
        <v>125.5</v>
      </c>
      <c r="CB253" s="48" t="s">
        <v>0</v>
      </c>
    </row>
    <row r="254" spans="1:80" s="15" customFormat="1" ht="39.950000000000003" hidden="1"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18"/>
      <c r="AD254" s="18"/>
      <c r="AE254" s="18"/>
      <c r="AF254" s="18"/>
      <c r="AG254" s="18"/>
      <c r="AH254" s="18"/>
      <c r="AI254" s="18"/>
      <c r="AJ254" s="18"/>
      <c r="AK254" s="18"/>
      <c r="AL254" s="18"/>
      <c r="AM254" s="18"/>
      <c r="AN254" s="18"/>
      <c r="AO254" s="18"/>
      <c r="AP254" s="18"/>
      <c r="AQ254" s="18"/>
      <c r="AR254" s="18"/>
      <c r="AS254" s="18"/>
      <c r="AT254" s="18"/>
      <c r="AU254" s="18"/>
      <c r="AV254" s="18"/>
      <c r="AW254" s="18"/>
      <c r="AX254" s="18"/>
      <c r="AY254" s="18"/>
      <c r="AZ254" s="18"/>
      <c r="BA254" s="18"/>
      <c r="BB254" s="18"/>
      <c r="BC254" s="18"/>
      <c r="BD254" s="18"/>
      <c r="BE254" s="18"/>
      <c r="BF254" s="18"/>
      <c r="BG254" s="18"/>
      <c r="BH254" s="18"/>
      <c r="BI254" s="18"/>
      <c r="BJ254" s="18"/>
      <c r="BK254" s="18"/>
      <c r="BL254" s="18"/>
      <c r="BM254" s="18"/>
      <c r="BN254" s="18"/>
      <c r="BO254" s="18"/>
      <c r="BP254" s="18"/>
      <c r="BQ254" s="18"/>
      <c r="BR254" s="18"/>
      <c r="BS254" s="18"/>
      <c r="BT254" s="18"/>
      <c r="BU254" s="18"/>
      <c r="BV254" s="18"/>
      <c r="BW254" s="18"/>
      <c r="BX254" s="18"/>
      <c r="BY254" s="18"/>
      <c r="BZ254" s="18">
        <v>252</v>
      </c>
      <c r="CA254" s="26">
        <v>126</v>
      </c>
      <c r="CB254" s="48" t="s">
        <v>0</v>
      </c>
    </row>
    <row r="255" spans="1:80" s="15" customFormat="1" ht="39.950000000000003" hidden="1"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18"/>
      <c r="AD255" s="18"/>
      <c r="AE255" s="18"/>
      <c r="AF255" s="18"/>
      <c r="AG255" s="18"/>
      <c r="AH255" s="18"/>
      <c r="AI255" s="18"/>
      <c r="AJ255" s="18"/>
      <c r="AK255" s="18"/>
      <c r="AL255" s="18"/>
      <c r="AM255" s="18"/>
      <c r="AN255" s="18"/>
      <c r="AO255" s="18"/>
      <c r="AP255" s="18"/>
      <c r="AQ255" s="18"/>
      <c r="AR255" s="18"/>
      <c r="AS255" s="18"/>
      <c r="AT255" s="18"/>
      <c r="AU255" s="18"/>
      <c r="AV255" s="18"/>
      <c r="AW255" s="18"/>
      <c r="AX255" s="18"/>
      <c r="AY255" s="18"/>
      <c r="AZ255" s="18"/>
      <c r="BA255" s="18"/>
      <c r="BB255" s="18"/>
      <c r="BC255" s="18"/>
      <c r="BD255" s="18"/>
      <c r="BE255" s="18"/>
      <c r="BF255" s="18"/>
      <c r="BG255" s="18"/>
      <c r="BH255" s="18"/>
      <c r="BI255" s="18"/>
      <c r="BJ255" s="18"/>
      <c r="BK255" s="18"/>
      <c r="BL255" s="18"/>
      <c r="BM255" s="18"/>
      <c r="BN255" s="18"/>
      <c r="BO255" s="18"/>
      <c r="BP255" s="18"/>
      <c r="BQ255" s="18"/>
      <c r="BR255" s="18"/>
      <c r="BS255" s="18"/>
      <c r="BT255" s="18"/>
      <c r="BU255" s="18"/>
      <c r="BV255" s="18"/>
      <c r="BW255" s="18"/>
      <c r="BX255" s="18"/>
      <c r="BY255" s="18"/>
      <c r="BZ255" s="18">
        <v>253</v>
      </c>
      <c r="CA255" s="26">
        <v>126.5</v>
      </c>
      <c r="CB255" s="48" t="s">
        <v>0</v>
      </c>
    </row>
    <row r="256" spans="1:80" s="15" customFormat="1" ht="39.950000000000003" hidden="1"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18"/>
      <c r="AD256" s="18"/>
      <c r="AE256" s="18"/>
      <c r="AF256" s="18"/>
      <c r="AG256" s="18"/>
      <c r="AH256" s="18"/>
      <c r="AI256" s="18"/>
      <c r="AJ256" s="18"/>
      <c r="AK256" s="18"/>
      <c r="AL256" s="18"/>
      <c r="AM256" s="18"/>
      <c r="AN256" s="18"/>
      <c r="AO256" s="18"/>
      <c r="AP256" s="18"/>
      <c r="AQ256" s="18"/>
      <c r="AR256" s="18"/>
      <c r="AS256" s="18"/>
      <c r="AT256" s="18"/>
      <c r="AU256" s="18"/>
      <c r="AV256" s="18"/>
      <c r="AW256" s="18"/>
      <c r="AX256" s="18"/>
      <c r="AY256" s="18"/>
      <c r="AZ256" s="18"/>
      <c r="BA256" s="18"/>
      <c r="BB256" s="18"/>
      <c r="BC256" s="18"/>
      <c r="BD256" s="18"/>
      <c r="BE256" s="18"/>
      <c r="BF256" s="18"/>
      <c r="BG256" s="18"/>
      <c r="BH256" s="18"/>
      <c r="BI256" s="18"/>
      <c r="BJ256" s="18"/>
      <c r="BK256" s="18"/>
      <c r="BL256" s="18"/>
      <c r="BM256" s="18"/>
      <c r="BN256" s="18"/>
      <c r="BO256" s="18"/>
      <c r="BP256" s="18"/>
      <c r="BQ256" s="18"/>
      <c r="BR256" s="18"/>
      <c r="BS256" s="18"/>
      <c r="BT256" s="18"/>
      <c r="BU256" s="18"/>
      <c r="BV256" s="18"/>
      <c r="BW256" s="18"/>
      <c r="BX256" s="18"/>
      <c r="BY256" s="18"/>
      <c r="BZ256" s="18">
        <v>254</v>
      </c>
      <c r="CA256" s="26">
        <v>127</v>
      </c>
      <c r="CB256" s="48" t="s">
        <v>0</v>
      </c>
    </row>
    <row r="257" spans="1:80" s="15" customFormat="1" ht="39.950000000000003" hidden="1"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18"/>
      <c r="AD257" s="18"/>
      <c r="AE257" s="18"/>
      <c r="AF257" s="18"/>
      <c r="AG257" s="18"/>
      <c r="AH257" s="18"/>
      <c r="AI257" s="18"/>
      <c r="AJ257" s="18"/>
      <c r="AK257" s="18"/>
      <c r="AL257" s="18"/>
      <c r="AM257" s="18"/>
      <c r="AN257" s="18"/>
      <c r="AO257" s="18"/>
      <c r="AP257" s="18"/>
      <c r="AQ257" s="18"/>
      <c r="AR257" s="18"/>
      <c r="AS257" s="18"/>
      <c r="AT257" s="18"/>
      <c r="AU257" s="18"/>
      <c r="AV257" s="18"/>
      <c r="AW257" s="18"/>
      <c r="AX257" s="18"/>
      <c r="AY257" s="18"/>
      <c r="AZ257" s="18"/>
      <c r="BA257" s="18"/>
      <c r="BB257" s="18"/>
      <c r="BC257" s="18"/>
      <c r="BD257" s="18"/>
      <c r="BE257" s="18"/>
      <c r="BF257" s="18"/>
      <c r="BG257" s="18"/>
      <c r="BH257" s="18"/>
      <c r="BI257" s="18"/>
      <c r="BJ257" s="18"/>
      <c r="BK257" s="18"/>
      <c r="BL257" s="18"/>
      <c r="BM257" s="18"/>
      <c r="BN257" s="18"/>
      <c r="BO257" s="18"/>
      <c r="BP257" s="18"/>
      <c r="BQ257" s="18"/>
      <c r="BR257" s="18"/>
      <c r="BS257" s="18"/>
      <c r="BT257" s="18"/>
      <c r="BU257" s="18"/>
      <c r="BV257" s="18"/>
      <c r="BW257" s="18"/>
      <c r="BX257" s="18"/>
      <c r="BY257" s="18"/>
      <c r="BZ257" s="18">
        <v>255</v>
      </c>
      <c r="CA257" s="26">
        <v>127.5</v>
      </c>
      <c r="CB257" s="48" t="s">
        <v>0</v>
      </c>
    </row>
    <row r="258" spans="1:80" s="15" customFormat="1" ht="39.950000000000003" hidden="1"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18"/>
      <c r="AD258" s="18"/>
      <c r="AE258" s="18"/>
      <c r="AF258" s="18"/>
      <c r="AG258" s="18"/>
      <c r="AH258" s="18"/>
      <c r="AI258" s="18"/>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18"/>
      <c r="BS258" s="18"/>
      <c r="BT258" s="18"/>
      <c r="BU258" s="18"/>
      <c r="BV258" s="18"/>
      <c r="BW258" s="18"/>
      <c r="BX258" s="18"/>
      <c r="BY258" s="18"/>
      <c r="BZ258" s="18">
        <v>256</v>
      </c>
      <c r="CA258" s="26">
        <v>128</v>
      </c>
      <c r="CB258" s="48" t="s">
        <v>0</v>
      </c>
    </row>
    <row r="259" spans="1:80" s="15" customFormat="1" ht="39.950000000000003" hidden="1"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18"/>
      <c r="AD259" s="18"/>
      <c r="AE259" s="18"/>
      <c r="AF259" s="18"/>
      <c r="AG259" s="18"/>
      <c r="AH259" s="18"/>
      <c r="AI259" s="18"/>
      <c r="AJ259" s="18"/>
      <c r="AK259" s="18"/>
      <c r="AL259" s="18"/>
      <c r="AM259" s="18"/>
      <c r="AN259" s="18"/>
      <c r="AO259" s="18"/>
      <c r="AP259" s="18"/>
      <c r="AQ259" s="18"/>
      <c r="AR259" s="18"/>
      <c r="AS259" s="18"/>
      <c r="AT259" s="18"/>
      <c r="AU259" s="18"/>
      <c r="AV259" s="18"/>
      <c r="AW259" s="18"/>
      <c r="AX259" s="18"/>
      <c r="AY259" s="18"/>
      <c r="AZ259" s="18"/>
      <c r="BA259" s="18"/>
      <c r="BB259" s="18"/>
      <c r="BC259" s="18"/>
      <c r="BD259" s="18"/>
      <c r="BE259" s="18"/>
      <c r="BF259" s="18"/>
      <c r="BG259" s="18"/>
      <c r="BH259" s="18"/>
      <c r="BI259" s="18"/>
      <c r="BJ259" s="18"/>
      <c r="BK259" s="18"/>
      <c r="BL259" s="18"/>
      <c r="BM259" s="18"/>
      <c r="BN259" s="18"/>
      <c r="BO259" s="18"/>
      <c r="BP259" s="18"/>
      <c r="BQ259" s="18"/>
      <c r="BR259" s="18"/>
      <c r="BS259" s="18"/>
      <c r="BT259" s="18"/>
      <c r="BU259" s="18"/>
      <c r="BV259" s="18"/>
      <c r="BW259" s="18"/>
      <c r="BX259" s="18"/>
      <c r="BY259" s="18"/>
      <c r="BZ259" s="18">
        <v>257</v>
      </c>
      <c r="CA259" s="26">
        <v>128.5</v>
      </c>
      <c r="CB259" s="48" t="s">
        <v>0</v>
      </c>
    </row>
    <row r="260" spans="1:80" s="15" customFormat="1" ht="39.950000000000003" hidden="1"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18"/>
      <c r="AD260" s="18"/>
      <c r="AE260" s="18"/>
      <c r="AF260" s="18"/>
      <c r="AG260" s="18"/>
      <c r="AH260" s="18"/>
      <c r="AI260" s="18"/>
      <c r="AJ260" s="18"/>
      <c r="AK260" s="18"/>
      <c r="AL260" s="18"/>
      <c r="AM260" s="18"/>
      <c r="AN260" s="18"/>
      <c r="AO260" s="18"/>
      <c r="AP260" s="18"/>
      <c r="AQ260" s="18"/>
      <c r="AR260" s="18"/>
      <c r="AS260" s="18"/>
      <c r="AT260" s="18"/>
      <c r="AU260" s="18"/>
      <c r="AV260" s="18"/>
      <c r="AW260" s="18"/>
      <c r="AX260" s="18"/>
      <c r="AY260" s="18"/>
      <c r="AZ260" s="18"/>
      <c r="BA260" s="18"/>
      <c r="BB260" s="18"/>
      <c r="BC260" s="18"/>
      <c r="BD260" s="18"/>
      <c r="BE260" s="18"/>
      <c r="BF260" s="18"/>
      <c r="BG260" s="18"/>
      <c r="BH260" s="18"/>
      <c r="BI260" s="18"/>
      <c r="BJ260" s="18"/>
      <c r="BK260" s="18"/>
      <c r="BL260" s="18"/>
      <c r="BM260" s="18"/>
      <c r="BN260" s="18"/>
      <c r="BO260" s="18"/>
      <c r="BP260" s="18"/>
      <c r="BQ260" s="18"/>
      <c r="BR260" s="18"/>
      <c r="BS260" s="18"/>
      <c r="BT260" s="18"/>
      <c r="BU260" s="18"/>
      <c r="BV260" s="18"/>
      <c r="BW260" s="18"/>
      <c r="BX260" s="18"/>
      <c r="BY260" s="18"/>
      <c r="BZ260" s="18">
        <v>258</v>
      </c>
      <c r="CA260" s="26">
        <v>129</v>
      </c>
      <c r="CB260" s="48" t="s">
        <v>0</v>
      </c>
    </row>
    <row r="261" spans="1:80" s="15" customFormat="1" ht="39.950000000000003" hidden="1"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18"/>
      <c r="AD261" s="18"/>
      <c r="AE261" s="18"/>
      <c r="AF261" s="18"/>
      <c r="AG261" s="18"/>
      <c r="AH261" s="18"/>
      <c r="AI261" s="18"/>
      <c r="AJ261" s="18"/>
      <c r="AK261" s="18"/>
      <c r="AL261" s="18"/>
      <c r="AM261" s="18"/>
      <c r="AN261" s="18"/>
      <c r="AO261" s="18"/>
      <c r="AP261" s="18"/>
      <c r="AQ261" s="18"/>
      <c r="AR261" s="18"/>
      <c r="AS261" s="18"/>
      <c r="AT261" s="18"/>
      <c r="AU261" s="18"/>
      <c r="AV261" s="18"/>
      <c r="AW261" s="18"/>
      <c r="AX261" s="18"/>
      <c r="AY261" s="18"/>
      <c r="AZ261" s="18"/>
      <c r="BA261" s="18"/>
      <c r="BB261" s="18"/>
      <c r="BC261" s="18"/>
      <c r="BD261" s="18"/>
      <c r="BE261" s="18"/>
      <c r="BF261" s="18"/>
      <c r="BG261" s="18"/>
      <c r="BH261" s="18"/>
      <c r="BI261" s="18"/>
      <c r="BJ261" s="18"/>
      <c r="BK261" s="18"/>
      <c r="BL261" s="18"/>
      <c r="BM261" s="18"/>
      <c r="BN261" s="18"/>
      <c r="BO261" s="18"/>
      <c r="BP261" s="18"/>
      <c r="BQ261" s="18"/>
      <c r="BR261" s="18"/>
      <c r="BS261" s="18"/>
      <c r="BT261" s="18"/>
      <c r="BU261" s="18"/>
      <c r="BV261" s="18"/>
      <c r="BW261" s="18"/>
      <c r="BX261" s="18"/>
      <c r="BY261" s="18"/>
      <c r="BZ261" s="18">
        <v>259</v>
      </c>
      <c r="CA261" s="26">
        <v>129.5</v>
      </c>
      <c r="CB261" s="48" t="s">
        <v>0</v>
      </c>
    </row>
    <row r="262" spans="1:80" s="15" customFormat="1" ht="39.950000000000003" hidden="1"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18"/>
      <c r="AD262" s="18"/>
      <c r="AE262" s="18"/>
      <c r="AF262" s="18"/>
      <c r="AG262" s="18"/>
      <c r="AH262" s="18"/>
      <c r="AI262" s="18"/>
      <c r="AJ262" s="18"/>
      <c r="AK262" s="18"/>
      <c r="AL262" s="18"/>
      <c r="AM262" s="18"/>
      <c r="AN262" s="18"/>
      <c r="AO262" s="18"/>
      <c r="AP262" s="18"/>
      <c r="AQ262" s="18"/>
      <c r="AR262" s="18"/>
      <c r="AS262" s="18"/>
      <c r="AT262" s="18"/>
      <c r="AU262" s="18"/>
      <c r="AV262" s="18"/>
      <c r="AW262" s="18"/>
      <c r="AX262" s="18"/>
      <c r="AY262" s="18"/>
      <c r="AZ262" s="18"/>
      <c r="BA262" s="18"/>
      <c r="BB262" s="18"/>
      <c r="BC262" s="18"/>
      <c r="BD262" s="18"/>
      <c r="BE262" s="18"/>
      <c r="BF262" s="18"/>
      <c r="BG262" s="18"/>
      <c r="BH262" s="18"/>
      <c r="BI262" s="18"/>
      <c r="BJ262" s="18"/>
      <c r="BK262" s="18"/>
      <c r="BL262" s="18"/>
      <c r="BM262" s="18"/>
      <c r="BN262" s="18"/>
      <c r="BO262" s="18"/>
      <c r="BP262" s="18"/>
      <c r="BQ262" s="18"/>
      <c r="BR262" s="18"/>
      <c r="BS262" s="18"/>
      <c r="BT262" s="18"/>
      <c r="BU262" s="18"/>
      <c r="BV262" s="18"/>
      <c r="BW262" s="18"/>
      <c r="BX262" s="18"/>
      <c r="BY262" s="18"/>
      <c r="BZ262" s="18">
        <v>260</v>
      </c>
      <c r="CA262" s="26">
        <v>130</v>
      </c>
      <c r="CB262" s="48" t="s">
        <v>0</v>
      </c>
    </row>
    <row r="263" spans="1:80" s="15" customFormat="1" ht="39.950000000000003" hidden="1"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18"/>
      <c r="AD263" s="18"/>
      <c r="AE263" s="18"/>
      <c r="AF263" s="18"/>
      <c r="AG263" s="18"/>
      <c r="AH263" s="18"/>
      <c r="AI263" s="18"/>
      <c r="AJ263" s="18"/>
      <c r="AK263" s="18"/>
      <c r="AL263" s="18"/>
      <c r="AM263" s="18"/>
      <c r="AN263" s="18"/>
      <c r="AO263" s="18"/>
      <c r="AP263" s="18"/>
      <c r="AQ263" s="18"/>
      <c r="AR263" s="18"/>
      <c r="AS263" s="18"/>
      <c r="AT263" s="18"/>
      <c r="AU263" s="18"/>
      <c r="AV263" s="18"/>
      <c r="AW263" s="18"/>
      <c r="AX263" s="18"/>
      <c r="AY263" s="18"/>
      <c r="AZ263" s="18"/>
      <c r="BA263" s="18"/>
      <c r="BB263" s="18"/>
      <c r="BC263" s="18"/>
      <c r="BD263" s="18"/>
      <c r="BE263" s="18"/>
      <c r="BF263" s="18"/>
      <c r="BG263" s="18"/>
      <c r="BH263" s="18"/>
      <c r="BI263" s="18"/>
      <c r="BJ263" s="18"/>
      <c r="BK263" s="18"/>
      <c r="BL263" s="18"/>
      <c r="BM263" s="18"/>
      <c r="BN263" s="18"/>
      <c r="BO263" s="18"/>
      <c r="BP263" s="18"/>
      <c r="BQ263" s="18"/>
      <c r="BR263" s="18"/>
      <c r="BS263" s="18"/>
      <c r="BT263" s="18"/>
      <c r="BU263" s="18"/>
      <c r="BV263" s="18"/>
      <c r="BW263" s="18"/>
      <c r="BX263" s="18"/>
      <c r="BY263" s="18"/>
      <c r="BZ263" s="18">
        <v>261</v>
      </c>
      <c r="CA263" s="26">
        <v>130.5</v>
      </c>
      <c r="CB263" s="48" t="s">
        <v>0</v>
      </c>
    </row>
    <row r="264" spans="1:80" s="15" customFormat="1" ht="39.950000000000003" hidden="1"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18"/>
      <c r="AD264" s="18"/>
      <c r="AE264" s="18"/>
      <c r="AF264" s="18"/>
      <c r="AG264" s="18"/>
      <c r="AH264" s="18"/>
      <c r="AI264" s="18"/>
      <c r="AJ264" s="18"/>
      <c r="AK264" s="18"/>
      <c r="AL264" s="18"/>
      <c r="AM264" s="18"/>
      <c r="AN264" s="18"/>
      <c r="AO264" s="18"/>
      <c r="AP264" s="18"/>
      <c r="AQ264" s="18"/>
      <c r="AR264" s="18"/>
      <c r="AS264" s="18"/>
      <c r="AT264" s="18"/>
      <c r="AU264" s="18"/>
      <c r="AV264" s="18"/>
      <c r="AW264" s="18"/>
      <c r="AX264" s="18"/>
      <c r="AY264" s="18"/>
      <c r="AZ264" s="18"/>
      <c r="BA264" s="18"/>
      <c r="BB264" s="18"/>
      <c r="BC264" s="18"/>
      <c r="BD264" s="18"/>
      <c r="BE264" s="18"/>
      <c r="BF264" s="18"/>
      <c r="BG264" s="18"/>
      <c r="BH264" s="18"/>
      <c r="BI264" s="18"/>
      <c r="BJ264" s="18"/>
      <c r="BK264" s="18"/>
      <c r="BL264" s="18"/>
      <c r="BM264" s="18"/>
      <c r="BN264" s="18"/>
      <c r="BO264" s="18"/>
      <c r="BP264" s="18"/>
      <c r="BQ264" s="18"/>
      <c r="BR264" s="18"/>
      <c r="BS264" s="18"/>
      <c r="BT264" s="18"/>
      <c r="BU264" s="18"/>
      <c r="BV264" s="18"/>
      <c r="BW264" s="18"/>
      <c r="BX264" s="18"/>
      <c r="BY264" s="18"/>
      <c r="BZ264" s="18">
        <v>262</v>
      </c>
      <c r="CA264" s="26">
        <v>131</v>
      </c>
      <c r="CB264" s="48" t="s">
        <v>0</v>
      </c>
    </row>
    <row r="265" spans="1:80" s="15" customFormat="1" ht="39.950000000000003" hidden="1"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18"/>
      <c r="AD265" s="18"/>
      <c r="AE265" s="18"/>
      <c r="AF265" s="18"/>
      <c r="AG265" s="18"/>
      <c r="AH265" s="18"/>
      <c r="AI265" s="18"/>
      <c r="AJ265" s="18"/>
      <c r="AK265" s="18"/>
      <c r="AL265" s="18"/>
      <c r="AM265" s="18"/>
      <c r="AN265" s="18"/>
      <c r="AO265" s="18"/>
      <c r="AP265" s="18"/>
      <c r="AQ265" s="18"/>
      <c r="AR265" s="18"/>
      <c r="AS265" s="18"/>
      <c r="AT265" s="18"/>
      <c r="AU265" s="18"/>
      <c r="AV265" s="18"/>
      <c r="AW265" s="18"/>
      <c r="AX265" s="18"/>
      <c r="AY265" s="18"/>
      <c r="AZ265" s="18"/>
      <c r="BA265" s="18"/>
      <c r="BB265" s="18"/>
      <c r="BC265" s="18"/>
      <c r="BD265" s="18"/>
      <c r="BE265" s="18"/>
      <c r="BF265" s="18"/>
      <c r="BG265" s="18"/>
      <c r="BH265" s="18"/>
      <c r="BI265" s="18"/>
      <c r="BJ265" s="18"/>
      <c r="BK265" s="18"/>
      <c r="BL265" s="18"/>
      <c r="BM265" s="18"/>
      <c r="BN265" s="18"/>
      <c r="BO265" s="18"/>
      <c r="BP265" s="18"/>
      <c r="BQ265" s="18"/>
      <c r="BR265" s="18"/>
      <c r="BS265" s="18"/>
      <c r="BT265" s="18"/>
      <c r="BU265" s="18"/>
      <c r="BV265" s="18"/>
      <c r="BW265" s="18"/>
      <c r="BX265" s="18"/>
      <c r="BY265" s="18"/>
      <c r="BZ265" s="18">
        <v>263</v>
      </c>
      <c r="CA265" s="26">
        <v>131.5</v>
      </c>
      <c r="CB265" s="48" t="s">
        <v>0</v>
      </c>
    </row>
    <row r="266" spans="1:80" s="15" customFormat="1" ht="39.950000000000003" hidden="1"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18"/>
      <c r="AD266" s="18"/>
      <c r="AE266" s="18"/>
      <c r="AF266" s="18"/>
      <c r="AG266" s="18"/>
      <c r="AH266" s="18"/>
      <c r="AI266" s="18"/>
      <c r="AJ266" s="18"/>
      <c r="AK266" s="18"/>
      <c r="AL266" s="18"/>
      <c r="AM266" s="18"/>
      <c r="AN266" s="18"/>
      <c r="AO266" s="18"/>
      <c r="AP266" s="18"/>
      <c r="AQ266" s="18"/>
      <c r="AR266" s="18"/>
      <c r="AS266" s="18"/>
      <c r="AT266" s="18"/>
      <c r="AU266" s="18"/>
      <c r="AV266" s="18"/>
      <c r="AW266" s="18"/>
      <c r="AX266" s="18"/>
      <c r="AY266" s="18"/>
      <c r="AZ266" s="18"/>
      <c r="BA266" s="18"/>
      <c r="BB266" s="18"/>
      <c r="BC266" s="18"/>
      <c r="BD266" s="18"/>
      <c r="BE266" s="18"/>
      <c r="BF266" s="18"/>
      <c r="BG266" s="18"/>
      <c r="BH266" s="18"/>
      <c r="BI266" s="18"/>
      <c r="BJ266" s="18"/>
      <c r="BK266" s="18"/>
      <c r="BL266" s="18"/>
      <c r="BM266" s="18"/>
      <c r="BN266" s="18"/>
      <c r="BO266" s="18"/>
      <c r="BP266" s="18"/>
      <c r="BQ266" s="18"/>
      <c r="BR266" s="18"/>
      <c r="BS266" s="18"/>
      <c r="BT266" s="18"/>
      <c r="BU266" s="18"/>
      <c r="BV266" s="18"/>
      <c r="BW266" s="18"/>
      <c r="BX266" s="18"/>
      <c r="BY266" s="18"/>
      <c r="BZ266" s="18">
        <v>264</v>
      </c>
      <c r="CA266" s="26">
        <v>132</v>
      </c>
      <c r="CB266" s="48" t="s">
        <v>0</v>
      </c>
    </row>
    <row r="267" spans="1:80" s="15" customFormat="1" ht="39.950000000000003" hidden="1"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18"/>
      <c r="AD267" s="18"/>
      <c r="AE267" s="18"/>
      <c r="AF267" s="18"/>
      <c r="AG267" s="18"/>
      <c r="AH267" s="18"/>
      <c r="AI267" s="18"/>
      <c r="AJ267" s="18"/>
      <c r="AK267" s="18"/>
      <c r="AL267" s="18"/>
      <c r="AM267" s="18"/>
      <c r="AN267" s="18"/>
      <c r="AO267" s="18"/>
      <c r="AP267" s="18"/>
      <c r="AQ267" s="18"/>
      <c r="AR267" s="18"/>
      <c r="AS267" s="18"/>
      <c r="AT267" s="18"/>
      <c r="AU267" s="18"/>
      <c r="AV267" s="18"/>
      <c r="AW267" s="18"/>
      <c r="AX267" s="18"/>
      <c r="AY267" s="18"/>
      <c r="AZ267" s="18"/>
      <c r="BA267" s="18"/>
      <c r="BB267" s="18"/>
      <c r="BC267" s="18"/>
      <c r="BD267" s="18"/>
      <c r="BE267" s="18"/>
      <c r="BF267" s="18"/>
      <c r="BG267" s="18"/>
      <c r="BH267" s="18"/>
      <c r="BI267" s="18"/>
      <c r="BJ267" s="18"/>
      <c r="BK267" s="18"/>
      <c r="BL267" s="18"/>
      <c r="BM267" s="18"/>
      <c r="BN267" s="18"/>
      <c r="BO267" s="18"/>
      <c r="BP267" s="18"/>
      <c r="BQ267" s="18"/>
      <c r="BR267" s="18"/>
      <c r="BS267" s="18"/>
      <c r="BT267" s="18"/>
      <c r="BU267" s="18"/>
      <c r="BV267" s="18"/>
      <c r="BW267" s="18"/>
      <c r="BX267" s="18"/>
      <c r="BY267" s="18"/>
      <c r="BZ267" s="18">
        <v>265</v>
      </c>
      <c r="CA267" s="26">
        <v>132.5</v>
      </c>
      <c r="CB267" s="48" t="s">
        <v>0</v>
      </c>
    </row>
    <row r="268" spans="1:80" s="15" customFormat="1" ht="39.950000000000003" hidden="1"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18"/>
      <c r="AD268" s="18"/>
      <c r="AE268" s="18"/>
      <c r="AF268" s="18"/>
      <c r="AG268" s="18"/>
      <c r="AH268" s="18"/>
      <c r="AI268" s="18"/>
      <c r="AJ268" s="18"/>
      <c r="AK268" s="18"/>
      <c r="AL268" s="18"/>
      <c r="AM268" s="18"/>
      <c r="AN268" s="18"/>
      <c r="AO268" s="18"/>
      <c r="AP268" s="18"/>
      <c r="AQ268" s="18"/>
      <c r="AR268" s="18"/>
      <c r="AS268" s="18"/>
      <c r="AT268" s="18"/>
      <c r="AU268" s="18"/>
      <c r="AV268" s="18"/>
      <c r="AW268" s="18"/>
      <c r="AX268" s="18"/>
      <c r="AY268" s="18"/>
      <c r="AZ268" s="18"/>
      <c r="BA268" s="18"/>
      <c r="BB268" s="18"/>
      <c r="BC268" s="18"/>
      <c r="BD268" s="18"/>
      <c r="BE268" s="18"/>
      <c r="BF268" s="18"/>
      <c r="BG268" s="18"/>
      <c r="BH268" s="18"/>
      <c r="BI268" s="18"/>
      <c r="BJ268" s="18"/>
      <c r="BK268" s="18"/>
      <c r="BL268" s="18"/>
      <c r="BM268" s="18"/>
      <c r="BN268" s="18"/>
      <c r="BO268" s="18"/>
      <c r="BP268" s="18"/>
      <c r="BQ268" s="18"/>
      <c r="BR268" s="18"/>
      <c r="BS268" s="18"/>
      <c r="BT268" s="18"/>
      <c r="BU268" s="18"/>
      <c r="BV268" s="18"/>
      <c r="BW268" s="18"/>
      <c r="BX268" s="18"/>
      <c r="BY268" s="18"/>
      <c r="BZ268" s="18">
        <v>266</v>
      </c>
      <c r="CA268" s="26">
        <v>133</v>
      </c>
      <c r="CB268" s="48" t="s">
        <v>0</v>
      </c>
    </row>
    <row r="269" spans="1:80" s="15" customFormat="1" ht="39.950000000000003" hidden="1"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18"/>
      <c r="AD269" s="18"/>
      <c r="AE269" s="18"/>
      <c r="AF269" s="18"/>
      <c r="AG269" s="18"/>
      <c r="AH269" s="18"/>
      <c r="AI269" s="18"/>
      <c r="AJ269" s="18"/>
      <c r="AK269" s="18"/>
      <c r="AL269" s="18"/>
      <c r="AM269" s="18"/>
      <c r="AN269" s="18"/>
      <c r="AO269" s="18"/>
      <c r="AP269" s="18"/>
      <c r="AQ269" s="18"/>
      <c r="AR269" s="18"/>
      <c r="AS269" s="18"/>
      <c r="AT269" s="18"/>
      <c r="AU269" s="18"/>
      <c r="AV269" s="18"/>
      <c r="AW269" s="18"/>
      <c r="AX269" s="18"/>
      <c r="AY269" s="18"/>
      <c r="AZ269" s="18"/>
      <c r="BA269" s="18"/>
      <c r="BB269" s="18"/>
      <c r="BC269" s="18"/>
      <c r="BD269" s="18"/>
      <c r="BE269" s="18"/>
      <c r="BF269" s="18"/>
      <c r="BG269" s="18"/>
      <c r="BH269" s="18"/>
      <c r="BI269" s="18"/>
      <c r="BJ269" s="18"/>
      <c r="BK269" s="18"/>
      <c r="BL269" s="18"/>
      <c r="BM269" s="18"/>
      <c r="BN269" s="18"/>
      <c r="BO269" s="18"/>
      <c r="BP269" s="18"/>
      <c r="BQ269" s="18"/>
      <c r="BR269" s="18"/>
      <c r="BS269" s="18"/>
      <c r="BT269" s="18"/>
      <c r="BU269" s="18"/>
      <c r="BV269" s="18"/>
      <c r="BW269" s="18"/>
      <c r="BX269" s="18"/>
      <c r="BY269" s="18"/>
      <c r="BZ269" s="18">
        <v>267</v>
      </c>
      <c r="CA269" s="26">
        <v>133.5</v>
      </c>
      <c r="CB269" s="48" t="s">
        <v>0</v>
      </c>
    </row>
    <row r="270" spans="1:80" ht="39.950000000000003" hidden="1" customHeight="1" x14ac:dyDescent="0.25">
      <c r="BZ270" s="18">
        <v>268</v>
      </c>
      <c r="CA270" s="26">
        <v>134</v>
      </c>
      <c r="CB270" s="48" t="s">
        <v>0</v>
      </c>
    </row>
    <row r="271" spans="1:80" ht="39.950000000000003" hidden="1" customHeight="1" x14ac:dyDescent="0.25">
      <c r="BZ271" s="18">
        <v>269</v>
      </c>
      <c r="CA271" s="26">
        <v>134.5</v>
      </c>
      <c r="CB271" s="48" t="s">
        <v>0</v>
      </c>
    </row>
    <row r="272" spans="1:80" ht="39.950000000000003" hidden="1" customHeight="1" x14ac:dyDescent="0.25">
      <c r="BZ272" s="18">
        <v>270</v>
      </c>
      <c r="CA272" s="26">
        <v>135</v>
      </c>
      <c r="CB272" s="48" t="s">
        <v>0</v>
      </c>
    </row>
    <row r="273" spans="78:80" ht="39.950000000000003" hidden="1" customHeight="1" x14ac:dyDescent="0.25">
      <c r="BZ273" s="18">
        <v>271</v>
      </c>
      <c r="CA273" s="26">
        <v>135.5</v>
      </c>
      <c r="CB273" s="48" t="s">
        <v>0</v>
      </c>
    </row>
    <row r="274" spans="78:80" ht="39.950000000000003" hidden="1" customHeight="1" x14ac:dyDescent="0.25">
      <c r="BZ274" s="18">
        <v>272</v>
      </c>
      <c r="CA274" s="26">
        <v>136</v>
      </c>
      <c r="CB274" s="48" t="s">
        <v>0</v>
      </c>
    </row>
    <row r="275" spans="78:80" ht="39.950000000000003" hidden="1" customHeight="1" x14ac:dyDescent="0.25">
      <c r="BZ275" s="18">
        <v>273</v>
      </c>
      <c r="CA275" s="26">
        <v>136.5</v>
      </c>
      <c r="CB275" s="48" t="s">
        <v>0</v>
      </c>
    </row>
    <row r="276" spans="78:80" ht="39.950000000000003" hidden="1" customHeight="1" x14ac:dyDescent="0.25">
      <c r="BZ276" s="18">
        <v>274</v>
      </c>
      <c r="CA276" s="26">
        <v>137</v>
      </c>
      <c r="CB276" s="48" t="s">
        <v>0</v>
      </c>
    </row>
    <row r="277" spans="78:80" ht="39.950000000000003" hidden="1" customHeight="1" x14ac:dyDescent="0.25">
      <c r="BZ277" s="18">
        <v>275</v>
      </c>
      <c r="CA277" s="26">
        <v>137.5</v>
      </c>
      <c r="CB277" s="48" t="s">
        <v>0</v>
      </c>
    </row>
    <row r="278" spans="78:80" ht="39.950000000000003" hidden="1" customHeight="1" x14ac:dyDescent="0.25">
      <c r="BZ278" s="18">
        <v>276</v>
      </c>
      <c r="CA278" s="26">
        <v>138</v>
      </c>
      <c r="CB278" s="48" t="s">
        <v>0</v>
      </c>
    </row>
    <row r="279" spans="78:80" ht="39.950000000000003" hidden="1" customHeight="1" x14ac:dyDescent="0.25">
      <c r="BZ279" s="18">
        <v>277</v>
      </c>
      <c r="CA279" s="26">
        <v>138.5</v>
      </c>
      <c r="CB279" s="48" t="s">
        <v>0</v>
      </c>
    </row>
    <row r="280" spans="78:80" ht="39.950000000000003" hidden="1" customHeight="1" x14ac:dyDescent="0.25">
      <c r="BZ280" s="18">
        <v>278</v>
      </c>
      <c r="CA280" s="26">
        <v>139</v>
      </c>
      <c r="CB280" s="48" t="s">
        <v>0</v>
      </c>
    </row>
    <row r="281" spans="78:80" ht="39.950000000000003" hidden="1" customHeight="1" x14ac:dyDescent="0.25">
      <c r="BZ281" s="18">
        <v>279</v>
      </c>
      <c r="CA281" s="26">
        <v>139.5</v>
      </c>
      <c r="CB281" s="48" t="s">
        <v>0</v>
      </c>
    </row>
    <row r="282" spans="78:80" ht="39.950000000000003" hidden="1" customHeight="1" x14ac:dyDescent="0.25">
      <c r="BZ282" s="18">
        <v>280</v>
      </c>
      <c r="CA282" s="26">
        <v>140</v>
      </c>
      <c r="CB282" s="48" t="s">
        <v>0</v>
      </c>
    </row>
    <row r="283" spans="78:80" ht="39.950000000000003" hidden="1" customHeight="1" x14ac:dyDescent="0.25">
      <c r="BZ283" s="18">
        <v>281</v>
      </c>
      <c r="CA283" s="26">
        <v>140.5</v>
      </c>
      <c r="CB283" s="48" t="s">
        <v>0</v>
      </c>
    </row>
    <row r="284" spans="78:80" ht="39.950000000000003" hidden="1" customHeight="1" x14ac:dyDescent="0.25">
      <c r="BZ284" s="18">
        <v>282</v>
      </c>
      <c r="CA284" s="26">
        <v>141</v>
      </c>
      <c r="CB284" s="48" t="s">
        <v>0</v>
      </c>
    </row>
    <row r="285" spans="78:80" ht="39.950000000000003" hidden="1" customHeight="1" x14ac:dyDescent="0.25">
      <c r="BZ285" s="18">
        <v>283</v>
      </c>
      <c r="CA285" s="26">
        <v>141.5</v>
      </c>
      <c r="CB285" s="48" t="s">
        <v>0</v>
      </c>
    </row>
    <row r="286" spans="78:80" ht="39.950000000000003" hidden="1" customHeight="1" x14ac:dyDescent="0.25">
      <c r="BZ286" s="18">
        <v>284</v>
      </c>
      <c r="CA286" s="26">
        <v>142</v>
      </c>
      <c r="CB286" s="48" t="s">
        <v>0</v>
      </c>
    </row>
    <row r="287" spans="78:80" ht="39.950000000000003" hidden="1" customHeight="1" x14ac:dyDescent="0.25">
      <c r="BZ287" s="18">
        <v>285</v>
      </c>
      <c r="CA287" s="26">
        <v>142.5</v>
      </c>
      <c r="CB287" s="48" t="s">
        <v>0</v>
      </c>
    </row>
    <row r="288" spans="78:80" ht="39.950000000000003" hidden="1" customHeight="1" x14ac:dyDescent="0.25">
      <c r="BZ288" s="18">
        <v>286</v>
      </c>
      <c r="CA288" s="26">
        <v>143</v>
      </c>
      <c r="CB288" s="48" t="s">
        <v>0</v>
      </c>
    </row>
    <row r="289" spans="78:80" ht="39.950000000000003" hidden="1" customHeight="1" x14ac:dyDescent="0.25">
      <c r="BZ289" s="18">
        <v>287</v>
      </c>
      <c r="CA289" s="26">
        <v>143.5</v>
      </c>
      <c r="CB289" s="48" t="s">
        <v>0</v>
      </c>
    </row>
    <row r="290" spans="78:80" ht="39.950000000000003" hidden="1" customHeight="1" x14ac:dyDescent="0.25">
      <c r="BZ290" s="18">
        <v>288</v>
      </c>
      <c r="CA290" s="26">
        <v>144</v>
      </c>
      <c r="CB290" s="48" t="s">
        <v>0</v>
      </c>
    </row>
    <row r="291" spans="78:80" ht="39.950000000000003" hidden="1" customHeight="1" x14ac:dyDescent="0.25">
      <c r="BZ291" s="18">
        <v>289</v>
      </c>
      <c r="CA291" s="26">
        <v>144.5</v>
      </c>
      <c r="CB291" s="48" t="s">
        <v>0</v>
      </c>
    </row>
    <row r="292" spans="78:80" ht="39.950000000000003" hidden="1" customHeight="1" x14ac:dyDescent="0.25">
      <c r="BZ292" s="18">
        <v>290</v>
      </c>
      <c r="CA292" s="26">
        <v>145</v>
      </c>
      <c r="CB292" s="48" t="s">
        <v>0</v>
      </c>
    </row>
    <row r="293" spans="78:80" ht="39.950000000000003" hidden="1" customHeight="1" x14ac:dyDescent="0.25">
      <c r="BZ293" s="18">
        <v>291</v>
      </c>
      <c r="CA293" s="26">
        <v>145.5</v>
      </c>
      <c r="CB293" s="48" t="s">
        <v>0</v>
      </c>
    </row>
    <row r="294" spans="78:80" ht="39.950000000000003" hidden="1" customHeight="1" x14ac:dyDescent="0.25">
      <c r="BZ294" s="18">
        <v>292</v>
      </c>
      <c r="CA294" s="26">
        <v>146</v>
      </c>
      <c r="CB294" s="48" t="s">
        <v>0</v>
      </c>
    </row>
    <row r="295" spans="78:80" ht="39.950000000000003" hidden="1" customHeight="1" x14ac:dyDescent="0.25">
      <c r="BZ295" s="18">
        <v>293</v>
      </c>
      <c r="CA295" s="26">
        <v>146.5</v>
      </c>
      <c r="CB295" s="48" t="s">
        <v>0</v>
      </c>
    </row>
    <row r="296" spans="78:80" ht="39.950000000000003" hidden="1" customHeight="1" x14ac:dyDescent="0.25">
      <c r="BZ296" s="18">
        <v>294</v>
      </c>
      <c r="CA296" s="26">
        <v>147</v>
      </c>
      <c r="CB296" s="48" t="s">
        <v>0</v>
      </c>
    </row>
    <row r="297" spans="78:80" ht="39.950000000000003" hidden="1" customHeight="1" x14ac:dyDescent="0.25">
      <c r="BZ297" s="18">
        <v>295</v>
      </c>
      <c r="CA297" s="26">
        <v>147.5</v>
      </c>
      <c r="CB297" s="48" t="s">
        <v>0</v>
      </c>
    </row>
    <row r="298" spans="78:80" ht="39.950000000000003" hidden="1" customHeight="1" x14ac:dyDescent="0.25">
      <c r="BZ298" s="18">
        <v>296</v>
      </c>
      <c r="CA298" s="26">
        <v>148</v>
      </c>
      <c r="CB298" s="48" t="s">
        <v>0</v>
      </c>
    </row>
    <row r="299" spans="78:80" ht="39.950000000000003" hidden="1" customHeight="1" x14ac:dyDescent="0.25">
      <c r="BZ299" s="18">
        <v>297</v>
      </c>
      <c r="CA299" s="26">
        <v>148.5</v>
      </c>
      <c r="CB299" s="48" t="s">
        <v>0</v>
      </c>
    </row>
    <row r="300" spans="78:80" ht="39.950000000000003" hidden="1" customHeight="1" x14ac:dyDescent="0.25">
      <c r="BZ300" s="18">
        <v>298</v>
      </c>
      <c r="CA300" s="26">
        <v>149</v>
      </c>
      <c r="CB300" s="48" t="s">
        <v>0</v>
      </c>
    </row>
    <row r="301" spans="78:80" ht="39.950000000000003" hidden="1" customHeight="1" x14ac:dyDescent="0.25">
      <c r="BZ301" s="18">
        <v>299</v>
      </c>
      <c r="CA301" s="26">
        <v>149.5</v>
      </c>
      <c r="CB301" s="48" t="s">
        <v>0</v>
      </c>
    </row>
    <row r="302" spans="78:80" ht="39.950000000000003" hidden="1" customHeight="1" x14ac:dyDescent="0.25">
      <c r="BZ302" s="18">
        <v>300</v>
      </c>
      <c r="CA302" s="26">
        <v>150</v>
      </c>
      <c r="CB302" s="48" t="s">
        <v>0</v>
      </c>
    </row>
    <row r="303" spans="78:80" ht="39.950000000000003" hidden="1" customHeight="1" x14ac:dyDescent="0.25">
      <c r="BZ303" s="18">
        <v>301</v>
      </c>
      <c r="CA303" s="26">
        <v>150.5</v>
      </c>
      <c r="CB303" s="48" t="s">
        <v>0</v>
      </c>
    </row>
    <row r="304" spans="78:80" ht="39.950000000000003" hidden="1" customHeight="1" x14ac:dyDescent="0.25">
      <c r="BZ304" s="18">
        <v>302</v>
      </c>
      <c r="CA304" s="26">
        <v>151</v>
      </c>
      <c r="CB304" s="48" t="s">
        <v>0</v>
      </c>
    </row>
    <row r="305" spans="78:80" ht="39.950000000000003" hidden="1" customHeight="1" x14ac:dyDescent="0.25">
      <c r="BZ305" s="18">
        <v>303</v>
      </c>
      <c r="CA305" s="26">
        <v>151.5</v>
      </c>
      <c r="CB305" s="48" t="s">
        <v>0</v>
      </c>
    </row>
    <row r="306" spans="78:80" ht="39.950000000000003" hidden="1" customHeight="1" x14ac:dyDescent="0.25">
      <c r="BZ306" s="18">
        <v>304</v>
      </c>
      <c r="CA306" s="26">
        <v>152</v>
      </c>
      <c r="CB306" s="48" t="s">
        <v>0</v>
      </c>
    </row>
    <row r="307" spans="78:80" ht="39.950000000000003" hidden="1" customHeight="1" x14ac:dyDescent="0.25">
      <c r="BZ307" s="18">
        <v>305</v>
      </c>
      <c r="CA307" s="26">
        <v>152.5</v>
      </c>
      <c r="CB307" s="48" t="s">
        <v>0</v>
      </c>
    </row>
    <row r="308" spans="78:80" ht="39.950000000000003" hidden="1" customHeight="1" x14ac:dyDescent="0.25">
      <c r="BZ308" s="18">
        <v>306</v>
      </c>
      <c r="CA308" s="26">
        <v>153</v>
      </c>
      <c r="CB308" s="48" t="s">
        <v>0</v>
      </c>
    </row>
    <row r="309" spans="78:80" ht="39.950000000000003" hidden="1" customHeight="1" x14ac:dyDescent="0.25">
      <c r="BZ309" s="18">
        <v>307</v>
      </c>
      <c r="CA309" s="26">
        <v>153.5</v>
      </c>
      <c r="CB309" s="48" t="s">
        <v>0</v>
      </c>
    </row>
    <row r="310" spans="78:80" ht="39.950000000000003" hidden="1" customHeight="1" x14ac:dyDescent="0.25">
      <c r="BZ310" s="18">
        <v>308</v>
      </c>
      <c r="CA310" s="26">
        <v>154</v>
      </c>
      <c r="CB310" s="48" t="s">
        <v>0</v>
      </c>
    </row>
    <row r="311" spans="78:80" ht="39.950000000000003" hidden="1" customHeight="1" x14ac:dyDescent="0.25">
      <c r="BZ311" s="18">
        <v>309</v>
      </c>
      <c r="CA311" s="26">
        <v>154.5</v>
      </c>
      <c r="CB311" s="48" t="s">
        <v>0</v>
      </c>
    </row>
    <row r="312" spans="78:80" ht="39.950000000000003" hidden="1" customHeight="1" x14ac:dyDescent="0.25">
      <c r="BZ312" s="18">
        <v>310</v>
      </c>
      <c r="CA312" s="26">
        <v>155</v>
      </c>
      <c r="CB312" s="48" t="s">
        <v>0</v>
      </c>
    </row>
    <row r="313" spans="78:80" ht="39.950000000000003" hidden="1" customHeight="1" x14ac:dyDescent="0.25">
      <c r="BZ313" s="18">
        <v>311</v>
      </c>
      <c r="CA313" s="26">
        <v>155.5</v>
      </c>
      <c r="CB313" s="48" t="s">
        <v>0</v>
      </c>
    </row>
    <row r="314" spans="78:80" ht="39.950000000000003" hidden="1" customHeight="1" x14ac:dyDescent="0.25">
      <c r="BZ314" s="18">
        <v>312</v>
      </c>
      <c r="CA314" s="26">
        <v>156</v>
      </c>
      <c r="CB314" s="48" t="s">
        <v>0</v>
      </c>
    </row>
    <row r="315" spans="78:80" ht="39.950000000000003" hidden="1" customHeight="1" x14ac:dyDescent="0.25">
      <c r="BZ315" s="18">
        <v>313</v>
      </c>
      <c r="CA315" s="26">
        <v>156.5</v>
      </c>
      <c r="CB315" s="48" t="s">
        <v>0</v>
      </c>
    </row>
    <row r="316" spans="78:80" ht="39.950000000000003" hidden="1" customHeight="1" x14ac:dyDescent="0.25">
      <c r="BZ316" s="18">
        <v>314</v>
      </c>
      <c r="CA316" s="26">
        <v>157</v>
      </c>
      <c r="CB316" s="48" t="s">
        <v>0</v>
      </c>
    </row>
    <row r="317" spans="78:80" ht="39.950000000000003" hidden="1" customHeight="1" x14ac:dyDescent="0.25">
      <c r="BZ317" s="18">
        <v>315</v>
      </c>
      <c r="CA317" s="26">
        <v>157.5</v>
      </c>
      <c r="CB317" s="48" t="s">
        <v>0</v>
      </c>
    </row>
    <row r="318" spans="78:80" ht="39.950000000000003" hidden="1" customHeight="1" x14ac:dyDescent="0.25">
      <c r="BZ318" s="18">
        <v>316</v>
      </c>
      <c r="CA318" s="26">
        <v>158</v>
      </c>
      <c r="CB318" s="48" t="s">
        <v>0</v>
      </c>
    </row>
    <row r="319" spans="78:80" ht="39.950000000000003" hidden="1" customHeight="1" x14ac:dyDescent="0.25">
      <c r="BZ319" s="18">
        <v>317</v>
      </c>
      <c r="CA319" s="26">
        <v>158.5</v>
      </c>
      <c r="CB319" s="48" t="s">
        <v>0</v>
      </c>
    </row>
    <row r="320" spans="78:80" ht="39.950000000000003" hidden="1" customHeight="1" x14ac:dyDescent="0.25">
      <c r="BZ320" s="18">
        <v>318</v>
      </c>
      <c r="CA320" s="26">
        <v>159</v>
      </c>
      <c r="CB320" s="48" t="s">
        <v>0</v>
      </c>
    </row>
    <row r="321" spans="78:80" ht="39.950000000000003" hidden="1" customHeight="1" x14ac:dyDescent="0.25">
      <c r="BZ321" s="18">
        <v>319</v>
      </c>
      <c r="CA321" s="26">
        <v>159.5</v>
      </c>
      <c r="CB321" s="48" t="s">
        <v>0</v>
      </c>
    </row>
    <row r="322" spans="78:80" ht="39.950000000000003" hidden="1" customHeight="1" x14ac:dyDescent="0.25">
      <c r="BZ322" s="18">
        <v>320</v>
      </c>
      <c r="CA322" s="26">
        <v>160</v>
      </c>
      <c r="CB322" s="48" t="s">
        <v>0</v>
      </c>
    </row>
    <row r="323" spans="78:80" ht="39.950000000000003" hidden="1" customHeight="1" x14ac:dyDescent="0.25">
      <c r="BZ323" s="18">
        <v>321</v>
      </c>
      <c r="CA323" s="26">
        <v>160.5</v>
      </c>
      <c r="CB323" s="48" t="s">
        <v>0</v>
      </c>
    </row>
    <row r="324" spans="78:80" ht="39.950000000000003" hidden="1" customHeight="1" x14ac:dyDescent="0.25">
      <c r="BZ324" s="18">
        <v>322</v>
      </c>
      <c r="CA324" s="26">
        <v>161</v>
      </c>
      <c r="CB324" s="48" t="s">
        <v>0</v>
      </c>
    </row>
    <row r="325" spans="78:80" ht="39.950000000000003" hidden="1" customHeight="1" x14ac:dyDescent="0.25">
      <c r="BZ325" s="18">
        <v>323</v>
      </c>
      <c r="CA325" s="26">
        <v>161.5</v>
      </c>
      <c r="CB325" s="48" t="s">
        <v>0</v>
      </c>
    </row>
    <row r="326" spans="78:80" ht="39.950000000000003" hidden="1" customHeight="1" x14ac:dyDescent="0.25">
      <c r="BZ326" s="18">
        <v>324</v>
      </c>
      <c r="CA326" s="26">
        <v>162</v>
      </c>
      <c r="CB326" s="48" t="s">
        <v>0</v>
      </c>
    </row>
    <row r="327" spans="78:80" ht="39.950000000000003" hidden="1" customHeight="1" x14ac:dyDescent="0.25">
      <c r="BZ327" s="18">
        <v>325</v>
      </c>
      <c r="CA327" s="26">
        <v>162.5</v>
      </c>
      <c r="CB327" s="48" t="s">
        <v>0</v>
      </c>
    </row>
    <row r="328" spans="78:80" ht="39.950000000000003" hidden="1" customHeight="1" x14ac:dyDescent="0.25">
      <c r="BZ328" s="18">
        <v>326</v>
      </c>
      <c r="CA328" s="26">
        <v>163</v>
      </c>
      <c r="CB328" s="48" t="s">
        <v>0</v>
      </c>
    </row>
    <row r="329" spans="78:80" ht="39.950000000000003" hidden="1" customHeight="1" x14ac:dyDescent="0.25">
      <c r="BZ329" s="18">
        <v>327</v>
      </c>
      <c r="CA329" s="26">
        <v>163.5</v>
      </c>
      <c r="CB329" s="48" t="s">
        <v>0</v>
      </c>
    </row>
    <row r="330" spans="78:80" ht="39.950000000000003" hidden="1" customHeight="1" x14ac:dyDescent="0.25">
      <c r="BZ330" s="18">
        <v>328</v>
      </c>
      <c r="CA330" s="26">
        <v>164</v>
      </c>
      <c r="CB330" s="48" t="s">
        <v>0</v>
      </c>
    </row>
    <row r="331" spans="78:80" ht="39.950000000000003" hidden="1" customHeight="1" x14ac:dyDescent="0.25">
      <c r="BZ331" s="18">
        <v>329</v>
      </c>
      <c r="CA331" s="26">
        <v>164.5</v>
      </c>
      <c r="CB331" s="48" t="s">
        <v>0</v>
      </c>
    </row>
    <row r="332" spans="78:80" ht="39.950000000000003" hidden="1" customHeight="1" x14ac:dyDescent="0.25">
      <c r="BZ332" s="18">
        <v>330</v>
      </c>
      <c r="CA332" s="26">
        <v>165</v>
      </c>
      <c r="CB332" s="48" t="s">
        <v>0</v>
      </c>
    </row>
    <row r="333" spans="78:80" ht="39.950000000000003" hidden="1" customHeight="1" x14ac:dyDescent="0.25">
      <c r="BZ333" s="18">
        <v>331</v>
      </c>
      <c r="CA333" s="26">
        <v>165.5</v>
      </c>
      <c r="CB333" s="48" t="s">
        <v>0</v>
      </c>
    </row>
    <row r="334" spans="78:80" ht="39.950000000000003" hidden="1" customHeight="1" x14ac:dyDescent="0.25">
      <c r="BZ334" s="18">
        <v>332</v>
      </c>
      <c r="CA334" s="26">
        <v>166</v>
      </c>
      <c r="CB334" s="48" t="s">
        <v>0</v>
      </c>
    </row>
    <row r="335" spans="78:80" ht="39.950000000000003" hidden="1" customHeight="1" x14ac:dyDescent="0.25">
      <c r="BZ335" s="18">
        <v>333</v>
      </c>
      <c r="CA335" s="26">
        <v>166.5</v>
      </c>
      <c r="CB335" s="48" t="s">
        <v>0</v>
      </c>
    </row>
    <row r="336" spans="78:80" ht="39.950000000000003" hidden="1" customHeight="1" x14ac:dyDescent="0.25">
      <c r="BZ336" s="18">
        <v>334</v>
      </c>
      <c r="CA336" s="26">
        <v>167</v>
      </c>
      <c r="CB336" s="48" t="s">
        <v>0</v>
      </c>
    </row>
    <row r="337" spans="78:80" ht="39.950000000000003" hidden="1" customHeight="1" x14ac:dyDescent="0.25">
      <c r="BZ337" s="18">
        <v>335</v>
      </c>
      <c r="CA337" s="26">
        <v>167.5</v>
      </c>
      <c r="CB337" s="48" t="s">
        <v>0</v>
      </c>
    </row>
    <row r="338" spans="78:80" ht="39.950000000000003" hidden="1" customHeight="1" x14ac:dyDescent="0.25">
      <c r="BZ338" s="18">
        <v>336</v>
      </c>
      <c r="CA338" s="26">
        <v>168</v>
      </c>
      <c r="CB338" s="48" t="s">
        <v>0</v>
      </c>
    </row>
    <row r="339" spans="78:80" ht="39.950000000000003" hidden="1" customHeight="1" x14ac:dyDescent="0.25">
      <c r="BZ339" s="18">
        <v>337</v>
      </c>
      <c r="CA339" s="26">
        <v>168.5</v>
      </c>
      <c r="CB339" s="48" t="s">
        <v>0</v>
      </c>
    </row>
    <row r="340" spans="78:80" ht="39.950000000000003" hidden="1" customHeight="1" x14ac:dyDescent="0.25">
      <c r="BZ340" s="18">
        <v>338</v>
      </c>
      <c r="CA340" s="26">
        <v>169</v>
      </c>
      <c r="CB340" s="48" t="s">
        <v>0</v>
      </c>
    </row>
    <row r="341" spans="78:80" ht="39.950000000000003" hidden="1" customHeight="1" x14ac:dyDescent="0.25">
      <c r="BZ341" s="18">
        <v>339</v>
      </c>
      <c r="CA341" s="26">
        <v>169.5</v>
      </c>
      <c r="CB341" s="48" t="s">
        <v>0</v>
      </c>
    </row>
    <row r="342" spans="78:80" ht="39.950000000000003" hidden="1" customHeight="1" x14ac:dyDescent="0.25">
      <c r="BZ342" s="18">
        <v>340</v>
      </c>
      <c r="CA342" s="26">
        <v>170</v>
      </c>
      <c r="CB342" s="48" t="s">
        <v>0</v>
      </c>
    </row>
    <row r="343" spans="78:80" ht="39.950000000000003" hidden="1" customHeight="1" x14ac:dyDescent="0.25">
      <c r="BZ343" s="18">
        <v>341</v>
      </c>
      <c r="CA343" s="26">
        <v>170.5</v>
      </c>
      <c r="CB343" s="48" t="s">
        <v>0</v>
      </c>
    </row>
    <row r="344" spans="78:80" ht="39.950000000000003" hidden="1" customHeight="1" x14ac:dyDescent="0.25">
      <c r="BZ344" s="18">
        <v>342</v>
      </c>
      <c r="CA344" s="26">
        <v>171</v>
      </c>
      <c r="CB344" s="48" t="s">
        <v>0</v>
      </c>
    </row>
    <row r="345" spans="78:80" ht="39.950000000000003" hidden="1" customHeight="1" x14ac:dyDescent="0.25">
      <c r="BZ345" s="18">
        <v>343</v>
      </c>
      <c r="CA345" s="26">
        <v>171.5</v>
      </c>
      <c r="CB345" s="48" t="s">
        <v>0</v>
      </c>
    </row>
    <row r="346" spans="78:80" ht="39.950000000000003" hidden="1" customHeight="1" x14ac:dyDescent="0.25">
      <c r="BZ346" s="18">
        <v>344</v>
      </c>
      <c r="CA346" s="26">
        <v>172</v>
      </c>
      <c r="CB346" s="48" t="s">
        <v>0</v>
      </c>
    </row>
    <row r="347" spans="78:80" ht="39.950000000000003" hidden="1" customHeight="1" x14ac:dyDescent="0.25">
      <c r="BZ347" s="18">
        <v>345</v>
      </c>
      <c r="CA347" s="26">
        <v>172.5</v>
      </c>
      <c r="CB347" s="48" t="s">
        <v>0</v>
      </c>
    </row>
    <row r="348" spans="78:80" ht="39.950000000000003" hidden="1" customHeight="1" x14ac:dyDescent="0.25">
      <c r="BZ348" s="18">
        <v>346</v>
      </c>
      <c r="CA348" s="26">
        <v>173</v>
      </c>
      <c r="CB348" s="48" t="s">
        <v>0</v>
      </c>
    </row>
    <row r="349" spans="78:80" ht="39.950000000000003" hidden="1" customHeight="1" x14ac:dyDescent="0.25">
      <c r="BZ349" s="18">
        <v>347</v>
      </c>
      <c r="CA349" s="26">
        <v>173.5</v>
      </c>
      <c r="CB349" s="48" t="s">
        <v>0</v>
      </c>
    </row>
    <row r="350" spans="78:80" ht="39.950000000000003" hidden="1" customHeight="1" x14ac:dyDescent="0.25">
      <c r="BZ350" s="18">
        <v>348</v>
      </c>
      <c r="CA350" s="26">
        <v>174</v>
      </c>
      <c r="CB350" s="48" t="s">
        <v>0</v>
      </c>
    </row>
    <row r="351" spans="78:80" ht="39.950000000000003" hidden="1" customHeight="1" x14ac:dyDescent="0.25">
      <c r="BZ351" s="18">
        <v>349</v>
      </c>
      <c r="CA351" s="26">
        <v>174.5</v>
      </c>
      <c r="CB351" s="48" t="s">
        <v>0</v>
      </c>
    </row>
    <row r="352" spans="78:80" ht="39.950000000000003" hidden="1" customHeight="1" x14ac:dyDescent="0.25">
      <c r="BZ352" s="18">
        <v>350</v>
      </c>
      <c r="CA352" s="26">
        <v>175</v>
      </c>
      <c r="CB352" s="48" t="s">
        <v>0</v>
      </c>
    </row>
    <row r="353" spans="78:80" ht="39.950000000000003" hidden="1" customHeight="1" x14ac:dyDescent="0.25">
      <c r="BZ353" s="18">
        <v>351</v>
      </c>
      <c r="CA353" s="26">
        <v>175.5</v>
      </c>
      <c r="CB353" s="48" t="s">
        <v>0</v>
      </c>
    </row>
    <row r="354" spans="78:80" ht="39.950000000000003" hidden="1" customHeight="1" x14ac:dyDescent="0.25">
      <c r="BZ354" s="18">
        <v>352</v>
      </c>
      <c r="CA354" s="26">
        <v>176</v>
      </c>
      <c r="CB354" s="48" t="s">
        <v>0</v>
      </c>
    </row>
    <row r="355" spans="78:80" ht="39.950000000000003" hidden="1" customHeight="1" x14ac:dyDescent="0.25">
      <c r="BZ355" s="18">
        <v>353</v>
      </c>
      <c r="CA355" s="26">
        <v>176.5</v>
      </c>
      <c r="CB355" s="48" t="s">
        <v>0</v>
      </c>
    </row>
    <row r="356" spans="78:80" ht="39.950000000000003" hidden="1" customHeight="1" x14ac:dyDescent="0.25">
      <c r="BZ356" s="18">
        <v>354</v>
      </c>
      <c r="CA356" s="26">
        <v>177</v>
      </c>
      <c r="CB356" s="48" t="s">
        <v>0</v>
      </c>
    </row>
    <row r="357" spans="78:80" ht="39.950000000000003" hidden="1" customHeight="1" x14ac:dyDescent="0.25">
      <c r="BZ357" s="18">
        <v>355</v>
      </c>
      <c r="CA357" s="26">
        <v>177.5</v>
      </c>
      <c r="CB357" s="48" t="s">
        <v>0</v>
      </c>
    </row>
    <row r="358" spans="78:80" ht="39.950000000000003" hidden="1" customHeight="1" x14ac:dyDescent="0.25">
      <c r="BZ358" s="18">
        <v>356</v>
      </c>
      <c r="CA358" s="26">
        <v>178</v>
      </c>
      <c r="CB358" s="48" t="s">
        <v>0</v>
      </c>
    </row>
    <row r="359" spans="78:80" ht="39.950000000000003" hidden="1" customHeight="1" x14ac:dyDescent="0.25">
      <c r="BZ359" s="18">
        <v>357</v>
      </c>
      <c r="CA359" s="26">
        <v>178.5</v>
      </c>
      <c r="CB359" s="48" t="s">
        <v>0</v>
      </c>
    </row>
    <row r="360" spans="78:80" ht="39.950000000000003" hidden="1" customHeight="1" x14ac:dyDescent="0.25">
      <c r="BZ360" s="18">
        <v>358</v>
      </c>
      <c r="CA360" s="26">
        <v>179</v>
      </c>
      <c r="CB360" s="48" t="s">
        <v>0</v>
      </c>
    </row>
    <row r="361" spans="78:80" ht="39.950000000000003" hidden="1" customHeight="1" x14ac:dyDescent="0.25">
      <c r="BZ361" s="18">
        <v>359</v>
      </c>
      <c r="CA361" s="26">
        <v>179.5</v>
      </c>
      <c r="CB361" s="48" t="s">
        <v>0</v>
      </c>
    </row>
    <row r="362" spans="78:80" ht="39.950000000000003" hidden="1" customHeight="1" x14ac:dyDescent="0.25">
      <c r="BZ362" s="18">
        <v>360</v>
      </c>
      <c r="CA362" s="26">
        <v>180</v>
      </c>
      <c r="CB362" s="48" t="s">
        <v>0</v>
      </c>
    </row>
    <row r="363" spans="78:80" ht="9.9499999999999993" hidden="1" customHeight="1" x14ac:dyDescent="0.25"/>
  </sheetData>
  <sheetProtection algorithmName="SHA-512" hashValue="9TDNwdrkZ8tSu5wwO9uHYoG1AAPZy97hFNSxXh7lNwMUHIji0eQA9fLmgKhZIx84LxY/N3nifC2b8TtCt1b0JA==" saltValue="yMCiMZKEH0bXqfxIbe991g==" spinCount="100000" sheet="1" objects="1" scenarios="1" selectLockedCells="1"/>
  <mergeCells count="29">
    <mergeCell ref="AB1:AB28"/>
    <mergeCell ref="CC1:CC28"/>
    <mergeCell ref="A1:A14"/>
    <mergeCell ref="B1:B14"/>
    <mergeCell ref="H1:H14"/>
    <mergeCell ref="D1:D14"/>
    <mergeCell ref="G1:G14"/>
    <mergeCell ref="F1:F14"/>
    <mergeCell ref="I1:I14"/>
    <mergeCell ref="K1:K14"/>
    <mergeCell ref="M1:M14"/>
    <mergeCell ref="R1:R14"/>
    <mergeCell ref="C1:C14"/>
    <mergeCell ref="E1:E14"/>
    <mergeCell ref="N1:N14"/>
    <mergeCell ref="Y2:Y27"/>
    <mergeCell ref="AA2:AA27"/>
    <mergeCell ref="Z2:Z27"/>
    <mergeCell ref="Y1:AA1"/>
    <mergeCell ref="V1:V28"/>
    <mergeCell ref="Y28:AA28"/>
    <mergeCell ref="W1:W28"/>
    <mergeCell ref="X1:X28"/>
    <mergeCell ref="S1:S14"/>
    <mergeCell ref="U1:U14"/>
    <mergeCell ref="T1:T14"/>
    <mergeCell ref="J1:J14"/>
    <mergeCell ref="L1:L14"/>
    <mergeCell ref="O1:Q14"/>
  </mergeCells>
  <phoneticPr fontId="4" type="noConversion"/>
  <dataValidations count="10">
    <dataValidation type="list" allowBlank="1" showInputMessage="1" showErrorMessage="1" sqref="BC1:BC12" xr:uid="{00000000-0002-0000-0000-00001D000000}">
      <formula1>"Yok, Var"</formula1>
    </dataValidation>
    <dataValidation type="list" allowBlank="1" showInputMessage="1" showErrorMessage="1" sqref="R15:R26" xr:uid="{6F358D2D-A20D-445D-9C51-9E1027A06CA6}">
      <formula1>$CB$2:$CB$50</formula1>
    </dataValidation>
    <dataValidation type="list" allowBlank="1" showInputMessage="1" showErrorMessage="1" sqref="V1:V28" xr:uid="{9054E20C-415A-4A28-9A83-E6387959DADB}">
      <formula1>"Ocak, Şubat, Mart, Nisan, Mayıs, Haziran, Temmuz, Ağustos, Eylül, Ekim, Kasım, Aralık, Yıllık Toplam, Yıllık Ortalama"</formula1>
    </dataValidation>
    <dataValidation type="list" allowBlank="1" showInputMessage="1" showErrorMessage="1" sqref="AK18" xr:uid="{E78907BA-7A5C-4BC5-9626-30F7C79A3DA3}">
      <formula1>#REF!</formula1>
    </dataValidation>
    <dataValidation type="list" allowBlank="1" showInputMessage="1" showErrorMessage="1" sqref="D15:G26" xr:uid="{D16C9647-72F6-4D86-BCEE-3739AC9AC5F3}">
      <formula1>$CA$2:$CA$362</formula1>
    </dataValidation>
    <dataValidation type="list" allowBlank="1" showInputMessage="1" showErrorMessage="1" sqref="AW29:AW40 AQ29:AQ40 AT29:AT40 C15:C26 H15:M26" xr:uid="{65FACC1D-9377-4225-8D3E-97700607B264}">
      <formula1>$BZ$2:$BZ$362</formula1>
    </dataValidation>
    <dataValidation type="list" allowBlank="1" showInputMessage="1" showErrorMessage="1" sqref="N15:N26" xr:uid="{CFD96E9B-F432-4C06-B20B-472307E913D1}">
      <formula1>$BZ$2:$BZ$7</formula1>
    </dataValidation>
    <dataValidation type="list" allowBlank="1" showInputMessage="1" showErrorMessage="1" sqref="A1:A14" xr:uid="{AE81A231-50A0-4C37-89AE-F70005CB0F11}">
      <formula1>$AF$39:$AF$40</formula1>
    </dataValidation>
    <dataValidation type="list" allowBlank="1" showInputMessage="1" showErrorMessage="1" sqref="O15:Q26" xr:uid="{3A8B9BBC-2F83-493E-B21B-C79787935332}">
      <formula1>$BO$29:$BO$44</formula1>
    </dataValidation>
    <dataValidation type="list" allowBlank="1" showInputMessage="1" showErrorMessage="1" sqref="X1" xr:uid="{F853FCC4-C3B8-4272-9BE3-E548C91B3D0F}">
      <formula1>$AC$29:$AC$42</formula1>
    </dataValidation>
  </dataValidations>
  <printOptions horizontalCentered="1" verticalCentered="1"/>
  <pageMargins left="0" right="0" top="0" bottom="0" header="0" footer="0"/>
  <pageSetup paperSize="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emplate/>
  <TotalTime>17</TotalTime>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Özet Tablo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dc:creator>
  <dc:description/>
  <cp:lastModifiedBy>½</cp:lastModifiedBy>
  <cp:lastPrinted>2021-01-27T16:23:43Z</cp:lastPrinted>
  <dcterms:created xsi:type="dcterms:W3CDTF">2015-06-05T18:19:34Z</dcterms:created>
  <dcterms:modified xsi:type="dcterms:W3CDTF">2026-08-06T19:54:47Z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