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62384906-0F61-43D7-AC39-ED49B9C676CA}" xr6:coauthVersionLast="47" xr6:coauthVersionMax="47" xr10:uidLastSave="{00000000-0000-0000-0000-000000000000}"/>
  <workbookProtection workbookAlgorithmName="SHA-512" workbookHashValue="QMzR1mdpDef3XW23igl7a9374yHsP5I8s+VIhw8DBcXE2mL9DT1ZuZLKC/trfTiil9EwHjazXTCBnD5+x8bTQg==" workbookSaltValue="9V6aNd328YdShver17BTLQ==" workbookSpinCount="100000" lockStructure="1"/>
  <bookViews>
    <workbookView xWindow="-120" yWindow="-120" windowWidth="29040" windowHeight="15840" tabRatio="435"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30" i="130" l="1"/>
  <c r="AK29" i="130"/>
  <c r="AO43" i="130"/>
  <c r="AP43" i="130"/>
  <c r="AO44" i="130"/>
  <c r="AP44" i="130"/>
  <c r="AO45" i="130"/>
  <c r="AP45" i="130"/>
  <c r="AO46" i="130"/>
  <c r="AP46" i="130"/>
  <c r="AO47" i="130"/>
  <c r="AP47" i="130"/>
  <c r="AO48" i="130"/>
  <c r="AP48" i="130"/>
  <c r="AK43" i="130"/>
  <c r="AK44" i="130"/>
  <c r="AK45" i="130"/>
  <c r="AK46" i="130"/>
  <c r="AK47" i="130"/>
  <c r="AK48" i="130"/>
  <c r="AI43" i="130"/>
  <c r="AI44" i="130"/>
  <c r="AI45" i="130"/>
  <c r="AI46" i="130"/>
  <c r="AI47" i="130"/>
  <c r="AI48" i="130"/>
  <c r="AX43" i="130"/>
  <c r="AX44" i="130"/>
  <c r="AX45" i="130"/>
  <c r="AX46" i="130"/>
  <c r="AX47" i="130"/>
  <c r="AX48" i="130"/>
  <c r="AX29" i="130"/>
  <c r="AX30" i="130"/>
  <c r="AX31" i="130"/>
  <c r="AX32" i="130"/>
  <c r="AX33" i="130"/>
  <c r="AX34" i="130"/>
  <c r="AS29" i="130"/>
  <c r="AS30" i="130"/>
  <c r="AS31" i="130"/>
  <c r="AS32" i="130"/>
  <c r="AS33" i="130"/>
  <c r="AS34" i="130"/>
  <c r="AP29" i="130"/>
  <c r="AP30" i="130"/>
  <c r="AP31" i="130"/>
  <c r="AP32" i="130"/>
  <c r="AP33" i="130"/>
  <c r="AP34" i="130"/>
  <c r="AK31" i="130"/>
  <c r="AK32" i="130"/>
  <c r="AK33" i="130"/>
  <c r="AK34" i="130"/>
  <c r="AK35" i="130"/>
  <c r="AK36" i="130"/>
  <c r="AK37" i="130"/>
  <c r="AK38" i="130"/>
  <c r="AK39" i="130"/>
  <c r="AK40" i="130"/>
  <c r="AM8" i="130"/>
  <c r="AM9" i="130"/>
  <c r="AM10" i="130"/>
  <c r="AM11" i="130"/>
  <c r="AM12" i="130"/>
  <c r="AM7" i="130"/>
  <c r="AM2" i="130"/>
  <c r="AM3" i="130"/>
  <c r="AM4" i="130"/>
  <c r="AM5" i="130"/>
  <c r="AM6" i="130"/>
  <c r="AM1" i="130"/>
  <c r="AS36" i="130"/>
  <c r="AS37" i="130"/>
  <c r="AS38" i="130"/>
  <c r="AS39" i="130"/>
  <c r="AS40" i="130"/>
  <c r="AS35" i="130"/>
  <c r="AP36" i="130"/>
  <c r="AP37" i="130"/>
  <c r="AP38" i="130"/>
  <c r="AP39" i="130"/>
  <c r="AP40" i="130"/>
  <c r="AP35" i="130"/>
  <c r="AX36" i="130"/>
  <c r="AX37" i="130"/>
  <c r="AX38" i="130"/>
  <c r="AX39" i="130"/>
  <c r="AX40" i="130"/>
  <c r="AX35" i="130"/>
  <c r="AK50" i="130"/>
  <c r="AK51" i="130"/>
  <c r="AK52" i="130"/>
  <c r="AK53" i="130"/>
  <c r="AK54" i="130"/>
  <c r="AK49" i="130"/>
  <c r="AI50" i="130"/>
  <c r="AI51" i="130"/>
  <c r="AI52" i="130"/>
  <c r="AI53" i="130"/>
  <c r="AI54" i="130"/>
  <c r="AI49" i="130"/>
  <c r="AX50" i="130"/>
  <c r="AX51" i="130"/>
  <c r="AX52" i="130"/>
  <c r="AX53" i="130"/>
  <c r="AX54" i="130"/>
  <c r="AX49" i="130"/>
  <c r="AU30" i="130" l="1"/>
  <c r="AU31" i="130"/>
  <c r="AU32" i="130"/>
  <c r="AU33" i="130"/>
  <c r="AU34" i="130"/>
  <c r="AU35" i="130"/>
  <c r="AU36" i="130"/>
  <c r="AU37" i="130"/>
  <c r="AU38" i="130"/>
  <c r="AU39" i="130"/>
  <c r="AU40" i="130"/>
  <c r="AU29" i="130"/>
  <c r="AX73" i="130"/>
  <c r="AX74" i="130"/>
  <c r="AE69" i="130" l="1"/>
  <c r="AE68" i="130"/>
  <c r="AE67" i="130"/>
  <c r="AE66" i="130"/>
  <c r="AE65" i="130"/>
  <c r="AE64" i="130"/>
  <c r="AE63" i="130"/>
  <c r="AE62" i="130"/>
  <c r="AE61" i="130"/>
  <c r="AE60" i="130"/>
  <c r="AE59" i="130"/>
  <c r="AE58" i="130"/>
  <c r="AD34" i="130"/>
  <c r="AE26" i="130"/>
  <c r="AD25" i="130"/>
  <c r="AG25" i="130" s="1"/>
  <c r="AD24" i="130"/>
  <c r="AG24" i="130" s="1"/>
  <c r="AD23" i="130"/>
  <c r="AG23" i="130" s="1"/>
  <c r="AD22" i="130"/>
  <c r="AD19" i="130"/>
  <c r="AD17" i="130"/>
  <c r="AD18" i="130" s="1"/>
  <c r="AD16" i="130"/>
  <c r="AF16" i="130" s="1"/>
  <c r="AF5" i="130" s="1"/>
  <c r="AD13" i="130"/>
  <c r="AD4" i="130"/>
  <c r="AG4" i="130" s="1"/>
  <c r="AD3" i="130"/>
  <c r="AF3" i="130" s="1"/>
  <c r="AD2" i="130"/>
  <c r="AG2" i="130" s="1"/>
  <c r="AD26" i="130" l="1"/>
  <c r="AG34" i="130"/>
  <c r="AD33" i="130"/>
  <c r="AM43" i="130"/>
  <c r="AM45" i="130"/>
  <c r="AM48" i="130"/>
  <c r="AM44" i="130"/>
  <c r="AM46" i="130"/>
  <c r="AM47" i="130"/>
  <c r="AF24" i="130"/>
  <c r="AF25" i="130"/>
  <c r="AF2" i="130"/>
  <c r="AG3" i="130"/>
  <c r="AG16" i="130"/>
  <c r="AG5" i="130" s="1"/>
  <c r="AF34" i="130"/>
  <c r="AG18" i="130"/>
  <c r="AG7" i="130" s="1"/>
  <c r="AF18" i="130"/>
  <c r="AF7" i="130" s="1"/>
  <c r="AF22" i="130"/>
  <c r="AF17" i="130"/>
  <c r="AG17" i="130"/>
  <c r="AG22" i="130"/>
  <c r="AF23" i="130"/>
  <c r="AF4" i="130"/>
  <c r="AF26" i="130" l="1"/>
  <c r="AF27" i="130" s="1"/>
  <c r="AG26" i="130"/>
  <c r="AG27" i="130" s="1"/>
  <c r="AG33" i="130"/>
  <c r="AF33" i="130"/>
  <c r="AN46" i="130"/>
  <c r="AN43" i="130"/>
  <c r="AN48" i="130"/>
  <c r="AN45" i="130"/>
  <c r="AN47" i="130"/>
  <c r="AN44" i="130"/>
  <c r="AG19" i="130"/>
  <c r="AG20" i="130" s="1"/>
  <c r="AG6" i="130"/>
  <c r="AF19" i="130"/>
  <c r="AF20" i="130" s="1"/>
  <c r="AF6" i="130"/>
  <c r="B1" i="130" l="1"/>
  <c r="AU16" i="130" l="1"/>
  <c r="AU17" i="130"/>
  <c r="AU18" i="130"/>
  <c r="AU19" i="130"/>
  <c r="AU20" i="130"/>
  <c r="AU21" i="130"/>
  <c r="AU22" i="130"/>
  <c r="AU23" i="130"/>
  <c r="AU24" i="130"/>
  <c r="AU25" i="130"/>
  <c r="AU26" i="130"/>
  <c r="AU15" i="130"/>
  <c r="J27" i="130" l="1"/>
  <c r="AP50" i="130"/>
  <c r="AP51" i="130"/>
  <c r="AP52" i="130"/>
  <c r="AP53" i="130"/>
  <c r="AP54" i="130"/>
  <c r="AP49" i="130"/>
  <c r="AO50" i="130"/>
  <c r="AO51" i="130"/>
  <c r="AO52" i="130"/>
  <c r="AO53" i="130"/>
  <c r="AO54" i="130"/>
  <c r="AO49" i="130"/>
  <c r="AX55" i="130" l="1"/>
  <c r="AX56" i="130" s="1"/>
  <c r="E27" i="130" l="1"/>
  <c r="AU27" i="130" l="1"/>
  <c r="AU28" i="130" s="1"/>
  <c r="AP26" i="130"/>
  <c r="AP25" i="130"/>
  <c r="AP24" i="130"/>
  <c r="AP23" i="130"/>
  <c r="AP22" i="130"/>
  <c r="AP21" i="130"/>
  <c r="AP20" i="130"/>
  <c r="AP19" i="130"/>
  <c r="AP18" i="130"/>
  <c r="AP17" i="130"/>
  <c r="AP16" i="130"/>
  <c r="AP15" i="130"/>
  <c r="AN22" i="130"/>
  <c r="AS50" i="130" s="1"/>
  <c r="AN23" i="130"/>
  <c r="AS51" i="130" s="1"/>
  <c r="AN24" i="130"/>
  <c r="AS52" i="130" s="1"/>
  <c r="AN25" i="130"/>
  <c r="AS53" i="130" s="1"/>
  <c r="AN26" i="130"/>
  <c r="AS54" i="130" s="1"/>
  <c r="AN21" i="130"/>
  <c r="AS49" i="130" s="1"/>
  <c r="AN16" i="130"/>
  <c r="AS44" i="130" s="1"/>
  <c r="AN17" i="130"/>
  <c r="AS45" i="130" s="1"/>
  <c r="AN18" i="130"/>
  <c r="AS46" i="130" s="1"/>
  <c r="AN19" i="130"/>
  <c r="AS47" i="130" s="1"/>
  <c r="AN20" i="130"/>
  <c r="AS48" i="130" s="1"/>
  <c r="AM31" i="130" l="1"/>
  <c r="AY17" i="130"/>
  <c r="AM40" i="130"/>
  <c r="AY26" i="130"/>
  <c r="AM38" i="130"/>
  <c r="AY24" i="130"/>
  <c r="AM37" i="130"/>
  <c r="AY23" i="130"/>
  <c r="AM36" i="130"/>
  <c r="AY22" i="130"/>
  <c r="AM32" i="130"/>
  <c r="AY18" i="130"/>
  <c r="AM39" i="130"/>
  <c r="AY25" i="130"/>
  <c r="AM35" i="130"/>
  <c r="AY21" i="130"/>
  <c r="AM34" i="130"/>
  <c r="AY20" i="130"/>
  <c r="AM30" i="130"/>
  <c r="AY16" i="130"/>
  <c r="AM33" i="130"/>
  <c r="AY19" i="130"/>
  <c r="AW25" i="130"/>
  <c r="AI11" i="130"/>
  <c r="AK11" i="130"/>
  <c r="AW24" i="130"/>
  <c r="AI10" i="130"/>
  <c r="AK10" i="130"/>
  <c r="AW23" i="130"/>
  <c r="AI9" i="130"/>
  <c r="AK9" i="130"/>
  <c r="AW22" i="130"/>
  <c r="AI8" i="130"/>
  <c r="AK8" i="130"/>
  <c r="AW21" i="130"/>
  <c r="AI7" i="130"/>
  <c r="AK7" i="130"/>
  <c r="AW20" i="130"/>
  <c r="AI6" i="130"/>
  <c r="AK6" i="130"/>
  <c r="AW19" i="130"/>
  <c r="AI5" i="130"/>
  <c r="AK5" i="130"/>
  <c r="AW18" i="130"/>
  <c r="AI4" i="130"/>
  <c r="AK4" i="130"/>
  <c r="AW17" i="130"/>
  <c r="AI3" i="130"/>
  <c r="AK3" i="130"/>
  <c r="AW16" i="130"/>
  <c r="AI2" i="130"/>
  <c r="AK2" i="130"/>
  <c r="AW26" i="130"/>
  <c r="AI12" i="130"/>
  <c r="AK12" i="130"/>
  <c r="AV30" i="130" l="1"/>
  <c r="AO41" i="130"/>
  <c r="AY2" i="130"/>
  <c r="AY3" i="130"/>
  <c r="AY4" i="130"/>
  <c r="AY5" i="130"/>
  <c r="AY6" i="130"/>
  <c r="AY7" i="130"/>
  <c r="AY8" i="130"/>
  <c r="AY9" i="130"/>
  <c r="AY10" i="130"/>
  <c r="AY11" i="130"/>
  <c r="AY12" i="130"/>
  <c r="AY1" i="130"/>
  <c r="AV38" i="130"/>
  <c r="AV37" i="130"/>
  <c r="AV36" i="130"/>
  <c r="AV35" i="130"/>
  <c r="AV32" i="130"/>
  <c r="AV29" i="130"/>
  <c r="AV34" i="130"/>
  <c r="AN15" i="130"/>
  <c r="AY15" i="130" l="1"/>
  <c r="AS43" i="130"/>
  <c r="AM29" i="130"/>
  <c r="AK1" i="130"/>
  <c r="AI1" i="130"/>
  <c r="AW15" i="130"/>
  <c r="AP41" i="130"/>
  <c r="AP42" i="130" s="1"/>
  <c r="AV33" i="130"/>
  <c r="AV31" i="130"/>
  <c r="AU41" i="130"/>
  <c r="AU42" i="130" s="1"/>
  <c r="AV40" i="130"/>
  <c r="AV39" i="130"/>
  <c r="AT69" i="130"/>
  <c r="AT68" i="130"/>
  <c r="AT67" i="130"/>
  <c r="AT66" i="130"/>
  <c r="AT65" i="130"/>
  <c r="AT64" i="130"/>
  <c r="AT63" i="130"/>
  <c r="AT62" i="130"/>
  <c r="AT61" i="130"/>
  <c r="AT60" i="130"/>
  <c r="AT59" i="130"/>
  <c r="AT58" i="130"/>
  <c r="AF69" i="130"/>
  <c r="AF68" i="130"/>
  <c r="AF67" i="130"/>
  <c r="AF66" i="130"/>
  <c r="AF65" i="130"/>
  <c r="AF64" i="130"/>
  <c r="AF63" i="130"/>
  <c r="AF62" i="130"/>
  <c r="AF61" i="130"/>
  <c r="AF60" i="130"/>
  <c r="AI60" i="130"/>
  <c r="AF59" i="130"/>
  <c r="AF58" i="130"/>
  <c r="AJ58" i="130" l="1"/>
  <c r="AI58" i="130"/>
  <c r="AJ64" i="130"/>
  <c r="AI64" i="130"/>
  <c r="AJ65" i="130"/>
  <c r="AI65" i="130"/>
  <c r="AJ59" i="130"/>
  <c r="AI59" i="130"/>
  <c r="AJ68" i="130"/>
  <c r="AI68" i="130"/>
  <c r="AJ66" i="130"/>
  <c r="AI66" i="130"/>
  <c r="AJ61" i="130"/>
  <c r="AI61" i="130"/>
  <c r="AJ67" i="130"/>
  <c r="AI67" i="130"/>
  <c r="AJ62" i="130"/>
  <c r="AI62" i="130"/>
  <c r="AJ63" i="130"/>
  <c r="AI63" i="130"/>
  <c r="AJ69" i="130"/>
  <c r="AI69" i="130"/>
  <c r="AV41" i="130"/>
  <c r="AV42" i="130" s="1"/>
  <c r="AJ60" i="130"/>
  <c r="AT70" i="130"/>
  <c r="AT71" i="130" s="1"/>
  <c r="AJ70" i="130" l="1"/>
  <c r="AJ71" i="130" s="1"/>
  <c r="AI70" i="130"/>
  <c r="AI71" i="130" s="1"/>
  <c r="L27" i="130"/>
  <c r="K27" i="130"/>
  <c r="AW41" i="130"/>
  <c r="AT46" i="130"/>
  <c r="AT45" i="130"/>
  <c r="AM52" i="130" l="1"/>
  <c r="AM49" i="130"/>
  <c r="AM50" i="130"/>
  <c r="AM51" i="130"/>
  <c r="AM54" i="130"/>
  <c r="AM53" i="130"/>
  <c r="AI55" i="130"/>
  <c r="AI56" i="130" s="1"/>
  <c r="AK55" i="130"/>
  <c r="AK56" i="130" s="1"/>
  <c r="AX41" i="130"/>
  <c r="AX42" i="130" s="1"/>
  <c r="AN51" i="130" l="1"/>
  <c r="AN50" i="130"/>
  <c r="AN49" i="130"/>
  <c r="AN53" i="130"/>
  <c r="AN54" i="130"/>
  <c r="AN52" i="130"/>
  <c r="AW57" i="130"/>
  <c r="AV57" i="130"/>
  <c r="AG58" i="130"/>
  <c r="AG67" i="130" l="1"/>
  <c r="AG68" i="130"/>
  <c r="AG69" i="130"/>
  <c r="AO1" i="130"/>
  <c r="AO12" i="130"/>
  <c r="AP12" i="130" s="1"/>
  <c r="AO11" i="130"/>
  <c r="AP11" i="130" s="1"/>
  <c r="AO10" i="130"/>
  <c r="AP10" i="130" s="1"/>
  <c r="AO9" i="130"/>
  <c r="AP9" i="130" s="1"/>
  <c r="AO8" i="130"/>
  <c r="AP8" i="130" s="1"/>
  <c r="AO7" i="130"/>
  <c r="AP7" i="130" s="1"/>
  <c r="AO6" i="130"/>
  <c r="AP6" i="130" s="1"/>
  <c r="AO5" i="130"/>
  <c r="AP5" i="130" s="1"/>
  <c r="AO4" i="130"/>
  <c r="AP4" i="130" s="1"/>
  <c r="AO3" i="130"/>
  <c r="AP3" i="130" s="1"/>
  <c r="AO2" i="130"/>
  <c r="AP2" i="130" s="1"/>
  <c r="AG61" i="130"/>
  <c r="AG64" i="130"/>
  <c r="AG59" i="130"/>
  <c r="AG62" i="130"/>
  <c r="AG63" i="130"/>
  <c r="AG66" i="130"/>
  <c r="AG65" i="130"/>
  <c r="AG60" i="130"/>
  <c r="X2" i="130"/>
  <c r="AF77" i="130" l="1"/>
  <c r="AF80" i="130"/>
  <c r="AF83" i="130"/>
  <c r="AF74" i="130"/>
  <c r="AF79" i="130"/>
  <c r="AF81" i="130"/>
  <c r="AF84" i="130"/>
  <c r="AF78" i="130"/>
  <c r="AF82" i="130"/>
  <c r="AF75" i="130"/>
  <c r="AF76" i="130"/>
  <c r="AS1" i="130"/>
  <c r="AP1" i="130"/>
  <c r="AF73" i="130" s="1"/>
  <c r="AQ6" i="130"/>
  <c r="AS6" i="130"/>
  <c r="AQ8" i="130"/>
  <c r="AS8" i="130"/>
  <c r="AQ5" i="130"/>
  <c r="AS5" i="130"/>
  <c r="AQ7" i="130"/>
  <c r="AS7" i="130"/>
  <c r="AQ11" i="130"/>
  <c r="AS11" i="130"/>
  <c r="AQ12" i="130"/>
  <c r="AS12" i="130"/>
  <c r="AQ2" i="130"/>
  <c r="AS2" i="130"/>
  <c r="AQ9" i="130"/>
  <c r="AS9" i="130"/>
  <c r="AQ10" i="130"/>
  <c r="AS10" i="130"/>
  <c r="AQ3" i="130"/>
  <c r="AS3" i="130"/>
  <c r="AQ4" i="130"/>
  <c r="AS4" i="130"/>
  <c r="AT44" i="130"/>
  <c r="AT47" i="130"/>
  <c r="AT48" i="130"/>
  <c r="AT49" i="130"/>
  <c r="AT50" i="130"/>
  <c r="AO80" i="130" s="1"/>
  <c r="AT51" i="130"/>
  <c r="AO81" i="130" s="1"/>
  <c r="AT52" i="130"/>
  <c r="AO82" i="130" s="1"/>
  <c r="AT53" i="130"/>
  <c r="AO83" i="130" s="1"/>
  <c r="AT54" i="130"/>
  <c r="AO84" i="130" s="1"/>
  <c r="AT43" i="130"/>
  <c r="AO73" i="130" s="1"/>
  <c r="AQ1" i="130" l="1"/>
  <c r="AQ13" i="130" s="1"/>
  <c r="AQ14" i="130" s="1"/>
  <c r="AF85" i="130"/>
  <c r="AF86" i="130" s="1"/>
  <c r="AT10" i="130"/>
  <c r="AT9" i="130"/>
  <c r="AT8" i="130"/>
  <c r="AT11" i="130"/>
  <c r="AT12" i="130"/>
  <c r="AT7" i="130"/>
  <c r="AT6" i="130"/>
  <c r="AT5" i="130"/>
  <c r="AT2" i="130"/>
  <c r="AT4" i="130"/>
  <c r="AT1" i="130"/>
  <c r="AJ73" i="130" s="1"/>
  <c r="AT3" i="130"/>
  <c r="AV45" i="130" s="1"/>
  <c r="AP13" i="130"/>
  <c r="AP14" i="130" s="1"/>
  <c r="AS13" i="130"/>
  <c r="AS14" i="130" s="1"/>
  <c r="AR3" i="130"/>
  <c r="AR2" i="130"/>
  <c r="AR7" i="130"/>
  <c r="AV43" i="130" l="1"/>
  <c r="AJ78" i="130"/>
  <c r="AV48" i="130"/>
  <c r="AJ74" i="130"/>
  <c r="AV44" i="130"/>
  <c r="AJ83" i="130"/>
  <c r="AV53" i="130"/>
  <c r="AJ84" i="130"/>
  <c r="AV54" i="130"/>
  <c r="AJ80" i="130"/>
  <c r="AV50" i="130"/>
  <c r="AJ77" i="130"/>
  <c r="AV47" i="130"/>
  <c r="AJ81" i="130"/>
  <c r="AV51" i="130"/>
  <c r="AJ76" i="130"/>
  <c r="AV46" i="130"/>
  <c r="AJ79" i="130"/>
  <c r="AV49" i="130"/>
  <c r="AJ82" i="130"/>
  <c r="AV52" i="130"/>
  <c r="AU11" i="130"/>
  <c r="AW11" i="130" s="1"/>
  <c r="AU12" i="130"/>
  <c r="AV12" i="130" s="1"/>
  <c r="AU8" i="130"/>
  <c r="AU9" i="130"/>
  <c r="AU10" i="130"/>
  <c r="AU4" i="130"/>
  <c r="AU2" i="130"/>
  <c r="AU5" i="130"/>
  <c r="AU6" i="130"/>
  <c r="AU1" i="130"/>
  <c r="AV1" i="130" s="1"/>
  <c r="AU7" i="130"/>
  <c r="AT13" i="130"/>
  <c r="AT14" i="130" s="1"/>
  <c r="AJ75" i="130"/>
  <c r="AU3" i="130"/>
  <c r="AR9" i="130"/>
  <c r="AR10" i="130"/>
  <c r="AR5" i="130"/>
  <c r="AR6" i="130"/>
  <c r="AR12" i="130"/>
  <c r="AR8" i="130"/>
  <c r="AR4" i="130"/>
  <c r="AR11" i="130"/>
  <c r="AR1" i="130"/>
  <c r="AV11" i="130" l="1"/>
  <c r="AX11" i="130" s="1"/>
  <c r="AH39" i="130" s="1"/>
  <c r="AW12" i="130"/>
  <c r="AX12" i="130" s="1"/>
  <c r="AH40" i="130" s="1"/>
  <c r="AW10" i="130"/>
  <c r="AV10" i="130"/>
  <c r="AV9" i="130"/>
  <c r="AW9" i="130"/>
  <c r="AV8" i="130"/>
  <c r="AW8" i="130"/>
  <c r="AU13" i="130"/>
  <c r="AU14" i="130" s="1"/>
  <c r="AW1" i="130"/>
  <c r="AX1" i="130" s="1"/>
  <c r="AH29" i="130" s="1"/>
  <c r="AV7" i="130"/>
  <c r="AW7" i="130"/>
  <c r="AW2" i="130"/>
  <c r="AV2" i="130"/>
  <c r="AV6" i="130"/>
  <c r="AW6" i="130"/>
  <c r="AW5" i="130"/>
  <c r="AV5" i="130"/>
  <c r="AV4" i="130"/>
  <c r="AW4" i="130"/>
  <c r="AV3" i="130"/>
  <c r="AW3" i="130"/>
  <c r="AX75" i="130"/>
  <c r="AX76" i="130"/>
  <c r="AX77" i="130"/>
  <c r="AX78" i="130"/>
  <c r="AX79" i="130"/>
  <c r="AX80" i="130"/>
  <c r="AX81" i="130"/>
  <c r="AX82" i="130"/>
  <c r="AX83" i="130"/>
  <c r="AX84" i="130"/>
  <c r="AR72" i="130"/>
  <c r="AQ72" i="130"/>
  <c r="AF70" i="130"/>
  <c r="AF71" i="130" s="1"/>
  <c r="AE70" i="130"/>
  <c r="AE71" i="130" s="1"/>
  <c r="AP27" i="130"/>
  <c r="AP28" i="130" s="1"/>
  <c r="AX10" i="130" l="1"/>
  <c r="AH38" i="130" s="1"/>
  <c r="AX5" i="130"/>
  <c r="AH33" i="130" s="1"/>
  <c r="AX2" i="130"/>
  <c r="AH30" i="130" s="1"/>
  <c r="AX8" i="130"/>
  <c r="AH36" i="130" s="1"/>
  <c r="AX9" i="130"/>
  <c r="AH37" i="130" s="1"/>
  <c r="AW13" i="130"/>
  <c r="AW14" i="130" s="1"/>
  <c r="AX4" i="130"/>
  <c r="AH32" i="130" s="1"/>
  <c r="AX6" i="130"/>
  <c r="AH34" i="130" s="1"/>
  <c r="AO77" i="130"/>
  <c r="AO74" i="130"/>
  <c r="AV13" i="130"/>
  <c r="AV14" i="130" s="1"/>
  <c r="AX7" i="130"/>
  <c r="AH35" i="130" s="1"/>
  <c r="AX3" i="130"/>
  <c r="AH31" i="130" s="1"/>
  <c r="AO13" i="130"/>
  <c r="AO14" i="130" s="1"/>
  <c r="AX13" i="130" l="1"/>
  <c r="AX14" i="130" s="1"/>
  <c r="AO79" i="130"/>
  <c r="AO78" i="130"/>
  <c r="AO76" i="130"/>
  <c r="G27" i="130"/>
  <c r="F27" i="130"/>
  <c r="D27" i="130"/>
  <c r="AR41" i="130"/>
  <c r="I27" i="130"/>
  <c r="H27" i="130"/>
  <c r="AK59" i="130"/>
  <c r="AL59" i="130" s="1"/>
  <c r="AK60" i="130"/>
  <c r="AL60" i="130" s="1"/>
  <c r="AK61" i="130"/>
  <c r="AL61" i="130" s="1"/>
  <c r="AK62" i="130"/>
  <c r="AL62" i="130" s="1"/>
  <c r="AK63" i="130"/>
  <c r="AL63" i="130" s="1"/>
  <c r="AK64" i="130"/>
  <c r="AL64" i="130" s="1"/>
  <c r="AK65" i="130"/>
  <c r="AL65" i="130" s="1"/>
  <c r="AK66" i="130"/>
  <c r="AL66" i="130" s="1"/>
  <c r="AK67" i="130"/>
  <c r="AL67" i="130" s="1"/>
  <c r="AK68" i="130"/>
  <c r="AL68" i="130" s="1"/>
  <c r="AK69" i="130"/>
  <c r="AL69" i="130" s="1"/>
  <c r="AK58" i="130"/>
  <c r="AL58" i="130" s="1"/>
  <c r="BB66" i="130"/>
  <c r="BB68" i="130"/>
  <c r="BB69" i="130"/>
  <c r="BB59" i="130"/>
  <c r="AP59" i="130"/>
  <c r="AY13" i="130" l="1"/>
  <c r="AY14" i="130" s="1"/>
  <c r="AO75" i="130"/>
  <c r="AH41" i="130"/>
  <c r="AH42" i="130" s="1"/>
  <c r="AL70" i="130"/>
  <c r="AL71" i="130" s="1"/>
  <c r="AN58" i="130"/>
  <c r="AM58" i="130"/>
  <c r="AK70" i="130"/>
  <c r="AK71" i="130" s="1"/>
  <c r="BB67" i="130"/>
  <c r="BB65" i="130"/>
  <c r="BB64" i="130"/>
  <c r="BB63" i="130"/>
  <c r="BB62" i="130"/>
  <c r="BB61" i="130"/>
  <c r="BB60" i="130"/>
  <c r="BB58" i="130"/>
  <c r="AH65" i="130"/>
  <c r="AS58" i="130" l="1"/>
  <c r="AU58" i="130" s="1"/>
  <c r="AN66" i="130"/>
  <c r="AM66" i="130"/>
  <c r="AN65" i="130"/>
  <c r="AM65" i="130"/>
  <c r="AN68" i="130"/>
  <c r="AM68" i="130"/>
  <c r="AN62" i="130"/>
  <c r="AM62" i="130"/>
  <c r="AN64" i="130"/>
  <c r="AM64" i="130"/>
  <c r="AN61" i="130"/>
  <c r="AM61" i="130"/>
  <c r="AN69" i="130"/>
  <c r="AM69" i="130"/>
  <c r="AN63" i="130"/>
  <c r="AM63" i="130"/>
  <c r="AN59" i="130"/>
  <c r="AM59" i="130"/>
  <c r="AN60" i="130"/>
  <c r="AM60" i="130"/>
  <c r="AN67" i="130"/>
  <c r="AM67" i="130"/>
  <c r="BB70" i="130"/>
  <c r="BB71" i="130" s="1"/>
  <c r="AH68" i="130"/>
  <c r="AH64" i="130"/>
  <c r="AH67" i="130"/>
  <c r="AH66" i="130"/>
  <c r="AH69" i="130"/>
  <c r="AS67" i="130" l="1"/>
  <c r="AU67" i="130" s="1"/>
  <c r="AS69" i="130"/>
  <c r="AU69" i="130" s="1"/>
  <c r="AS66" i="130"/>
  <c r="AU66" i="130" s="1"/>
  <c r="AS64" i="130"/>
  <c r="AU64" i="130" s="1"/>
  <c r="AS65" i="130"/>
  <c r="AU65" i="130" s="1"/>
  <c r="AS62" i="130"/>
  <c r="AU62" i="130" s="1"/>
  <c r="AS68" i="130"/>
  <c r="AU68" i="130" s="1"/>
  <c r="AS60" i="130"/>
  <c r="AU60" i="130" s="1"/>
  <c r="AS63" i="130"/>
  <c r="AU63" i="130" s="1"/>
  <c r="AS59" i="130"/>
  <c r="AU59" i="130" s="1"/>
  <c r="AS61" i="130"/>
  <c r="AU61" i="130" s="1"/>
  <c r="AO55" i="130"/>
  <c r="AO56" i="130" s="1"/>
  <c r="AP55" i="130"/>
  <c r="AP56" i="130" s="1"/>
  <c r="AU70" i="130" l="1"/>
  <c r="AU71" i="130" s="1"/>
  <c r="AS70" i="130"/>
  <c r="AS71" i="130" s="1"/>
  <c r="AH63" i="130"/>
  <c r="AH62" i="130"/>
  <c r="AH61" i="130"/>
  <c r="AH60" i="130"/>
  <c r="AH59" i="130"/>
  <c r="AH58" i="130"/>
  <c r="AG70" i="130" l="1"/>
  <c r="AG71" i="130" s="1"/>
  <c r="AH70" i="130"/>
  <c r="AH71" i="130" s="1"/>
  <c r="AN70" i="130" l="1"/>
  <c r="AN71" i="130" s="1"/>
  <c r="BC58" i="130"/>
  <c r="AV58" i="130" l="1"/>
  <c r="AI15" i="130"/>
  <c r="AH16" i="130" l="1"/>
  <c r="AJ15" i="130"/>
  <c r="AS15" i="130" s="1"/>
  <c r="AK15" i="130"/>
  <c r="AL15" i="130" l="1"/>
  <c r="AI16" i="130"/>
  <c r="AH17" i="130" s="1"/>
  <c r="AJ16" i="130" l="1"/>
  <c r="AS16" i="130" s="1"/>
  <c r="AK16" i="130"/>
  <c r="AL16" i="130" l="1"/>
  <c r="AI17" i="130"/>
  <c r="AH18" i="130" l="1"/>
  <c r="AJ17" i="130"/>
  <c r="AS17" i="130" s="1"/>
  <c r="AK17" i="130"/>
  <c r="AL17" i="130" l="1"/>
  <c r="AI18" i="130"/>
  <c r="AH19" i="130" l="1"/>
  <c r="AJ18" i="130"/>
  <c r="AS18" i="130" s="1"/>
  <c r="AK18" i="130"/>
  <c r="AL18" i="130" l="1"/>
  <c r="AI19" i="130"/>
  <c r="AH20" i="130" s="1"/>
  <c r="AJ19" i="130" l="1"/>
  <c r="AS19" i="130" s="1"/>
  <c r="AK19" i="130"/>
  <c r="AL19" i="130" l="1"/>
  <c r="AI20" i="130"/>
  <c r="AH21" i="130" s="1"/>
  <c r="AK20" i="130" l="1"/>
  <c r="AJ20" i="130"/>
  <c r="AS20" i="130" s="1"/>
  <c r="AL20" i="130" l="1"/>
  <c r="AI21" i="130"/>
  <c r="AH22" i="130" s="1"/>
  <c r="AK21" i="130" l="1"/>
  <c r="AJ21" i="130"/>
  <c r="AS21" i="130" s="1"/>
  <c r="AL21" i="130" l="1"/>
  <c r="AI22" i="130"/>
  <c r="AH23" i="130" s="1"/>
  <c r="AJ22" i="130" l="1"/>
  <c r="AS22" i="130" s="1"/>
  <c r="AK22" i="130"/>
  <c r="AL22" i="130" l="1"/>
  <c r="AI23" i="130"/>
  <c r="AH24" i="130" s="1"/>
  <c r="AJ23" i="130" l="1"/>
  <c r="AS23" i="130" s="1"/>
  <c r="AK23" i="130"/>
  <c r="AL23" i="130" l="1"/>
  <c r="AI24" i="130"/>
  <c r="AH25" i="130" s="1"/>
  <c r="AK24" i="130" l="1"/>
  <c r="AJ24" i="130"/>
  <c r="AS24" i="130" s="1"/>
  <c r="AL24" i="130" l="1"/>
  <c r="AI25" i="130"/>
  <c r="AH26" i="130" s="1"/>
  <c r="AK25" i="130" l="1"/>
  <c r="AJ25" i="130"/>
  <c r="AS25" i="130" s="1"/>
  <c r="AL25" i="130" l="1"/>
  <c r="AI26" i="130"/>
  <c r="AJ26" i="130" l="1"/>
  <c r="AS26" i="130" s="1"/>
  <c r="AK26" i="130"/>
  <c r="AK27" i="130" s="1"/>
  <c r="AJ27" i="130" l="1"/>
  <c r="AL26" i="130"/>
  <c r="AL27" i="130" s="1"/>
  <c r="AP62" i="130" l="1"/>
  <c r="AP61" i="130"/>
  <c r="AP60" i="130"/>
  <c r="AR59" i="130" l="1"/>
  <c r="AR60" i="130" s="1"/>
  <c r="AR61" i="130" s="1"/>
  <c r="AR62" i="130" s="1"/>
  <c r="BC63" i="130" l="1"/>
  <c r="BC61" i="130"/>
  <c r="BC59" i="130"/>
  <c r="AV59" i="130" l="1"/>
  <c r="AW59" i="130" s="1"/>
  <c r="BC60" i="130"/>
  <c r="AV63" i="130"/>
  <c r="AW63" i="130" s="1"/>
  <c r="BC62" i="130"/>
  <c r="AV61" i="130"/>
  <c r="AW61" i="130" s="1"/>
  <c r="AV62" i="130" l="1"/>
  <c r="AW62" i="130" s="1"/>
  <c r="AV60" i="130"/>
  <c r="AW60" i="130" s="1"/>
  <c r="AV64" i="130"/>
  <c r="AW64" i="130" s="1"/>
  <c r="BC64" i="130"/>
  <c r="BC68" i="130" l="1"/>
  <c r="BC66" i="130"/>
  <c r="BC67" i="130"/>
  <c r="BC65" i="130"/>
  <c r="BC69" i="130"/>
  <c r="AV68" i="130" l="1"/>
  <c r="AW68" i="130" s="1"/>
  <c r="AV67" i="130"/>
  <c r="AW67" i="130" s="1"/>
  <c r="BC70" i="130"/>
  <c r="BC71" i="130" s="1"/>
  <c r="AM70" i="130"/>
  <c r="AM71" i="130" s="1"/>
  <c r="AV65" i="130"/>
  <c r="AW65" i="130" s="1"/>
  <c r="AV66" i="130"/>
  <c r="AW66" i="130" s="1"/>
  <c r="AV69" i="130" l="1"/>
  <c r="AW69" i="130" s="1"/>
  <c r="AX69" i="130" s="1"/>
  <c r="AY69" i="130" s="1"/>
  <c r="AZ69" i="130" s="1"/>
  <c r="AW58" i="130"/>
  <c r="AX58" i="130" s="1"/>
  <c r="AY58" i="130" s="1"/>
  <c r="AZ58" i="130" s="1"/>
  <c r="AX60" i="130"/>
  <c r="AY60" i="130" s="1"/>
  <c r="AZ60" i="130" s="1"/>
  <c r="AX61" i="130"/>
  <c r="AY61" i="130" s="1"/>
  <c r="AZ61" i="130" s="1"/>
  <c r="AX62" i="130"/>
  <c r="AY62" i="130" s="1"/>
  <c r="AZ62" i="130" s="1"/>
  <c r="AX63" i="130"/>
  <c r="AY63" i="130" s="1"/>
  <c r="AZ63" i="130" s="1"/>
  <c r="AX64" i="130"/>
  <c r="AY64" i="130" s="1"/>
  <c r="AZ64" i="130" s="1"/>
  <c r="AX65" i="130"/>
  <c r="AY65" i="130" s="1"/>
  <c r="AZ65" i="130" s="1"/>
  <c r="AX66" i="130"/>
  <c r="AY66" i="130" s="1"/>
  <c r="AZ66" i="130" s="1"/>
  <c r="AX67" i="130"/>
  <c r="AY67" i="130" s="1"/>
  <c r="AZ67" i="130" s="1"/>
  <c r="AX68" i="130"/>
  <c r="AY68" i="130" s="1"/>
  <c r="AZ68" i="130" s="1"/>
  <c r="BA66" i="130" l="1"/>
  <c r="BA65" i="130"/>
  <c r="BA62" i="130"/>
  <c r="BA67" i="130"/>
  <c r="BA64" i="130"/>
  <c r="BA60" i="130"/>
  <c r="BA58" i="130"/>
  <c r="BA68" i="130"/>
  <c r="BA63" i="130"/>
  <c r="BA61" i="130"/>
  <c r="BA69" i="130"/>
  <c r="AX59" i="130"/>
  <c r="AY59" i="130" s="1"/>
  <c r="AZ59" i="130" s="1"/>
  <c r="BA59" i="130" l="1"/>
  <c r="AZ70" i="130" l="1"/>
  <c r="AZ71" i="130" s="1"/>
  <c r="AN27" i="130" l="1"/>
  <c r="AN28" i="130" s="1"/>
  <c r="AK13" i="130" l="1"/>
  <c r="AK14" i="130" s="1"/>
  <c r="AI13" i="130"/>
  <c r="AI14" i="130" s="1"/>
  <c r="AW27" i="130"/>
  <c r="AW28" i="130" s="1"/>
  <c r="AM41" i="130"/>
  <c r="AS27" i="130"/>
  <c r="AS28" i="130" s="1"/>
  <c r="AM42" i="130" l="1"/>
  <c r="AJ85" i="130"/>
  <c r="AJ86" i="130" s="1"/>
  <c r="AO85" i="130" l="1"/>
  <c r="AO86" i="130" s="1"/>
  <c r="AS41" i="130" l="1"/>
  <c r="AS42" i="130" s="1"/>
  <c r="AT55" i="130" l="1"/>
  <c r="AT56" i="130" s="1"/>
  <c r="AS55" i="130"/>
  <c r="AS56" i="130" l="1"/>
  <c r="AC17" i="130" s="1"/>
  <c r="AB17" i="130" s="1"/>
  <c r="AR13" i="130" l="1"/>
  <c r="AR14" i="130" s="1"/>
  <c r="AM13" i="130" l="1"/>
  <c r="AV55" i="130" l="1"/>
  <c r="AV56" i="130" s="1"/>
  <c r="AM14" i="130"/>
  <c r="AM55" i="130" l="1"/>
  <c r="AM56" i="130" s="1"/>
  <c r="AN55" i="130"/>
  <c r="AN56" i="130" s="1"/>
  <c r="AY27" i="130" l="1"/>
  <c r="AY28" i="130" s="1"/>
  <c r="AK41" i="130" l="1"/>
  <c r="AK42" i="130" s="1"/>
  <c r="AC8" i="130"/>
  <c r="AB8" i="130" s="1"/>
  <c r="AB1" i="130"/>
  <c r="AC1" i="130"/>
  <c r="AH1" i="130"/>
  <c r="AJ1" i="130"/>
  <c r="AL1" i="130"/>
  <c r="AN1" i="130"/>
  <c r="AB2" i="130"/>
  <c r="AC2" i="130"/>
  <c r="AH2" i="130"/>
  <c r="AJ2" i="130"/>
  <c r="AL2" i="130"/>
  <c r="AN2" i="130"/>
  <c r="AB3" i="130"/>
  <c r="AC3" i="130"/>
  <c r="AH3" i="130"/>
  <c r="AJ3" i="130"/>
  <c r="AL3" i="130"/>
  <c r="AN3" i="130"/>
  <c r="AB4" i="130"/>
  <c r="AC4" i="130"/>
  <c r="AH4" i="130"/>
  <c r="AJ4" i="130"/>
  <c r="AL4" i="130"/>
  <c r="AN4" i="130"/>
  <c r="AB5" i="130"/>
  <c r="AC5" i="130"/>
  <c r="AH5" i="130"/>
  <c r="AJ5" i="130"/>
  <c r="AL5" i="130"/>
  <c r="AN5" i="130"/>
  <c r="AB6" i="130"/>
  <c r="AC6" i="130"/>
  <c r="AH6" i="130"/>
  <c r="AJ6" i="130"/>
  <c r="AL6" i="130"/>
  <c r="AN6" i="130"/>
  <c r="AB7" i="130"/>
  <c r="AC7" i="130"/>
  <c r="AH7" i="130"/>
  <c r="AJ7" i="130"/>
  <c r="AL7" i="130"/>
  <c r="AN7" i="130"/>
  <c r="AH8" i="130"/>
  <c r="AJ8" i="130"/>
  <c r="AL8" i="130"/>
  <c r="AN8" i="130"/>
  <c r="AB9" i="130"/>
  <c r="AC9" i="130"/>
  <c r="AH9" i="130"/>
  <c r="AJ9" i="130"/>
  <c r="AL9" i="130"/>
  <c r="AN9" i="130"/>
  <c r="AB10" i="130"/>
  <c r="AC10" i="130"/>
  <c r="AH10" i="130"/>
  <c r="AJ10" i="130"/>
  <c r="AL10" i="130"/>
  <c r="AN10" i="130"/>
  <c r="AB11" i="130"/>
  <c r="AC11" i="130"/>
  <c r="AH11" i="130"/>
  <c r="AJ11" i="130"/>
  <c r="AL11" i="130"/>
  <c r="AN11" i="130"/>
  <c r="AB12" i="130"/>
  <c r="AC12" i="130"/>
  <c r="AH12" i="130"/>
  <c r="AJ12" i="130"/>
  <c r="AL12" i="130"/>
  <c r="AN12" i="130"/>
  <c r="AB13" i="130"/>
  <c r="AC13" i="130"/>
  <c r="AH13" i="130"/>
  <c r="AJ13" i="130"/>
  <c r="AL13" i="130"/>
  <c r="AN13" i="130"/>
  <c r="AB14" i="130"/>
  <c r="AC14" i="130"/>
  <c r="AH14" i="130"/>
  <c r="AJ14" i="130"/>
  <c r="AL14" i="130"/>
  <c r="AN14" i="130"/>
  <c r="A15" i="130"/>
  <c r="Q15" i="130"/>
  <c r="R15" i="130"/>
  <c r="S15" i="130"/>
  <c r="AB15" i="130"/>
  <c r="AC15" i="130"/>
  <c r="AO15" i="130"/>
  <c r="AQ15" i="130"/>
  <c r="AT15" i="130"/>
  <c r="AV15" i="130"/>
  <c r="AX15" i="130"/>
  <c r="A16" i="130"/>
  <c r="Q16" i="130"/>
  <c r="R16" i="130"/>
  <c r="S16" i="130"/>
  <c r="AB16" i="130"/>
  <c r="AC16" i="130"/>
  <c r="AO16" i="130"/>
  <c r="AQ16" i="130"/>
  <c r="AT16" i="130"/>
  <c r="AV16" i="130"/>
  <c r="AX16" i="130"/>
  <c r="A17" i="130"/>
  <c r="Q17" i="130"/>
  <c r="R17" i="130"/>
  <c r="S17" i="130"/>
  <c r="AO17" i="130"/>
  <c r="AQ17" i="130"/>
  <c r="AT17" i="130"/>
  <c r="AV17" i="130"/>
  <c r="AX17" i="130"/>
  <c r="A18" i="130"/>
  <c r="Q18" i="130"/>
  <c r="R18" i="130"/>
  <c r="S18" i="130"/>
  <c r="AB18" i="130"/>
  <c r="AC18" i="130"/>
  <c r="AO18" i="130"/>
  <c r="AQ18" i="130"/>
  <c r="AT18" i="130"/>
  <c r="AV18" i="130"/>
  <c r="AX18" i="130"/>
  <c r="A19" i="130"/>
  <c r="Q19" i="130"/>
  <c r="R19" i="130"/>
  <c r="S19" i="130"/>
  <c r="AB19" i="130"/>
  <c r="AC19" i="130"/>
  <c r="AO19" i="130"/>
  <c r="AQ19" i="130"/>
  <c r="AT19" i="130"/>
  <c r="AV19" i="130"/>
  <c r="AX19" i="130"/>
  <c r="A20" i="130"/>
  <c r="Q20" i="130"/>
  <c r="R20" i="130"/>
  <c r="S20" i="130"/>
  <c r="AB20" i="130"/>
  <c r="AC20" i="130"/>
  <c r="AO20" i="130"/>
  <c r="AQ20" i="130"/>
  <c r="AT20" i="130"/>
  <c r="AV20" i="130"/>
  <c r="AX20" i="130"/>
  <c r="A21" i="130"/>
  <c r="Q21" i="130"/>
  <c r="R21" i="130"/>
  <c r="S21" i="130"/>
  <c r="AB21" i="130"/>
  <c r="AC21" i="130"/>
  <c r="AO21" i="130"/>
  <c r="AQ21" i="130"/>
  <c r="AT21" i="130"/>
  <c r="AV21" i="130"/>
  <c r="AX21" i="130"/>
  <c r="A22" i="130"/>
  <c r="Q22" i="130"/>
  <c r="R22" i="130"/>
  <c r="S22" i="130"/>
  <c r="AB22" i="130"/>
  <c r="AC22" i="130"/>
  <c r="AO22" i="130"/>
  <c r="AQ22" i="130"/>
  <c r="AT22" i="130"/>
  <c r="AV22" i="130"/>
  <c r="AX22" i="130"/>
  <c r="A23" i="130"/>
  <c r="Q23" i="130"/>
  <c r="R23" i="130"/>
  <c r="S23" i="130"/>
  <c r="AB23" i="130"/>
  <c r="AC23" i="130"/>
  <c r="AO23" i="130"/>
  <c r="AQ23" i="130"/>
  <c r="AT23" i="130"/>
  <c r="AV23" i="130"/>
  <c r="AX23" i="130"/>
  <c r="A24" i="130"/>
  <c r="Q24" i="130"/>
  <c r="R24" i="130"/>
  <c r="S24" i="130"/>
  <c r="AB24" i="130"/>
  <c r="AC24" i="130"/>
  <c r="AO24" i="130"/>
  <c r="AQ24" i="130"/>
  <c r="AT24" i="130"/>
  <c r="AV24" i="130"/>
  <c r="AX24" i="130"/>
  <c r="A25" i="130"/>
  <c r="Q25" i="130"/>
  <c r="R25" i="130"/>
  <c r="S25" i="130"/>
  <c r="AB25" i="130"/>
  <c r="AC25" i="130"/>
  <c r="AO25" i="130"/>
  <c r="AQ25" i="130"/>
  <c r="AT25" i="130"/>
  <c r="AV25" i="130"/>
  <c r="AX25" i="130"/>
  <c r="A26" i="130"/>
  <c r="Q26" i="130"/>
  <c r="R26" i="130"/>
  <c r="S26" i="130"/>
  <c r="AO26" i="130"/>
  <c r="AQ26" i="130"/>
  <c r="AT26" i="130"/>
  <c r="AV26" i="130"/>
  <c r="AX26" i="130"/>
  <c r="Q27" i="130"/>
  <c r="R27" i="130"/>
  <c r="S27" i="130"/>
  <c r="AO27" i="130"/>
  <c r="AQ27" i="130"/>
  <c r="AT27" i="130"/>
  <c r="AV27" i="130"/>
  <c r="AX27" i="130"/>
  <c r="A28" i="130"/>
  <c r="Q28" i="130"/>
  <c r="R28" i="130"/>
  <c r="S28" i="130"/>
  <c r="AO28" i="130"/>
  <c r="AQ28" i="130"/>
  <c r="AT28" i="130"/>
  <c r="AV28" i="130"/>
  <c r="AX28" i="130"/>
  <c r="AI29" i="130"/>
  <c r="AJ29" i="130"/>
  <c r="AN29" i="130"/>
  <c r="AQ29" i="130"/>
  <c r="AT29" i="130"/>
  <c r="AY29" i="130"/>
  <c r="AI30" i="130"/>
  <c r="AJ30" i="130"/>
  <c r="AN30" i="130"/>
  <c r="AQ30" i="130"/>
  <c r="AT30" i="130"/>
  <c r="AY30" i="130"/>
  <c r="AI31" i="130"/>
  <c r="AJ31" i="130"/>
  <c r="AN31" i="130"/>
  <c r="AQ31" i="130"/>
  <c r="AT31" i="130"/>
  <c r="AY31" i="130"/>
  <c r="AI32" i="130"/>
  <c r="AJ32" i="130"/>
  <c r="AN32" i="130"/>
  <c r="AQ32" i="130"/>
  <c r="AT32" i="130"/>
  <c r="AY32" i="130"/>
  <c r="AI33" i="130"/>
  <c r="AJ33" i="130"/>
  <c r="AN33" i="130"/>
  <c r="AQ33" i="130"/>
  <c r="AT33" i="130"/>
  <c r="AY33" i="130"/>
  <c r="AI34" i="130"/>
  <c r="AJ34" i="130"/>
  <c r="AN34" i="130"/>
  <c r="AQ34" i="130"/>
  <c r="AT34" i="130"/>
  <c r="AY34" i="130"/>
  <c r="AI35" i="130"/>
  <c r="AJ35" i="130"/>
  <c r="AN35" i="130"/>
  <c r="AQ35" i="130"/>
  <c r="AT35" i="130"/>
  <c r="AY35" i="130"/>
  <c r="AI36" i="130"/>
  <c r="AJ36" i="130"/>
  <c r="AN36" i="130"/>
  <c r="AQ36" i="130"/>
  <c r="AT36" i="130"/>
  <c r="AY36" i="130"/>
  <c r="AI37" i="130"/>
  <c r="AJ37" i="130"/>
  <c r="AN37" i="130"/>
  <c r="AQ37" i="130"/>
  <c r="AT37" i="130"/>
  <c r="AY37" i="130"/>
  <c r="AI38" i="130"/>
  <c r="AJ38" i="130"/>
  <c r="AN38" i="130"/>
  <c r="AQ38" i="130"/>
  <c r="AT38" i="130"/>
  <c r="AY38" i="130"/>
  <c r="AI39" i="130"/>
  <c r="AJ39" i="130"/>
  <c r="AN39" i="130"/>
  <c r="AQ39" i="130"/>
  <c r="AT39" i="130"/>
  <c r="AY39" i="130"/>
  <c r="AI40" i="130"/>
  <c r="AJ40" i="130"/>
  <c r="AN40" i="130"/>
  <c r="AQ40" i="130"/>
  <c r="AT40" i="130"/>
  <c r="AY40" i="130"/>
  <c r="AI41" i="130"/>
  <c r="AJ41" i="130"/>
  <c r="AN41" i="130"/>
  <c r="AQ41" i="130"/>
  <c r="AT41" i="130"/>
  <c r="AY41" i="130"/>
  <c r="AI42" i="130"/>
  <c r="AJ42" i="130"/>
  <c r="AN42" i="130"/>
  <c r="AQ42" i="130"/>
  <c r="AT42" i="130"/>
  <c r="AY42" i="130"/>
  <c r="AH43" i="130"/>
  <c r="AJ43" i="130"/>
  <c r="AL43" i="130"/>
  <c r="AQ43" i="130"/>
  <c r="AU43" i="130"/>
  <c r="AW43" i="130"/>
  <c r="AH44" i="130"/>
  <c r="AJ44" i="130"/>
  <c r="AL44" i="130"/>
  <c r="AQ44" i="130"/>
  <c r="AU44" i="130"/>
  <c r="AW44" i="130"/>
  <c r="AH45" i="130"/>
  <c r="AJ45" i="130"/>
  <c r="AL45" i="130"/>
  <c r="AQ45" i="130"/>
  <c r="AU45" i="130"/>
  <c r="AW45" i="130"/>
  <c r="AH46" i="130"/>
  <c r="AJ46" i="130"/>
  <c r="AL46" i="130"/>
  <c r="AQ46" i="130"/>
  <c r="AU46" i="130"/>
  <c r="AW46" i="130"/>
  <c r="AH47" i="130"/>
  <c r="AJ47" i="130"/>
  <c r="AL47" i="130"/>
  <c r="AQ47" i="130"/>
  <c r="AU47" i="130"/>
  <c r="AW47" i="130"/>
  <c r="AH48" i="130"/>
  <c r="AJ48" i="130"/>
  <c r="AL48" i="130"/>
  <c r="AQ48" i="130"/>
  <c r="AU48" i="130"/>
  <c r="AW48" i="130"/>
  <c r="AH49" i="130"/>
  <c r="AJ49" i="130"/>
  <c r="AL49" i="130"/>
  <c r="AQ49" i="130"/>
  <c r="AU49" i="130"/>
  <c r="AW49" i="130"/>
  <c r="AH50" i="130"/>
  <c r="AJ50" i="130"/>
  <c r="AL50" i="130"/>
  <c r="AQ50" i="130"/>
  <c r="AU50" i="130"/>
  <c r="AW50" i="130"/>
  <c r="AH51" i="130"/>
  <c r="AJ51" i="130"/>
  <c r="AL51" i="130"/>
  <c r="AQ51" i="130"/>
  <c r="AU51" i="130"/>
  <c r="AW51" i="130"/>
  <c r="AH52" i="130"/>
  <c r="AJ52" i="130"/>
  <c r="AL52" i="130"/>
  <c r="AQ52" i="130"/>
  <c r="AU52" i="130"/>
  <c r="AW52" i="130"/>
  <c r="AH53" i="130"/>
  <c r="AJ53" i="130"/>
  <c r="AL53" i="130"/>
  <c r="AQ53" i="130"/>
  <c r="AU53" i="130"/>
  <c r="AW53" i="130"/>
  <c r="AH54" i="130"/>
  <c r="AJ54" i="130"/>
  <c r="AL54" i="130"/>
  <c r="AQ54" i="130"/>
  <c r="AU54" i="130"/>
  <c r="AW54" i="130"/>
  <c r="AH55" i="130"/>
  <c r="AJ55" i="130"/>
  <c r="AL55" i="130"/>
  <c r="AQ55" i="130"/>
  <c r="AU55" i="130"/>
  <c r="AW55" i="130"/>
  <c r="AH56" i="130"/>
  <c r="AJ56" i="130"/>
  <c r="AL56" i="130"/>
  <c r="AQ56" i="130"/>
  <c r="AU56" i="130"/>
  <c r="AW56" i="130"/>
  <c r="AE73" i="130"/>
  <c r="AG73" i="130"/>
  <c r="AH73" i="130"/>
  <c r="AI73" i="130"/>
  <c r="AK73" i="130"/>
  <c r="AL73" i="130"/>
  <c r="AM73" i="130"/>
  <c r="AN73" i="130"/>
  <c r="AP73" i="130"/>
  <c r="AQ73" i="130"/>
  <c r="AR73" i="130"/>
  <c r="AS73" i="130"/>
  <c r="AT73" i="130"/>
  <c r="AU73" i="130"/>
  <c r="AV73" i="130"/>
  <c r="AW73" i="130"/>
  <c r="AY73" i="130"/>
  <c r="AZ73" i="130"/>
  <c r="BA73" i="130"/>
  <c r="BB73" i="130"/>
  <c r="BC73" i="130"/>
  <c r="BD73" i="130"/>
  <c r="AE74" i="130"/>
  <c r="AG74" i="130"/>
  <c r="AH74" i="130"/>
  <c r="AI74" i="130"/>
  <c r="AK74" i="130"/>
  <c r="AL74" i="130"/>
  <c r="AM74" i="130"/>
  <c r="AN74" i="130"/>
  <c r="AP74" i="130"/>
  <c r="AQ74" i="130"/>
  <c r="AR74" i="130"/>
  <c r="AS74" i="130"/>
  <c r="AT74" i="130"/>
  <c r="AU74" i="130"/>
  <c r="AV74" i="130"/>
  <c r="AW74" i="130"/>
  <c r="AY74" i="130"/>
  <c r="AZ74" i="130"/>
  <c r="BA74" i="130"/>
  <c r="BB74" i="130"/>
  <c r="BC74" i="130"/>
  <c r="BD74" i="130"/>
  <c r="AE75" i="130"/>
  <c r="AG75" i="130"/>
  <c r="AH75" i="130"/>
  <c r="AI75" i="130"/>
  <c r="AK75" i="130"/>
  <c r="AL75" i="130"/>
  <c r="AM75" i="130"/>
  <c r="AN75" i="130"/>
  <c r="AP75" i="130"/>
  <c r="AQ75" i="130"/>
  <c r="AR75" i="130"/>
  <c r="AS75" i="130"/>
  <c r="AT75" i="130"/>
  <c r="AU75" i="130"/>
  <c r="AV75" i="130"/>
  <c r="AW75" i="130"/>
  <c r="AY75" i="130"/>
  <c r="AZ75" i="130"/>
  <c r="BA75" i="130"/>
  <c r="BB75" i="130"/>
  <c r="BC75" i="130"/>
  <c r="BD75" i="130"/>
  <c r="AE76" i="130"/>
  <c r="AG76" i="130"/>
  <c r="AH76" i="130"/>
  <c r="AI76" i="130"/>
  <c r="AK76" i="130"/>
  <c r="AL76" i="130"/>
  <c r="AM76" i="130"/>
  <c r="AN76" i="130"/>
  <c r="AP76" i="130"/>
  <c r="AQ76" i="130"/>
  <c r="AR76" i="130"/>
  <c r="AS76" i="130"/>
  <c r="AT76" i="130"/>
  <c r="AU76" i="130"/>
  <c r="AV76" i="130"/>
  <c r="AW76" i="130"/>
  <c r="AY76" i="130"/>
  <c r="AZ76" i="130"/>
  <c r="BA76" i="130"/>
  <c r="BB76" i="130"/>
  <c r="BC76" i="130"/>
  <c r="BD76" i="130"/>
  <c r="AE77" i="130"/>
  <c r="AG77" i="130"/>
  <c r="AH77" i="130"/>
  <c r="AI77" i="130"/>
  <c r="AK77" i="130"/>
  <c r="AL77" i="130"/>
  <c r="AM77" i="130"/>
  <c r="AN77" i="130"/>
  <c r="AP77" i="130"/>
  <c r="AQ77" i="130"/>
  <c r="AR77" i="130"/>
  <c r="AS77" i="130"/>
  <c r="AT77" i="130"/>
  <c r="AU77" i="130"/>
  <c r="AV77" i="130"/>
  <c r="AW77" i="130"/>
  <c r="AY77" i="130"/>
  <c r="AZ77" i="130"/>
  <c r="BA77" i="130"/>
  <c r="BB77" i="130"/>
  <c r="BC77" i="130"/>
  <c r="BD77" i="130"/>
  <c r="AE78" i="130"/>
  <c r="AG78" i="130"/>
  <c r="AH78" i="130"/>
  <c r="AI78" i="130"/>
  <c r="AK78" i="130"/>
  <c r="AL78" i="130"/>
  <c r="AM78" i="130"/>
  <c r="AN78" i="130"/>
  <c r="AP78" i="130"/>
  <c r="AQ78" i="130"/>
  <c r="AR78" i="130"/>
  <c r="AS78" i="130"/>
  <c r="AT78" i="130"/>
  <c r="AU78" i="130"/>
  <c r="AV78" i="130"/>
  <c r="AW78" i="130"/>
  <c r="AY78" i="130"/>
  <c r="AZ78" i="130"/>
  <c r="BA78" i="130"/>
  <c r="BB78" i="130"/>
  <c r="BC78" i="130"/>
  <c r="BD78" i="130"/>
  <c r="AE79" i="130"/>
  <c r="AG79" i="130"/>
  <c r="AH79" i="130"/>
  <c r="AI79" i="130"/>
  <c r="AK79" i="130"/>
  <c r="AL79" i="130"/>
  <c r="AM79" i="130"/>
  <c r="AN79" i="130"/>
  <c r="AP79" i="130"/>
  <c r="AQ79" i="130"/>
  <c r="AR79" i="130"/>
  <c r="AS79" i="130"/>
  <c r="AT79" i="130"/>
  <c r="AU79" i="130"/>
  <c r="AV79" i="130"/>
  <c r="AW79" i="130"/>
  <c r="AY79" i="130"/>
  <c r="AZ79" i="130"/>
  <c r="BA79" i="130"/>
  <c r="BB79" i="130"/>
  <c r="BC79" i="130"/>
  <c r="BD79" i="130"/>
  <c r="AE80" i="130"/>
  <c r="AG80" i="130"/>
  <c r="AH80" i="130"/>
  <c r="AI80" i="130"/>
  <c r="AK80" i="130"/>
  <c r="AL80" i="130"/>
  <c r="AM80" i="130"/>
  <c r="AN80" i="130"/>
  <c r="AP80" i="130"/>
  <c r="AQ80" i="130"/>
  <c r="AR80" i="130"/>
  <c r="AS80" i="130"/>
  <c r="AT80" i="130"/>
  <c r="AU80" i="130"/>
  <c r="AV80" i="130"/>
  <c r="AW80" i="130"/>
  <c r="AY80" i="130"/>
  <c r="AZ80" i="130"/>
  <c r="BA80" i="130"/>
  <c r="BB80" i="130"/>
  <c r="BC80" i="130"/>
  <c r="BD80" i="130"/>
  <c r="AE81" i="130"/>
  <c r="AG81" i="130"/>
  <c r="AH81" i="130"/>
  <c r="AI81" i="130"/>
  <c r="AK81" i="130"/>
  <c r="AL81" i="130"/>
  <c r="AM81" i="130"/>
  <c r="AN81" i="130"/>
  <c r="AP81" i="130"/>
  <c r="AQ81" i="130"/>
  <c r="AR81" i="130"/>
  <c r="AS81" i="130"/>
  <c r="AT81" i="130"/>
  <c r="AU81" i="130"/>
  <c r="AV81" i="130"/>
  <c r="AW81" i="130"/>
  <c r="AY81" i="130"/>
  <c r="AZ81" i="130"/>
  <c r="BA81" i="130"/>
  <c r="BB81" i="130"/>
  <c r="BC81" i="130"/>
  <c r="BD81" i="130"/>
  <c r="AE82" i="130"/>
  <c r="AG82" i="130"/>
  <c r="AH82" i="130"/>
  <c r="AI82" i="130"/>
  <c r="AK82" i="130"/>
  <c r="AL82" i="130"/>
  <c r="AM82" i="130"/>
  <c r="AN82" i="130"/>
  <c r="AP82" i="130"/>
  <c r="AQ82" i="130"/>
  <c r="AR82" i="130"/>
  <c r="AS82" i="130"/>
  <c r="AT82" i="130"/>
  <c r="AU82" i="130"/>
  <c r="AV82" i="130"/>
  <c r="AW82" i="130"/>
  <c r="AY82" i="130"/>
  <c r="AZ82" i="130"/>
  <c r="BA82" i="130"/>
  <c r="BB82" i="130"/>
  <c r="BC82" i="130"/>
  <c r="BD82" i="130"/>
  <c r="AE83" i="130"/>
  <c r="AG83" i="130"/>
  <c r="AH83" i="130"/>
  <c r="AI83" i="130"/>
  <c r="AK83" i="130"/>
  <c r="AL83" i="130"/>
  <c r="AM83" i="130"/>
  <c r="AN83" i="130"/>
  <c r="AP83" i="130"/>
  <c r="AQ83" i="130"/>
  <c r="AR83" i="130"/>
  <c r="AS83" i="130"/>
  <c r="AT83" i="130"/>
  <c r="AU83" i="130"/>
  <c r="AV83" i="130"/>
  <c r="AW83" i="130"/>
  <c r="AY83" i="130"/>
  <c r="AZ83" i="130"/>
  <c r="BA83" i="130"/>
  <c r="BB83" i="130"/>
  <c r="BC83" i="130"/>
  <c r="BD83" i="130"/>
  <c r="AE84" i="130"/>
  <c r="AG84" i="130"/>
  <c r="AH84" i="130"/>
  <c r="AI84" i="130"/>
  <c r="AK84" i="130"/>
  <c r="AL84" i="130"/>
  <c r="AM84" i="130"/>
  <c r="AN84" i="130"/>
  <c r="AP84" i="130"/>
  <c r="AQ84" i="130"/>
  <c r="AR84" i="130"/>
  <c r="AS84" i="130"/>
  <c r="AT84" i="130"/>
  <c r="AU84" i="130"/>
  <c r="AV84" i="130"/>
  <c r="AW84" i="130"/>
  <c r="AY84" i="130"/>
  <c r="AZ84" i="130"/>
  <c r="BA84" i="130"/>
  <c r="BB84" i="130"/>
  <c r="BC84" i="130"/>
  <c r="BD84" i="130"/>
  <c r="AE85" i="130"/>
  <c r="AG85" i="130"/>
  <c r="AH85" i="130"/>
  <c r="AI85" i="130"/>
  <c r="AK85" i="130"/>
  <c r="AL85" i="130"/>
  <c r="AM85" i="130"/>
  <c r="AN85" i="130"/>
  <c r="AP85" i="130"/>
  <c r="AT85" i="130"/>
  <c r="AU85" i="130"/>
  <c r="AV85" i="130"/>
  <c r="AZ85" i="130"/>
  <c r="BA85" i="130"/>
  <c r="BB85" i="130"/>
  <c r="BC85" i="130"/>
  <c r="BD85" i="130"/>
  <c r="AE86" i="130"/>
  <c r="AG86" i="130"/>
  <c r="AH86" i="130"/>
  <c r="AI86" i="130"/>
  <c r="AK86" i="130"/>
  <c r="AL86" i="130"/>
  <c r="AM86" i="130"/>
  <c r="AN86" i="130"/>
  <c r="AP86" i="130"/>
  <c r="AT86" i="130"/>
  <c r="AU86" i="130"/>
  <c r="AV86" i="130"/>
  <c r="AZ86" i="130"/>
  <c r="BA86" i="130"/>
  <c r="BB86" i="130"/>
  <c r="BC86" i="130"/>
  <c r="BD86" i="130"/>
</calcChain>
</file>

<file path=xl/sharedStrings.xml><?xml version="1.0" encoding="utf-8"?>
<sst xmlns="http://schemas.openxmlformats.org/spreadsheetml/2006/main" count="636" uniqueCount="104">
  <si>
    <t>-</t>
  </si>
  <si>
    <t>Yok</t>
  </si>
  <si>
    <t>Doğal Afet Yardımı</t>
  </si>
  <si>
    <t>SGK Prim Kesintisi</t>
  </si>
  <si>
    <t>SGK İşsizlik Primi Kesintisi</t>
  </si>
  <si>
    <t>Yemek Yardımı</t>
  </si>
  <si>
    <t>Evlilik Yardımı</t>
  </si>
  <si>
    <t>Var</t>
  </si>
  <si>
    <t>OCA</t>
  </si>
  <si>
    <t>ŞUB</t>
  </si>
  <si>
    <t>MAR</t>
  </si>
  <si>
    <t>NİS</t>
  </si>
  <si>
    <t>MAY</t>
  </si>
  <si>
    <t>HAZ</t>
  </si>
  <si>
    <t>TEM</t>
  </si>
  <si>
    <t>AĞU</t>
  </si>
  <si>
    <t>EYL</t>
  </si>
  <si>
    <t>EKİ</t>
  </si>
  <si>
    <t>KAS</t>
  </si>
  <si>
    <t>ARA</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</si>
  <si>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</si>
  <si>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</si>
  <si>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</si>
  <si>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</si>
  <si>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</si>
  <si>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</si>
  <si>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</si>
  <si>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</si>
  <si>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</si>
  <si>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</si>
  <si>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</si>
  <si>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</si>
  <si>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</si>
  <si>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Nakdi Yardımlar</t>
  </si>
  <si>
    <t>Sendika Üyelik Aidatı Kesintisi</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</si>
  <si>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</si>
  <si>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</si>
  <si>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</si>
  <si>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</si>
  <si>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</si>
  <si>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</si>
  <si>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</si>
  <si>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</si>
  <si>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</si>
  <si>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</si>
  <si>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</si>
  <si>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Askerlik Yardımı</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</si>
  <si>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</si>
  <si>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Yıllık Ortalama</t>
  </si>
  <si>
    <t xml:space="preserve">   Yemek Yardımı</t>
  </si>
  <si>
    <t xml:space="preserve">   Ulaşım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</si>
  <si>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</si>
  <si>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</si>
  <si>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</si>
  <si>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</si>
  <si>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</si>
  <si>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</si>
  <si>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</si>
  <si>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</si>
  <si>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</si>
  <si>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</si>
  <si>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</si>
  <si>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</si>
  <si>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</si>
  <si>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t>a) 3 yaşını doldurmamış çocuğu evlat edinen eşlerden birine veya evlat edinene çocuğun aileye fiilen teslim edildiği tarihten itibaren 8 hafta analık hâli izni kullandırılır.
(4857 sayılı İş Kanunu / Madde 74)</t>
  </si>
  <si>
    <t>Miktar</t>
  </si>
  <si>
    <t xml:space="preserve">   Çocuk Yardımı</t>
  </si>
  <si>
    <t>Bayram Yardımı (Kurban)</t>
  </si>
  <si>
    <t>Bayram Yardımı (Ramazan)</t>
  </si>
  <si>
    <r>
      <t xml:space="preserve">   Sonraki Ayın 5'inde
   </t>
    </r>
    <r>
      <rPr>
        <b/>
        <sz val="16"/>
        <rFont val="Calibri"/>
        <family val="2"/>
        <charset val="162"/>
        <scheme val="minor"/>
      </rPr>
      <t>Net</t>
    </r>
  </si>
  <si>
    <t>Yakacak Yardımı</t>
  </si>
  <si>
    <t>İdari Sorumluluk Primi</t>
  </si>
  <si>
    <t>İş Riski Primi</t>
  </si>
  <si>
    <t>Çocuk Yardımı</t>
  </si>
  <si>
    <t>a) İşçinin eşinin veya çocuğunun vefatı hâlinde 6 takvim günü ücretli sosyal izin verilir.
b) İşçinin annesinin, babasının veya kardeşinin vefatı hâlinde 6 takvim günü ücretli sosyal izin verilir.
c) İşçinin eşinin annesinin, babasının veya kardeşinin vefatı hâlinde 6 takvim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0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</si>
  <si>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İşçinin evlenmesi hâlinde 6 takvim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</si>
  <si>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0 iş günü ücretli sosyal izin verilir.
b) İşçilere, gerekli ve geçerli mazeretleri hâlinde işverenin takdirine bağlı olarak yılda 6 aya kadar ücretsiz sosyal izin verilebilir. Genel müdürün uygun görmesi hâlinde 0 aya kadar uzatılabilir.</t>
  </si>
  <si>
    <t>a) İşyerinde işçi sayısı 50’ye kadar ise yıllık en fazla 25 iş günü ücretli izin verilir.
İşyerinde işçi sayısı 51 ile 100 arasında ise yıllık en fazla 35 iş günü ücretli izin verilir.
İşyerinde işçi sayısı 101 ile 200 arasında ise yıllık en fazla 45 iş günü ücretli izin verilir.
İşyerinde işçi sayısı 201 ile 500 arasında ise yıllık en fazla 65 iş günü ücretli izin verilir.
İşyerinde işçi sayısı 501 ile 1000 arasında ise yıllık en fazla 85 iş günü ücretli izin verilir.
İşyerinde işçi sayısı 1000 işçiden fazla ise yıllık en fazla işçi sayısının % 10'u kadar iş günü ücretli sendikal izin verilir.
(1. Dönem Toplu İş Sözleşmesi / Madde 8)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50’ye kadar ise 1,
51 ile 100 arasında ise en çok 2,
101 ile 500 arasında ise en çok 3,
501 ile 1000 arasında ise en çok 4,
1001 ile 2000 arasında ise en çok 6,
2000’den fazla ise en çok 8 işyeri sendika temsilcisini işyerinde çalışan üyeleri arasından atayarak 15 gün içinde kimliklerini işverene bildirir. Bunlardan biri baş temsilci olarak görevlendirilebilir. Temsilcilerin görevi, sendikanın yetkisi süresince devam eder.
(6356 sayılı Sendikalar ve Toplu İş Sözleşmesi Kanunu / Madde 27)</t>
  </si>
  <si>
    <t xml:space="preserve">   BES Kesintisi</t>
  </si>
  <si>
    <t>Güvenlik Sorumlusu</t>
  </si>
  <si>
    <t>Güvenlik Görevlisi</t>
  </si>
  <si>
    <t>Sosyal Yardım</t>
  </si>
  <si>
    <t>a) Hizmeti 6 ay olanlar için 0 iş günü ücretli yıllık izin verilir.
Hizmeti 1-5 yıl olanlar için 17 iş günü ücretli yıllık izin verilir.
Hizmeti 5-10 yıl olanlar için 23 iş günü ücretli yıllık izin verilir.
Hizmeti 10-15 yıl olanlar için 23 iş günü ücretli yıllık izin verilir.
Hizmeti 15 yıldan fazla olanlar için 29 iş günü ücretli yıllık izin verilir.</t>
  </si>
  <si>
    <t xml:space="preserve">   Kıdem Yardımı</t>
  </si>
  <si>
    <r>
      <t xml:space="preserve">   Fazla Sürelerle Çalışma
   </t>
    </r>
    <r>
      <rPr>
        <b/>
        <sz val="16"/>
        <rFont val="Calibri"/>
        <family val="2"/>
        <charset val="162"/>
        <scheme val="minor"/>
      </rPr>
      <t>% 25</t>
    </r>
  </si>
  <si>
    <r>
      <t xml:space="preserve">   Fazla Çalışma
   </t>
    </r>
    <r>
      <rPr>
        <b/>
        <sz val="16"/>
        <rFont val="Calibri"/>
        <family val="2"/>
        <charset val="162"/>
        <scheme val="minor"/>
      </rPr>
      <t>% 60</t>
    </r>
  </si>
  <si>
    <r>
      <t xml:space="preserve">   Resmi Tatillerde Çalışma
   </t>
    </r>
    <r>
      <rPr>
        <b/>
        <sz val="16"/>
        <rFont val="Calibri"/>
        <family val="2"/>
        <charset val="162"/>
        <scheme val="minor"/>
      </rPr>
      <t>% 100</t>
    </r>
  </si>
  <si>
    <r>
      <t xml:space="preserve">   Gece Çalışma
   </t>
    </r>
    <r>
      <rPr>
        <b/>
        <sz val="16"/>
        <rFont val="Calibri"/>
        <family val="2"/>
        <charset val="162"/>
        <scheme val="minor"/>
      </rPr>
      <t>% 15</t>
    </r>
  </si>
  <si>
    <t>Kıdem Yardımı</t>
  </si>
  <si>
    <t>Fazla Çalışma (% 60)</t>
  </si>
  <si>
    <t>Fazla Sürelerle Çalışma (%25)</t>
  </si>
  <si>
    <t>Resmi Tatillerde Çalışma (% 100)</t>
  </si>
  <si>
    <t>Gece Çalışma (% 15)</t>
  </si>
  <si>
    <r>
      <t xml:space="preserve">   Sonraki Ayın 5'inde
   Fazla Çalışma (Gündüz-Gece-Resmi Tatil)
   Yemek Yardımı
   </t>
    </r>
    <r>
      <rPr>
        <b/>
        <sz val="16"/>
        <rFont val="Calibri"/>
        <family val="2"/>
        <charset val="162"/>
        <scheme val="minor"/>
      </rPr>
      <t>Net</t>
    </r>
  </si>
  <si>
    <t>Toplam</t>
  </si>
  <si>
    <t>Ortalama</t>
  </si>
  <si>
    <t>Güvenlik Primi</t>
  </si>
  <si>
    <t xml:space="preserve">   Silah Tazminatı
   (Her Vardiya)</t>
  </si>
  <si>
    <t xml:space="preserve">   Güvenlik Primi</t>
  </si>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</sst>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 &quot;Gün&quot;"/>
    <numFmt numFmtId="166" formatCode="#,##0.00\ &quot;₺&quot;"/>
    <numFmt numFmtId="167" formatCode="0.000000"/>
    <numFmt numFmtId="168" formatCode="%\ 0"/>
    <numFmt numFmtId="169" formatCode="%\ 0.00"/>
    <numFmt numFmtId="171" formatCode="General\ &quot;₺&quot;"/>
    <numFmt numFmtId="173" formatCode="0.0000000"/>
    <numFmt numFmtId="174" formatCode="0.0"/>
  </numFmts>
  <fonts count="16"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sz val="20"/>
      <color rgb="FFFF0000"/>
      <name val="Calibri"/>
      <family val="2"/>
      <charset val="162"/>
      <scheme val="minor"/>
    </font>
    <font>
      <sz val="15"/>
      <name val="Calibri"/>
      <family val="2"/>
      <charset val="162"/>
      <scheme val="minor"/>
    </font>
    <font>
      <b/>
      <sz val="14"/>
      <name val="Calibri"/>
      <family val="2"/>
      <charset val="162"/>
      <scheme val="minor"/>
    </font>
    <font>
      <b/>
      <sz val="22"/>
      <name val="Calibri"/>
      <family val="2"/>
      <charset val="162"/>
      <scheme val="minor"/>
    </font>
    <font>
      <b/>
      <sz val="22"/>
      <color rgb="FFFF0000"/>
      <name val="Calibri"/>
      <family val="2"/>
      <charset val="162"/>
      <scheme val="minor"/>
    </font>
    <font>
      <sz val="16"/>
      <color theme="0"/>
      <name val="Calibri"/>
      <family val="2"/>
      <charset val="162"/>
      <scheme val="minor"/>
    </font>
    <font>
      <b/>
      <sz val="16"/>
      <color theme="0"/>
      <name val="Calibri"/>
      <family val="2"/>
      <charset val="162"/>
      <scheme val="minor"/>
    </font>
  </fonts>
  <fills count="7">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84">
    <xf numFmtId="0" fontId="0" fillId="0" borderId="0" xfId="0"/>
    <xf numFmtId="171" fontId="9" fillId="2" borderId="1" xfId="2" applyNumberFormat="1" applyFont="1" applyFill="1" applyBorder="1" applyAlignment="1" applyProtection="1">
      <alignment horizontal="center" vertical="center" textRotation="90" wrapText="1"/>
      <protection hidden="1"/>
    </xf>
    <xf numFmtId="2" fontId="5" fillId="2" borderId="1" xfId="2" applyNumberFormat="1" applyFont="1" applyFill="1" applyBorder="1" applyAlignment="1" applyProtection="1">
      <alignment horizontal="center" textRotation="90" wrapText="1"/>
      <protection hidden="1"/>
    </xf>
    <xf numFmtId="2" fontId="5" fillId="2" borderId="1" xfId="0" applyNumberFormat="1" applyFont="1" applyFill="1" applyBorder="1" applyAlignment="1" applyProtection="1">
      <alignment horizontal="center" textRotation="90" wrapText="1"/>
      <protection hidden="1"/>
    </xf>
    <xf numFmtId="2" fontId="5" fillId="2" borderId="5" xfId="2" applyNumberFormat="1" applyFont="1" applyFill="1" applyBorder="1" applyAlignment="1" applyProtection="1">
      <alignment horizontal="center" textRotation="90" wrapText="1"/>
      <protection hidden="1"/>
    </xf>
    <xf numFmtId="2" fontId="5" fillId="2" borderId="6" xfId="2" applyNumberFormat="1" applyFont="1" applyFill="1" applyBorder="1" applyAlignment="1" applyProtection="1">
      <alignment horizontal="center" textRotation="90" wrapText="1"/>
      <protection hidden="1"/>
    </xf>
    <xf numFmtId="2" fontId="5" fillId="2" borderId="7" xfId="2" applyNumberFormat="1" applyFont="1" applyFill="1" applyBorder="1" applyAlignment="1" applyProtection="1">
      <alignment horizontal="center" textRotation="90" wrapText="1"/>
      <protection hidden="1"/>
    </xf>
    <xf numFmtId="2" fontId="7" fillId="2" borderId="1" xfId="2" applyNumberFormat="1" applyFont="1" applyFill="1" applyBorder="1" applyAlignment="1" applyProtection="1">
      <alignment horizontal="center" textRotation="90" wrapText="1"/>
      <protection hidden="1"/>
    </xf>
    <xf numFmtId="0" fontId="5" fillId="2" borderId="1" xfId="2" applyFont="1" applyFill="1" applyBorder="1" applyAlignment="1" applyProtection="1">
      <alignment horizontal="center" vertical="center"/>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0" borderId="0" xfId="2" applyFont="1" applyAlignment="1" applyProtection="1">
      <alignment horizontal="center" vertical="center"/>
      <protection hidden="1"/>
    </xf>
    <xf numFmtId="2" fontId="5" fillId="2" borderId="1" xfId="2" applyNumberFormat="1" applyFont="1" applyFill="1" applyBorder="1" applyAlignment="1" applyProtection="1">
      <alignment horizontal="center" vertical="center"/>
      <protection hidden="1"/>
    </xf>
    <xf numFmtId="2" fontId="5" fillId="2" borderId="8" xfId="2" applyNumberFormat="1" applyFont="1" applyFill="1" applyBorder="1" applyAlignment="1" applyProtection="1">
      <alignment horizontal="center" textRotation="90" wrapText="1"/>
      <protection hidden="1"/>
    </xf>
    <xf numFmtId="2" fontId="5" fillId="2" borderId="0" xfId="2" applyNumberFormat="1" applyFont="1" applyFill="1" applyBorder="1" applyAlignment="1" applyProtection="1">
      <alignment horizontal="center" textRotation="90" wrapText="1"/>
      <protection hidden="1"/>
    </xf>
    <xf numFmtId="2" fontId="5" fillId="2" borderId="9"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9" xfId="0"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protection hidden="1"/>
    </xf>
    <xf numFmtId="2" fontId="5" fillId="2" borderId="2" xfId="2" applyNumberFormat="1" applyFont="1" applyFill="1" applyBorder="1" applyAlignment="1" applyProtection="1">
      <alignment horizontal="center" textRotation="90" wrapText="1"/>
      <protection hidden="1"/>
    </xf>
    <xf numFmtId="2" fontId="5" fillId="2" borderId="3" xfId="2" applyNumberFormat="1" applyFont="1" applyFill="1" applyBorder="1" applyAlignment="1" applyProtection="1">
      <alignment horizontal="center" textRotation="90" wrapText="1"/>
      <protection hidden="1"/>
    </xf>
    <xf numFmtId="2" fontId="5" fillId="2" borderId="4" xfId="2" applyNumberFormat="1" applyFont="1" applyFill="1" applyBorder="1" applyAlignment="1" applyProtection="1">
      <alignment horizontal="center" textRotation="90" wrapText="1"/>
      <protection hidden="1"/>
    </xf>
    <xf numFmtId="169" fontId="5" fillId="2" borderId="1" xfId="2" applyNumberFormat="1" applyFont="1" applyFill="1" applyBorder="1" applyAlignment="1" applyProtection="1">
      <alignment horizontal="center" vertical="center"/>
      <protection hidden="1"/>
    </xf>
    <xf numFmtId="2" fontId="6" fillId="2" borderId="1" xfId="0" applyNumberFormat="1" applyFont="1" applyFill="1" applyBorder="1" applyAlignment="1" applyProtection="1">
      <alignment horizontal="center" vertical="center"/>
      <protection hidden="1"/>
    </xf>
    <xf numFmtId="166" fontId="12" fillId="4" borderId="1" xfId="2" applyNumberFormat="1" applyFont="1" applyFill="1" applyBorder="1" applyAlignment="1" applyProtection="1">
      <alignment horizontal="center" vertical="center"/>
      <protection hidden="1"/>
    </xf>
    <xf numFmtId="166" fontId="13" fillId="4" borderId="1" xfId="2" applyNumberFormat="1" applyFont="1" applyFill="1" applyBorder="1" applyAlignment="1" applyProtection="1">
      <alignment horizontal="center" vertical="center"/>
      <protection hidden="1"/>
    </xf>
    <xf numFmtId="4" fontId="10" fillId="2" borderId="1" xfId="2" applyNumberFormat="1" applyFont="1" applyFill="1" applyBorder="1" applyAlignment="1" applyProtection="1">
      <alignment horizontal="center" vertical="center" wrapText="1"/>
      <protection hidden="1"/>
    </xf>
    <xf numFmtId="4" fontId="11" fillId="2" borderId="1" xfId="2" applyNumberFormat="1" applyFont="1" applyFill="1" applyBorder="1" applyAlignment="1" applyProtection="1">
      <alignment horizontal="center" vertical="center" wrapText="1"/>
      <protection hidden="1"/>
    </xf>
    <xf numFmtId="4" fontId="5" fillId="2" borderId="1" xfId="2" applyNumberFormat="1" applyFont="1" applyFill="1" applyBorder="1" applyAlignment="1" applyProtection="1">
      <alignment horizontal="center" vertical="center"/>
      <protection hidden="1"/>
    </xf>
    <xf numFmtId="1" fontId="5" fillId="2" borderId="1" xfId="2" applyNumberFormat="1" applyFont="1" applyFill="1" applyBorder="1" applyAlignment="1" applyProtection="1">
      <alignment horizontal="center" vertical="center"/>
      <protection hidden="1"/>
    </xf>
    <xf numFmtId="166" fontId="12" fillId="2" borderId="1" xfId="2" applyNumberFormat="1" applyFont="1" applyFill="1" applyBorder="1" applyAlignment="1" applyProtection="1">
      <alignment horizontal="center" vertical="center"/>
      <protection hidden="1"/>
    </xf>
    <xf numFmtId="166" fontId="13" fillId="2" borderId="1" xfId="2" applyNumberFormat="1" applyFont="1" applyFill="1" applyBorder="1" applyAlignment="1" applyProtection="1">
      <alignment horizontal="center" vertical="center"/>
      <protection hidden="1"/>
    </xf>
    <xf numFmtId="169" fontId="10" fillId="2" borderId="1" xfId="2" applyNumberFormat="1"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0" borderId="0" xfId="2" applyFont="1" applyAlignment="1" applyProtection="1">
      <alignment horizontal="right" vertical="center" indent="1"/>
      <protection hidden="1"/>
    </xf>
    <xf numFmtId="2" fontId="8" fillId="3" borderId="1" xfId="2" applyNumberFormat="1" applyFont="1" applyFill="1" applyBorder="1" applyAlignment="1" applyProtection="1">
      <alignment horizontal="center" vertical="center" textRotation="90" wrapText="1"/>
      <protection locked="0" hidden="1"/>
    </xf>
    <xf numFmtId="1" fontId="5" fillId="3" borderId="1" xfId="2" applyNumberFormat="1" applyFont="1" applyFill="1" applyBorder="1" applyAlignment="1" applyProtection="1">
      <alignment horizontal="center" vertical="center"/>
      <protection locked="0" hidden="1"/>
    </xf>
    <xf numFmtId="2" fontId="5" fillId="5" borderId="1" xfId="2" applyNumberFormat="1" applyFont="1" applyFill="1" applyBorder="1" applyAlignment="1" applyProtection="1">
      <alignment horizontal="center" vertical="center" wrapText="1"/>
      <protection locked="0" hidden="1"/>
    </xf>
    <xf numFmtId="168" fontId="5" fillId="3" borderId="1" xfId="2" applyNumberFormat="1" applyFont="1" applyFill="1" applyBorder="1" applyAlignment="1" applyProtection="1">
      <alignment horizontal="center" vertical="center"/>
      <protection locked="0" hidden="1"/>
    </xf>
    <xf numFmtId="0" fontId="5" fillId="3" borderId="1" xfId="2" applyFont="1" applyFill="1" applyBorder="1" applyAlignment="1" applyProtection="1">
      <alignment horizontal="center" vertical="center" textRotation="90" wrapText="1"/>
      <protection locked="0" hidden="1"/>
    </xf>
    <xf numFmtId="0" fontId="5" fillId="3" borderId="1" xfId="0" applyFont="1" applyFill="1" applyBorder="1" applyAlignment="1" applyProtection="1">
      <alignment horizontal="center" vertical="center" textRotation="90" wrapText="1"/>
      <protection locked="0" hidden="1"/>
    </xf>
    <xf numFmtId="174" fontId="5" fillId="3" borderId="1" xfId="3" applyNumberFormat="1" applyFont="1" applyFill="1" applyBorder="1" applyAlignment="1" applyProtection="1">
      <alignment horizontal="center" vertical="center"/>
      <protection locked="0" hidden="1"/>
    </xf>
    <xf numFmtId="0" fontId="5" fillId="2" borderId="10"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14" fillId="6" borderId="0" xfId="2" applyFont="1" applyFill="1" applyBorder="1" applyAlignment="1" applyProtection="1">
      <alignment horizontal="center" vertical="center" wrapText="1"/>
      <protection hidden="1"/>
    </xf>
    <xf numFmtId="166" fontId="14" fillId="6" borderId="0" xfId="2" applyNumberFormat="1" applyFont="1" applyFill="1" applyBorder="1" applyAlignment="1" applyProtection="1">
      <alignment horizontal="center" vertical="center" wrapText="1"/>
      <protection hidden="1"/>
    </xf>
    <xf numFmtId="0" fontId="14" fillId="6" borderId="0" xfId="2" applyFont="1" applyFill="1" applyBorder="1" applyAlignment="1" applyProtection="1">
      <alignment horizontal="center" vertical="center"/>
      <protection hidden="1"/>
    </xf>
    <xf numFmtId="166" fontId="14" fillId="6" borderId="0" xfId="2" applyNumberFormat="1" applyFont="1" applyFill="1" applyBorder="1" applyAlignment="1" applyProtection="1">
      <alignment horizontal="center" vertical="center"/>
      <protection hidden="1"/>
    </xf>
    <xf numFmtId="169" fontId="14" fillId="6" borderId="0" xfId="2" applyNumberFormat="1" applyFont="1" applyFill="1" applyBorder="1" applyAlignment="1" applyProtection="1">
      <alignment horizontal="center" vertical="center" wrapText="1"/>
      <protection hidden="1"/>
    </xf>
    <xf numFmtId="0" fontId="14" fillId="6" borderId="0" xfId="3" applyFont="1" applyFill="1" applyBorder="1" applyAlignment="1" applyProtection="1">
      <alignment horizontal="center" vertical="center"/>
      <protection hidden="1"/>
    </xf>
    <xf numFmtId="2" fontId="14" fillId="6" borderId="0" xfId="3" applyNumberFormat="1" applyFont="1" applyFill="1" applyBorder="1" applyAlignment="1" applyProtection="1">
      <alignment horizontal="center" vertical="center"/>
      <protection hidden="1"/>
    </xf>
    <xf numFmtId="164" fontId="14" fillId="6" borderId="0" xfId="2" applyNumberFormat="1" applyFont="1" applyFill="1" applyBorder="1" applyAlignment="1" applyProtection="1">
      <alignment horizontal="center" vertical="center"/>
      <protection hidden="1"/>
    </xf>
    <xf numFmtId="164" fontId="14" fillId="6" borderId="0" xfId="0" applyNumberFormat="1" applyFont="1" applyFill="1" applyBorder="1" applyAlignment="1" applyProtection="1">
      <alignment horizontal="center" vertical="center"/>
      <protection hidden="1"/>
    </xf>
    <xf numFmtId="165" fontId="14" fillId="6" borderId="0" xfId="0" applyNumberFormat="1" applyFont="1" applyFill="1" applyBorder="1" applyAlignment="1" applyProtection="1">
      <alignment horizontal="center" vertical="center"/>
      <protection hidden="1"/>
    </xf>
    <xf numFmtId="4" fontId="14" fillId="6" borderId="0" xfId="2" applyNumberFormat="1" applyFont="1" applyFill="1" applyBorder="1" applyAlignment="1" applyProtection="1">
      <alignment horizontal="center" vertical="center"/>
      <protection hidden="1"/>
    </xf>
    <xf numFmtId="166" fontId="14" fillId="6" borderId="0" xfId="0" applyNumberFormat="1" applyFont="1" applyFill="1" applyBorder="1" applyAlignment="1" applyProtection="1">
      <alignment horizontal="center" vertical="center"/>
      <protection hidden="1"/>
    </xf>
    <xf numFmtId="3" fontId="14" fillId="6" borderId="0" xfId="2" applyNumberFormat="1" applyFont="1" applyFill="1" applyBorder="1" applyAlignment="1" applyProtection="1">
      <alignment horizontal="center" vertical="center" wrapText="1"/>
      <protection hidden="1"/>
    </xf>
    <xf numFmtId="2" fontId="14" fillId="6" borderId="0" xfId="2" applyNumberFormat="1" applyFont="1" applyFill="1" applyBorder="1" applyAlignment="1" applyProtection="1">
      <alignment horizontal="center" vertical="center" wrapText="1"/>
      <protection hidden="1"/>
    </xf>
    <xf numFmtId="0" fontId="14" fillId="6" borderId="0" xfId="0" applyFont="1" applyFill="1" applyBorder="1" applyAlignment="1" applyProtection="1">
      <alignment horizontal="center" vertical="center" wrapText="1"/>
      <protection hidden="1"/>
    </xf>
    <xf numFmtId="0" fontId="14" fillId="6" borderId="0" xfId="0" applyFont="1" applyFill="1" applyBorder="1" applyAlignment="1" applyProtection="1">
      <alignment horizontal="right" vertical="center" wrapText="1" indent="1"/>
      <protection hidden="1"/>
    </xf>
    <xf numFmtId="49" fontId="14" fillId="6" borderId="0" xfId="0" applyNumberFormat="1" applyFont="1" applyFill="1" applyBorder="1" applyAlignment="1" applyProtection="1">
      <alignment horizontal="center" vertical="center" wrapText="1"/>
      <protection hidden="1"/>
    </xf>
    <xf numFmtId="165" fontId="14" fillId="6" borderId="0" xfId="2" applyNumberFormat="1" applyFont="1" applyFill="1" applyBorder="1" applyAlignment="1" applyProtection="1">
      <alignment horizontal="center" vertical="center"/>
      <protection hidden="1"/>
    </xf>
    <xf numFmtId="49" fontId="14" fillId="6" borderId="0" xfId="2" applyNumberFormat="1" applyFont="1" applyFill="1" applyBorder="1" applyAlignment="1" applyProtection="1">
      <alignment horizontal="center" vertical="center" wrapText="1"/>
      <protection hidden="1"/>
    </xf>
    <xf numFmtId="173" fontId="14" fillId="6" borderId="0" xfId="2" applyNumberFormat="1" applyFont="1" applyFill="1" applyBorder="1" applyAlignment="1" applyProtection="1">
      <alignment horizontal="center" vertical="center" wrapText="1"/>
      <protection hidden="1"/>
    </xf>
    <xf numFmtId="4" fontId="14" fillId="6" borderId="0" xfId="2" applyNumberFormat="1" applyFont="1" applyFill="1" applyBorder="1" applyAlignment="1" applyProtection="1">
      <alignment horizontal="center" vertical="center" wrapText="1"/>
      <protection hidden="1"/>
    </xf>
    <xf numFmtId="2" fontId="14" fillId="6" borderId="0" xfId="2" applyNumberFormat="1" applyFont="1" applyFill="1" applyBorder="1" applyAlignment="1" applyProtection="1">
      <alignment horizontal="right" vertical="center" wrapText="1" indent="1"/>
      <protection hidden="1"/>
    </xf>
    <xf numFmtId="0" fontId="14" fillId="6" borderId="0" xfId="2" applyFont="1" applyFill="1" applyBorder="1" applyAlignment="1" applyProtection="1">
      <alignment horizontal="right" vertical="center" wrapText="1" indent="1"/>
      <protection hidden="1"/>
    </xf>
    <xf numFmtId="166" fontId="14" fillId="6" borderId="0" xfId="3" applyNumberFormat="1" applyFont="1" applyFill="1" applyBorder="1" applyAlignment="1" applyProtection="1">
      <alignment horizontal="center" vertical="center"/>
      <protection hidden="1"/>
    </xf>
    <xf numFmtId="2" fontId="14" fillId="6" borderId="0" xfId="2" applyNumberFormat="1" applyFont="1" applyFill="1" applyBorder="1" applyAlignment="1" applyProtection="1">
      <alignment horizontal="center" vertical="center"/>
      <protection hidden="1"/>
    </xf>
    <xf numFmtId="49" fontId="14" fillId="6" borderId="0" xfId="3" applyNumberFormat="1" applyFont="1" applyFill="1" applyBorder="1" applyAlignment="1" applyProtection="1">
      <alignment horizontal="center" vertical="center"/>
      <protection hidden="1"/>
    </xf>
    <xf numFmtId="2" fontId="14" fillId="6" borderId="0" xfId="3" applyNumberFormat="1" applyFont="1" applyFill="1" applyBorder="1" applyAlignment="1" applyProtection="1">
      <alignment horizontal="center" vertical="center" wrapText="1"/>
      <protection hidden="1"/>
    </xf>
    <xf numFmtId="168" fontId="14" fillId="6" borderId="0" xfId="2" applyNumberFormat="1" applyFont="1" applyFill="1" applyBorder="1" applyAlignment="1" applyProtection="1">
      <alignment horizontal="center" vertical="center"/>
      <protection hidden="1"/>
    </xf>
    <xf numFmtId="169" fontId="14" fillId="6" borderId="0" xfId="4" applyNumberFormat="1" applyFont="1" applyFill="1" applyBorder="1" applyAlignment="1" applyProtection="1">
      <alignment horizontal="center" vertical="center"/>
      <protection hidden="1"/>
    </xf>
    <xf numFmtId="167" fontId="14" fillId="6" borderId="0" xfId="2" applyNumberFormat="1" applyFont="1" applyFill="1" applyBorder="1" applyAlignment="1" applyProtection="1">
      <alignment horizontal="center" vertical="center"/>
      <protection hidden="1"/>
    </xf>
    <xf numFmtId="166" fontId="14" fillId="6" borderId="0" xfId="4" applyNumberFormat="1" applyFont="1" applyFill="1" applyBorder="1" applyAlignment="1" applyProtection="1">
      <alignment horizontal="center" vertical="center"/>
      <protection hidden="1"/>
    </xf>
    <xf numFmtId="169" fontId="14" fillId="6" borderId="0" xfId="2" applyNumberFormat="1" applyFont="1" applyFill="1" applyBorder="1" applyAlignment="1" applyProtection="1">
      <alignment horizontal="center" vertical="center"/>
      <protection hidden="1"/>
    </xf>
    <xf numFmtId="0" fontId="5" fillId="0" borderId="10" xfId="2" applyFont="1" applyBorder="1" applyAlignment="1" applyProtection="1">
      <alignment horizontal="center" vertical="center"/>
      <protection hidden="1"/>
    </xf>
    <xf numFmtId="0" fontId="5" fillId="0" borderId="11" xfId="2" applyFont="1" applyBorder="1" applyAlignment="1" applyProtection="1">
      <alignment horizontal="center" vertical="center"/>
      <protection hidden="1"/>
    </xf>
    <xf numFmtId="0" fontId="5" fillId="0" borderId="12" xfId="2" applyFont="1" applyBorder="1" applyAlignment="1" applyProtection="1">
      <alignment horizontal="center" vertical="center"/>
      <protection hidden="1"/>
    </xf>
  </cellXfs>
  <cellStyles count="6">
    <cellStyle name="Açıklama Metni" xfId="1" builtinId="53" customBuiltin="1"/>
    <cellStyle name="Normal" xfId="0" builtinId="0"/>
    <cellStyle name="Normal 2" xfId="2" xr:uid="{00000000-0005-0000-0000-000003000000}"/>
    <cellStyle name="Normal 2 2" xfId="3" xr:uid="{00000000-0005-0000-0000-000004000000}"/>
    <cellStyle name="Virgül 2" xfId="5" xr:uid="{00000000-0005-0000-0000-000005000000}"/>
    <cellStyle name="Yüzde 2" xfId="4" xr:uid="{00000000-0005-0000-0000-000006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1"/>
            <c:invertIfNegative val="0"/>
            <c:bubble3D val="0"/>
            <c:spPr>
              <a:solidFill>
                <a:schemeClr val="tx1"/>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chemeClr val="tx1"/>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chemeClr val="tx1"/>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chemeClr val="tx1"/>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chemeClr val="tx1"/>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rgbClr val="C00000"/>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rgbClr val="C00000"/>
              </a:solidFill>
              <a:ln>
                <a:noFill/>
              </a:ln>
              <a:effectLst/>
            </c:spPr>
            <c:extLst>
              <c:ext xmlns:c16="http://schemas.microsoft.com/office/drawing/2014/chart" uri="{C3380CC4-5D6E-409C-BE32-E72D297353CC}">
                <c16:uniqueId val="{00000035-B7D2-4BCE-BB62-19949372B699}"/>
              </c:ext>
            </c:extLst>
          </c:dPt>
          <c:dPt>
            <c:idx val="19"/>
            <c:invertIfNegative val="0"/>
            <c:bubble3D val="0"/>
            <c:spPr>
              <a:solidFill>
                <a:srgbClr val="C00000"/>
              </a:solidFill>
              <a:ln>
                <a:noFill/>
              </a:ln>
              <a:effectLst/>
            </c:spPr>
            <c:extLst>
              <c:ext xmlns:c16="http://schemas.microsoft.com/office/drawing/2014/chart" uri="{C3380CC4-5D6E-409C-BE32-E72D297353CC}">
                <c16:uniqueId val="{00000036-B7D2-4BCE-BB62-19949372B699}"/>
              </c:ext>
            </c:extLst>
          </c:dPt>
          <c:dPt>
            <c:idx val="20"/>
            <c:invertIfNegative val="0"/>
            <c:bubble3D val="0"/>
            <c:spPr>
              <a:solidFill>
                <a:srgbClr val="C00000"/>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rgbClr val="C00000"/>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bg1">
                  <a:lumMod val="50000"/>
                </a:schemeClr>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Tablo'!$AA$1:$AA$23</c:f>
              <c:strCache>
                <c:ptCount val="23"/>
                <c:pt idx="0">
                  <c:v>Normal Çalışma</c:v>
                </c:pt>
                <c:pt idx="1">
                  <c:v>Kıdem Yardımı</c:v>
                </c:pt>
                <c:pt idx="2">
                  <c:v>Fazla Çalışma (% 60)</c:v>
                </c:pt>
                <c:pt idx="3">
                  <c:v>Fazla Sürelerle Çalışma (%25)</c:v>
                </c:pt>
                <c:pt idx="4">
                  <c:v>Resmi Tatillerde Çalışma (% 100)</c:v>
                </c:pt>
                <c:pt idx="5">
                  <c:v>Gece Çalışma (% 15)</c:v>
                </c:pt>
                <c:pt idx="6">
                  <c:v>Yemek Yardımı</c:v>
                </c:pt>
                <c:pt idx="7">
                  <c:v>Ulaşım Yardımı</c:v>
                </c:pt>
                <c:pt idx="8">
                  <c:v>İkramiye Yardımı</c:v>
                </c:pt>
                <c:pt idx="9">
                  <c:v>Sosyal Yardım</c:v>
                </c:pt>
                <c:pt idx="10">
                  <c:v>Yakacak Yardımı</c:v>
                </c:pt>
                <c:pt idx="11">
                  <c:v>İdari Sorumluluk Primi</c:v>
                </c:pt>
                <c:pt idx="12">
                  <c:v>Güvenlik Primi</c:v>
                </c:pt>
                <c:pt idx="13">
                  <c:v>İş Riski Primi</c:v>
                </c:pt>
                <c:pt idx="14">
                  <c:v>Çocuk Yardımı</c:v>
                </c:pt>
                <c:pt idx="15">
                  <c:v>Nakdi Yardımlar</c:v>
                </c:pt>
                <c:pt idx="16">
                  <c:v>Sendika Üyelik Aidatı Kesintisi</c:v>
                </c:pt>
                <c:pt idx="17">
                  <c:v>BES Kesintisi</c:v>
                </c:pt>
                <c:pt idx="18">
                  <c:v>Damga Vergisi Kesintisi</c:v>
                </c:pt>
                <c:pt idx="19">
                  <c:v>SGK Prim Kesintisi</c:v>
                </c:pt>
                <c:pt idx="20">
                  <c:v>SGK İşsizlik Primi Kesintisi</c:v>
                </c:pt>
                <c:pt idx="21">
                  <c:v>Gelir Vergisi Kesintisi</c:v>
                </c:pt>
                <c:pt idx="22">
                  <c:v>İşveren Maliyeti</c:v>
                </c:pt>
              </c:strCache>
            </c:strRef>
          </c:cat>
          <c:val>
            <c:numRef>
              <c:f>'Özet Tablo'!$AB$1:$AB$23</c:f>
              <c:numCache>
                <c:formatCode>#,##0.00\ "₺"</c:formatCode>
                <c:ptCount val="23"/>
                <c:pt idx="0">
                  <c:v>41932.950936710367</c:v>
                </c:pt>
                <c:pt idx="1">
                  <c:v>0</c:v>
                </c:pt>
                <c:pt idx="2">
                  <c:v>0</c:v>
                </c:pt>
                <c:pt idx="3">
                  <c:v>31.503253847916667</c:v>
                </c:pt>
                <c:pt idx="4">
                  <c:v>0</c:v>
                </c:pt>
                <c:pt idx="5">
                  <c:v>0</c:v>
                </c:pt>
                <c:pt idx="6">
                  <c:v>5016.5999999999995</c:v>
                </c:pt>
                <c:pt idx="7">
                  <c:v>2235.6346153846157</c:v>
                </c:pt>
                <c:pt idx="8">
                  <c:v>6873.6402294309783</c:v>
                </c:pt>
                <c:pt idx="9">
                  <c:v>2885.1244762576571</c:v>
                </c:pt>
                <c:pt idx="10">
                  <c:v>260.78094086646706</c:v>
                </c:pt>
                <c:pt idx="11">
                  <c:v>0</c:v>
                </c:pt>
                <c:pt idx="12">
                  <c:v>839.680793525892</c:v>
                </c:pt>
                <c:pt idx="13">
                  <c:v>0</c:v>
                </c:pt>
                <c:pt idx="14">
                  <c:v>0</c:v>
                </c:pt>
                <c:pt idx="15">
                  <c:v>0</c:v>
                </c:pt>
                <c:pt idx="16">
                  <c:v>2115.1699999999996</c:v>
                </c:pt>
                <c:pt idx="17">
                  <c:v>0</c:v>
                </c:pt>
                <c:pt idx="18">
                  <c:v>390.26469294548923</c:v>
                </c:pt>
                <c:pt idx="19">
                  <c:v>12180.598236148677</c:v>
                </c:pt>
                <c:pt idx="20">
                  <c:v>870.04273115347712</c:v>
                </c:pt>
                <c:pt idx="21">
                  <c:v>10698.1075</c:v>
                </c:pt>
                <c:pt idx="22">
                  <c:v>104673.23817938007</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Tablo'!$AA$24:$AA$25</c:f>
              <c:strCache>
                <c:ptCount val="2"/>
                <c:pt idx="0">
                  <c:v>Kazançlar</c:v>
                </c:pt>
                <c:pt idx="1">
                  <c:v>Kesintiler</c:v>
                </c:pt>
              </c:strCache>
            </c:strRef>
          </c:cat>
          <c:val>
            <c:numRef>
              <c:f>'Özet Tablo'!$AB$24:$AB$25</c:f>
              <c:numCache>
                <c:formatCode>#,##0.00\ "₺"</c:formatCode>
                <c:ptCount val="2"/>
                <c:pt idx="0">
                  <c:v>63594.089955100062</c:v>
                </c:pt>
                <c:pt idx="1">
                  <c:v>26254.183160247645</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20</xdr:col>
      <xdr:colOff>53463</xdr:colOff>
      <xdr:row>0</xdr:row>
      <xdr:rowOff>70921</xdr:rowOff>
    </xdr:from>
    <xdr:to>
      <xdr:col>20</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20</xdr:col>
      <xdr:colOff>4966692</xdr:colOff>
      <xdr:row>8</xdr:row>
      <xdr:rowOff>125886</xdr:rowOff>
    </xdr:from>
    <xdr:to>
      <xdr:col>20</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LW363"/>
  <sheetViews>
    <sheetView showGridLines="0" showRowColHeaders="0" tabSelected="1" showWhiteSpace="0" zoomScale="50" zoomScaleNormal="50" zoomScaleSheetLayoutView="40" zoomScalePageLayoutView="55" workbookViewId="0">
      <pane xSplit="2" topLeftCell="G1" activePane="topRight" state="frozen"/>
      <selection pane="topRight" sqref="A1:A14"/>
    </sheetView>
  </sheetViews>
  <sheetFormatPr defaultColWidth="0" defaultRowHeight="0" customHeight="1" zeroHeight="1" x14ac:dyDescent="0.25"/>
  <cols>
    <col min="1" max="16" width="12.7109375" style="12" customWidth="1"/>
    <col min="17" max="19" width="30.7109375" style="12" customWidth="1"/>
    <col min="20" max="20" width="12.7109375" style="12" customWidth="1"/>
    <col min="21" max="21" width="110.7109375" style="12" customWidth="1"/>
    <col min="22" max="22" width="12.7109375" style="12" customWidth="1"/>
    <col min="23" max="23" width="5.7109375" style="12" customWidth="1"/>
    <col min="24" max="24" width="80.7109375" style="12" customWidth="1"/>
    <col min="25" max="25" width="5.7109375" style="12" customWidth="1"/>
    <col min="26" max="26" width="1.7109375" style="12" customWidth="1"/>
    <col min="27" max="29" width="0.140625" style="51" customWidth="1"/>
    <col min="30" max="56" width="5.7109375" style="51" hidden="1" customWidth="1"/>
    <col min="57" max="59" width="20.7109375" style="51" hidden="1" customWidth="1"/>
    <col min="60" max="60" width="1.7109375" style="12" customWidth="1"/>
    <col min="61" max="97" width="0" style="12" hidden="1" customWidth="1"/>
    <col min="98" max="335" width="0" style="12" hidden="1"/>
    <col min="336" max="16384" width="5.7109375" style="12" hidden="1"/>
  </cols>
  <sheetData>
    <row r="1" spans="1:60" ht="39.950000000000003" customHeight="1" x14ac:dyDescent="0.25">
      <c r="A1" s="39" t="s">
        <v>80</v>
      </c>
      <c r="B1" s="1">
        <f>COUNTIF($A$1,"Güvenlik Sorumlusu")*($AG$55)
+COUNTIF($A$1,"Güvenlik Görevlisi")*($AG$56)</f>
        <v>2115.17</v>
      </c>
      <c r="C1" s="2" t="s">
        <v>83</v>
      </c>
      <c r="D1" s="2" t="s">
        <v>85</v>
      </c>
      <c r="E1" s="2" t="s">
        <v>84</v>
      </c>
      <c r="F1" s="3" t="s">
        <v>86</v>
      </c>
      <c r="G1" s="2" t="s">
        <v>87</v>
      </c>
      <c r="H1" s="2" t="s">
        <v>49</v>
      </c>
      <c r="I1" s="2" t="s">
        <v>50</v>
      </c>
      <c r="J1" s="2" t="s">
        <v>98</v>
      </c>
      <c r="K1" s="2" t="s">
        <v>97</v>
      </c>
      <c r="L1" s="2" t="s">
        <v>66</v>
      </c>
      <c r="M1" s="4" t="s">
        <v>51</v>
      </c>
      <c r="N1" s="5"/>
      <c r="O1" s="6"/>
      <c r="P1" s="2" t="s">
        <v>78</v>
      </c>
      <c r="Q1" s="2" t="s">
        <v>69</v>
      </c>
      <c r="R1" s="2" t="s">
        <v>93</v>
      </c>
      <c r="S1" s="7" t="s">
        <v>62</v>
      </c>
      <c r="T1" s="43" t="s">
        <v>48</v>
      </c>
      <c r="U1" s="8"/>
      <c r="V1" s="44" t="s">
        <v>37</v>
      </c>
      <c r="W1" s="9"/>
      <c r="X1" s="10"/>
      <c r="Y1" s="11"/>
      <c r="Z1" s="46"/>
      <c r="AA1" s="49" t="s">
        <v>28</v>
      </c>
      <c r="AB1" s="50">
        <f t="shared" ref="AB1:AB2" ca="1" si="0">IF(AC1&gt;0,AC1,AC1*-1)</f>
        <v>41932.950936710367</v>
      </c>
      <c r="AC1" s="50">
        <f ca="1">COUNTIF(T1,"Ocak")*(AT15)
+COUNTIF(T1,"Şubat")*(AT16)
+COUNTIF(T1,"Mart")*(AT17)
+COUNTIF(T1,"Nisan")*(AT18)
+COUNTIF(T1,"Mayıs")*(AT19)
+COUNTIF(T1,"Haziran")*(AT20)
+COUNTIF(T1,"Temmuz")*(AT21)
+COUNTIF(T1,"Ağustos")*(AT22)
+COUNTIF(T1,"Eylül")*(AT23)
+COUNTIF(T1,"Ekim")*(AT24)
+COUNTIF(T1,"Kasım")*(AT25)
+COUNTIF(T1,"Aralık")*(AT26)
+COUNTIF(T1,"Yıllık Toplam")*(AT27)
+COUNTIF(T1,"Yıllık Ortalama")*(AT28)</f>
        <v>41932.950936710367</v>
      </c>
      <c r="AH1" s="52">
        <f ca="1">(AY15*AY73)</f>
        <v>378.03904617500001</v>
      </c>
      <c r="AI1" s="52">
        <f>(AN15/7.5*2*F15)</f>
        <v>0</v>
      </c>
      <c r="AJ1" s="52">
        <f ca="1">(AI1*AY73)</f>
        <v>0</v>
      </c>
      <c r="AK1" s="52">
        <f>(AN15/7.5*0.15*G15)</f>
        <v>0</v>
      </c>
      <c r="AL1" s="52">
        <f ca="1">(AK1*AY73)</f>
        <v>0</v>
      </c>
      <c r="AM1" s="50">
        <f>(300*H15)</f>
        <v>5400</v>
      </c>
      <c r="AN1" s="52">
        <f ca="1">(AO1+AR1+AV1+AW1+AI29)</f>
        <v>5016.5999999999995</v>
      </c>
      <c r="AO1" s="52">
        <f>(AM1)</f>
        <v>5400</v>
      </c>
      <c r="AP1" s="52">
        <f>(AO1)</f>
        <v>5400</v>
      </c>
      <c r="AQ1" s="52">
        <f>(AO1-AP1)</f>
        <v>0</v>
      </c>
      <c r="AR1" s="52">
        <f>(AQ1*0.00759*-1)</f>
        <v>0</v>
      </c>
      <c r="AS1" s="52">
        <f>(AO1)</f>
        <v>5400</v>
      </c>
      <c r="AT1" s="52">
        <f>IF($AF$13*H15&gt;=AS1,AS1,$AF$13*H15)</f>
        <v>2844</v>
      </c>
      <c r="AU1" s="52">
        <f>(AS1-AT1)</f>
        <v>2556</v>
      </c>
      <c r="AV1" s="52">
        <f>(AU1*0.14*-1)</f>
        <v>-357.84000000000003</v>
      </c>
      <c r="AW1" s="52">
        <f>(AU1*0.01*-1)</f>
        <v>-25.560000000000002</v>
      </c>
      <c r="AX1" s="52">
        <f>(AO1+AV1+AW1)</f>
        <v>5016.5999999999995</v>
      </c>
      <c r="AY1" s="52">
        <f>IF($AF$14*H15&gt;=AM1,AM1,$AF$14*H15)</f>
        <v>5400</v>
      </c>
      <c r="BH1" s="81"/>
    </row>
    <row r="2" spans="1:60" ht="39.950000000000003" customHeight="1" x14ac:dyDescent="0.25">
      <c r="A2" s="39"/>
      <c r="B2" s="1"/>
      <c r="C2" s="2"/>
      <c r="D2" s="2"/>
      <c r="E2" s="2"/>
      <c r="F2" s="3"/>
      <c r="G2" s="2"/>
      <c r="H2" s="2"/>
      <c r="I2" s="2"/>
      <c r="J2" s="2"/>
      <c r="K2" s="2"/>
      <c r="L2" s="2"/>
      <c r="M2" s="14"/>
      <c r="N2" s="15"/>
      <c r="O2" s="16"/>
      <c r="P2" s="2"/>
      <c r="Q2" s="2"/>
      <c r="R2" s="2"/>
      <c r="S2" s="7"/>
      <c r="T2" s="43"/>
      <c r="U2" s="8"/>
      <c r="V2" s="44"/>
      <c r="W2" s="17"/>
      <c r="X2" s="18" t="str">
        <f>IF($V$1="Analık Hâli İzni",$AC$26,
IF($V$1="Annelik İzni",$AC$27,
IF($V$1="Babalık İzni",$AC$28,
IF($V$1="Cenaze İzni",$AC$29,
IF($V$1="Doğal Afet İzni",$AC$30,
IF($V$1="Engelli Çocuk İzni",$AC$31,
IF($V$1="Evlat Edinme İzni",$AC$32,
IF($V$1="Evlilik İzni",$AC$33,
IF($V$1="İş Arama İzni",$AC$34,
IF($V$1="Mazeret İzni",$AC$35,
IF($V$1="Süt İzni",$AC$36,
IF($V$1="Ücretli Sendikal İzin ve Sendika Temsilci Sayısı",$AC$37,
IF($V$1="Ücretli Yıllık İzin",$AC$38,
IF($V$1="Yol İzni",$AC$39))))))))))))))</f>
        <v>a) Hizmeti 6 ay olanlar için 0 iş günü ücretli yıllık izin verilir.
Hizmeti 1-5 yıl olanlar için 17 iş günü ücretli yıllık izin verilir.
Hizmeti 5-10 yıl olanlar için 23 iş günü ücretli yıllık izin verilir.
Hizmeti 10-15 yıl olanlar için 23 iş günü ücretli yıllık izin verilir.
Hizmeti 15 yıldan fazla olanlar için 29 iş günü ücretli yıllık izin verilir.</v>
      </c>
      <c r="Y2" s="19"/>
      <c r="Z2" s="47"/>
      <c r="AA2" s="49" t="s">
        <v>88</v>
      </c>
      <c r="AB2" s="50">
        <f t="shared" ca="1" si="0"/>
        <v>0</v>
      </c>
      <c r="AC2" s="50">
        <f ca="1">COUNTIF(T1,"Ocak")*(AV15)
+COUNTIF(T1,"Şubat")*(AV16)
+COUNTIF(T1,"Mart")*(AV17)
+COUNTIF(T1,"Nisan")*(AV18)
+COUNTIF(T1,"Mayıs")*(AV19)
+COUNTIF(T1,"Haziran")*(AV20)
+COUNTIF(T1,"Temmuz")*(AV21)
+COUNTIF(T1,"Ağustos")*(AV22)
+COUNTIF(T1,"Eylül")*(AV23)
+COUNTIF(T1,"Ekim")*(AV24)
+COUNTIF(T1,"Kasım")*(AV25)
+COUNTIF(T1,"Aralık")*(AV26)
+COUNTIF(T1,"Yıllık Toplam")*(AV27)
+COUNTIF(T1,"Yıllık Ortalama")*(AV28)</f>
        <v>0</v>
      </c>
      <c r="AD2" s="53">
        <f>(10%)</f>
        <v>0.1</v>
      </c>
      <c r="AE2" s="49" t="s">
        <v>0</v>
      </c>
      <c r="AF2" s="50">
        <f>($AF$8*$AD$2)</f>
        <v>3303</v>
      </c>
      <c r="AG2" s="50">
        <f>($AG$8*$AD$2)</f>
        <v>3303</v>
      </c>
      <c r="AH2" s="52">
        <f ca="1">(AY16*AY74)</f>
        <v>0</v>
      </c>
      <c r="AI2" s="52">
        <f>(AN16/7.5*2*F16)</f>
        <v>0</v>
      </c>
      <c r="AJ2" s="52">
        <f ca="1">(AI2*AY74)</f>
        <v>0</v>
      </c>
      <c r="AK2" s="52">
        <f>(AN16/7.5*0.15*G16)</f>
        <v>0</v>
      </c>
      <c r="AL2" s="52">
        <f ca="1">(AK2*AY74)</f>
        <v>0</v>
      </c>
      <c r="AM2" s="50">
        <f>(300*H16)</f>
        <v>5400</v>
      </c>
      <c r="AN2" s="52">
        <f ca="1">(AO2+AR2+AV2+AW2+AI30)</f>
        <v>5016.5999999999995</v>
      </c>
      <c r="AO2" s="52">
        <f t="shared" ref="AO2:AO12" si="1">(AM2)</f>
        <v>5400</v>
      </c>
      <c r="AP2" s="52">
        <f t="shared" ref="AP2:AP12" si="2">(AO2)</f>
        <v>5400</v>
      </c>
      <c r="AQ2" s="52">
        <f t="shared" ref="AQ2:AQ12" si="3">(AO2-AP2)</f>
        <v>0</v>
      </c>
      <c r="AR2" s="52">
        <f t="shared" ref="AR2:AR12" si="4">(AQ2*0.00759*-1)</f>
        <v>0</v>
      </c>
      <c r="AS2" s="52">
        <f t="shared" ref="AS2:AS12" si="5">(AO2)</f>
        <v>5400</v>
      </c>
      <c r="AT2" s="52">
        <f>IF($AF$13*H16&gt;=AS2,AS2,$AF$13*H16)</f>
        <v>2844</v>
      </c>
      <c r="AU2" s="52">
        <f t="shared" ref="AU2:AU12" si="6">(AS2-AT2)</f>
        <v>2556</v>
      </c>
      <c r="AV2" s="52">
        <f t="shared" ref="AV2:AV12" si="7">(AU2*0.14*-1)</f>
        <v>-357.84000000000003</v>
      </c>
      <c r="AW2" s="52">
        <f t="shared" ref="AW2:AW12" si="8">(AU2*0.01*-1)</f>
        <v>-25.560000000000002</v>
      </c>
      <c r="AX2" s="52">
        <f t="shared" ref="AX2:AX12" si="9">(AO2+AV2+AW2)</f>
        <v>5016.5999999999995</v>
      </c>
      <c r="AY2" s="52">
        <f>IF($AF$14*H16&gt;=AM2,AM2,$AF$14*H16)</f>
        <v>5400</v>
      </c>
      <c r="BE2" s="51">
        <v>0</v>
      </c>
      <c r="BF2" s="54">
        <v>0</v>
      </c>
      <c r="BG2" s="55">
        <v>0</v>
      </c>
      <c r="BH2" s="82"/>
    </row>
    <row r="3" spans="1:60" ht="39.950000000000003" customHeight="1" x14ac:dyDescent="0.25">
      <c r="A3" s="39"/>
      <c r="B3" s="1"/>
      <c r="C3" s="2"/>
      <c r="D3" s="2"/>
      <c r="E3" s="2"/>
      <c r="F3" s="3"/>
      <c r="G3" s="2"/>
      <c r="H3" s="2"/>
      <c r="I3" s="2"/>
      <c r="J3" s="2"/>
      <c r="K3" s="2"/>
      <c r="L3" s="2"/>
      <c r="M3" s="14"/>
      <c r="N3" s="15"/>
      <c r="O3" s="16"/>
      <c r="P3" s="2"/>
      <c r="Q3" s="2"/>
      <c r="R3" s="2"/>
      <c r="S3" s="7"/>
      <c r="T3" s="43"/>
      <c r="U3" s="8"/>
      <c r="V3" s="44"/>
      <c r="W3" s="17"/>
      <c r="X3" s="18"/>
      <c r="Y3" s="19"/>
      <c r="Z3" s="47"/>
      <c r="AA3" s="49" t="s">
        <v>89</v>
      </c>
      <c r="AB3" s="50">
        <f t="shared" ref="AB3" ca="1" si="10">IF(AC3&gt;0,AC3,AC3*-1)</f>
        <v>0</v>
      </c>
      <c r="AC3" s="50">
        <f ca="1">COUNTIF(T1,"Ocak")*(AX15)
+COUNTIF(T1,"Şubat")*(AX16)
+COUNTIF(T1,"Mart")*(AX17)
+COUNTIF(T1,"Nisan")*(AX18)
+COUNTIF(T1,"Mayıs")*(AX19)
+COUNTIF(T1,"Haziran")*(AX20)
+COUNTIF(T1,"Temmuz")*(AX21)
+COUNTIF(T1,"Ağustos")*(AX22)
+COUNTIF(T1,"Eylül")*(AX23)
+COUNTIF(T1,"Ekim")*(AX24)
+COUNTIF(T1,"Kasım")*(AX25)
+COUNTIF(T1,"Aralık")*(AX26)
+COUNTIF(T1,"Yıllık Toplam")*(AX27)
+COUNTIF(T1,"Yıllık Ortalama")*(AX28)</f>
        <v>0</v>
      </c>
      <c r="AD3" s="53">
        <f>(2%)</f>
        <v>0.02</v>
      </c>
      <c r="AE3" s="49" t="s">
        <v>0</v>
      </c>
      <c r="AF3" s="50">
        <f>($AF$8*$AD$3)</f>
        <v>660.6</v>
      </c>
      <c r="AG3" s="50">
        <f>($AG$8*$AD$3)</f>
        <v>660.6</v>
      </c>
      <c r="AH3" s="52">
        <f ca="1">(AY17*AY75)</f>
        <v>0</v>
      </c>
      <c r="AI3" s="52">
        <f>(AN17/7.5*2*F17)</f>
        <v>0</v>
      </c>
      <c r="AJ3" s="52">
        <f ca="1">(AI3*AY75)</f>
        <v>0</v>
      </c>
      <c r="AK3" s="52">
        <f>(AN17/7.5*0.15*G17)</f>
        <v>0</v>
      </c>
      <c r="AL3" s="52">
        <f ca="1">(AK3*AY75)</f>
        <v>0</v>
      </c>
      <c r="AM3" s="50">
        <f>(300*H17)</f>
        <v>5400</v>
      </c>
      <c r="AN3" s="52">
        <f ca="1">(AO3+AR3+AV3+AW3+AI31)</f>
        <v>5016.5999999999995</v>
      </c>
      <c r="AO3" s="52">
        <f t="shared" si="1"/>
        <v>5400</v>
      </c>
      <c r="AP3" s="52">
        <f t="shared" si="2"/>
        <v>5400</v>
      </c>
      <c r="AQ3" s="52">
        <f t="shared" si="3"/>
        <v>0</v>
      </c>
      <c r="AR3" s="52">
        <f t="shared" si="4"/>
        <v>0</v>
      </c>
      <c r="AS3" s="52">
        <f t="shared" si="5"/>
        <v>5400</v>
      </c>
      <c r="AT3" s="52">
        <f>IF($AF$13*H17&gt;=AS3,AS3,$AF$13*H17)</f>
        <v>2844</v>
      </c>
      <c r="AU3" s="52">
        <f t="shared" si="6"/>
        <v>2556</v>
      </c>
      <c r="AV3" s="52">
        <f t="shared" si="7"/>
        <v>-357.84000000000003</v>
      </c>
      <c r="AW3" s="52">
        <f t="shared" si="8"/>
        <v>-25.560000000000002</v>
      </c>
      <c r="AX3" s="52">
        <f t="shared" si="9"/>
        <v>5016.5999999999995</v>
      </c>
      <c r="AY3" s="52">
        <f>IF($AF$14*H17&gt;=AM3,AM3,$AF$14*H17)</f>
        <v>5400</v>
      </c>
      <c r="BE3" s="51">
        <v>1</v>
      </c>
      <c r="BF3" s="54">
        <v>0.5</v>
      </c>
      <c r="BG3" s="55">
        <v>0.03</v>
      </c>
      <c r="BH3" s="82"/>
    </row>
    <row r="4" spans="1:60" ht="39.950000000000003" customHeight="1" x14ac:dyDescent="0.25">
      <c r="A4" s="39"/>
      <c r="B4" s="1"/>
      <c r="C4" s="2"/>
      <c r="D4" s="2"/>
      <c r="E4" s="2"/>
      <c r="F4" s="3"/>
      <c r="G4" s="2"/>
      <c r="H4" s="2"/>
      <c r="I4" s="2"/>
      <c r="J4" s="2"/>
      <c r="K4" s="2"/>
      <c r="L4" s="2"/>
      <c r="M4" s="14"/>
      <c r="N4" s="15"/>
      <c r="O4" s="16"/>
      <c r="P4" s="2"/>
      <c r="Q4" s="2"/>
      <c r="R4" s="2"/>
      <c r="S4" s="7"/>
      <c r="T4" s="43"/>
      <c r="U4" s="8"/>
      <c r="V4" s="44"/>
      <c r="W4" s="17"/>
      <c r="X4" s="18"/>
      <c r="Y4" s="19"/>
      <c r="Z4" s="47"/>
      <c r="AA4" s="49" t="s">
        <v>90</v>
      </c>
      <c r="AB4" s="50">
        <f t="shared" ref="AB4" ca="1" si="11">IF(AC4&gt;0,AC4,AC4*-1)</f>
        <v>31.503253847916667</v>
      </c>
      <c r="AC4" s="50">
        <f ca="1">COUNTIF(T1,"Ocak")*(AH1)
+COUNTIF(T1,"Şubat")*(AH2)
+COUNTIF(T1,"Mart")*(AH3)
+COUNTIF(T1,"Nisan")*(AH4)
+COUNTIF(T1,"Mayıs")*(AH5)
+COUNTIF(T1,"Haziran")*(AH6)
+COUNTIF(T1,"Temmuz")*(AH7)
+COUNTIF(T1,"Ağustos")*(AH8)
+COUNTIF(T1,"Eylül")*(AH9)
+COUNTIF(T1,"Ekim")*(AH10)
+COUNTIF(T1,"Kasım")*(AH11)
+COUNTIF(T1,"Aralık")*(AH12)
+COUNTIF(T1,"Yıllık Toplam")*(AH13)
+COUNTIF(T1,"Yıllık Ortalama")*(AH14)</f>
        <v>31.503253847916667</v>
      </c>
      <c r="AD4" s="53">
        <f>(1%)</f>
        <v>0.01</v>
      </c>
      <c r="AE4" s="49" t="s">
        <v>0</v>
      </c>
      <c r="AF4" s="50">
        <f>($AF$8*$AD$4)</f>
        <v>330.3</v>
      </c>
      <c r="AG4" s="50">
        <f>($AG$8*$AD$4)</f>
        <v>330.3</v>
      </c>
      <c r="AH4" s="52">
        <f ca="1">(AY18*AY76)</f>
        <v>0</v>
      </c>
      <c r="AI4" s="52">
        <f>(AN18/7.5*2*F18)</f>
        <v>0</v>
      </c>
      <c r="AJ4" s="52">
        <f ca="1">(AI4*AY76)</f>
        <v>0</v>
      </c>
      <c r="AK4" s="52">
        <f>(AN18/7.5*0.15*G18)</f>
        <v>0</v>
      </c>
      <c r="AL4" s="52">
        <f ca="1">(AK4*AY76)</f>
        <v>0</v>
      </c>
      <c r="AM4" s="50">
        <f>(300*H18)</f>
        <v>5400</v>
      </c>
      <c r="AN4" s="52">
        <f ca="1">(AO4+AR4+AV4+AW4+AI32)</f>
        <v>5016.5999999999995</v>
      </c>
      <c r="AO4" s="52">
        <f t="shared" si="1"/>
        <v>5400</v>
      </c>
      <c r="AP4" s="52">
        <f t="shared" si="2"/>
        <v>5400</v>
      </c>
      <c r="AQ4" s="52">
        <f t="shared" si="3"/>
        <v>0</v>
      </c>
      <c r="AR4" s="52">
        <f t="shared" si="4"/>
        <v>0</v>
      </c>
      <c r="AS4" s="52">
        <f t="shared" si="5"/>
        <v>5400</v>
      </c>
      <c r="AT4" s="52">
        <f>IF($AF$13*H18&gt;=AS4,AS4,$AF$13*H18)</f>
        <v>2844</v>
      </c>
      <c r="AU4" s="52">
        <f t="shared" si="6"/>
        <v>2556</v>
      </c>
      <c r="AV4" s="52">
        <f t="shared" si="7"/>
        <v>-357.84000000000003</v>
      </c>
      <c r="AW4" s="52">
        <f t="shared" si="8"/>
        <v>-25.560000000000002</v>
      </c>
      <c r="AX4" s="52">
        <f t="shared" si="9"/>
        <v>5016.5999999999995</v>
      </c>
      <c r="AY4" s="52">
        <f>IF($AF$14*H18&gt;=AM4,AM4,$AF$14*H18)</f>
        <v>5400</v>
      </c>
      <c r="BE4" s="51">
        <v>2</v>
      </c>
      <c r="BF4" s="54">
        <v>1</v>
      </c>
      <c r="BG4" s="55">
        <v>0.04</v>
      </c>
      <c r="BH4" s="82"/>
    </row>
    <row r="5" spans="1:60" ht="39.950000000000003" customHeight="1" x14ac:dyDescent="0.25">
      <c r="A5" s="39"/>
      <c r="B5" s="1"/>
      <c r="C5" s="2"/>
      <c r="D5" s="2"/>
      <c r="E5" s="2"/>
      <c r="F5" s="3"/>
      <c r="G5" s="2"/>
      <c r="H5" s="2"/>
      <c r="I5" s="2"/>
      <c r="J5" s="2"/>
      <c r="K5" s="2"/>
      <c r="L5" s="2"/>
      <c r="M5" s="14"/>
      <c r="N5" s="15"/>
      <c r="O5" s="16"/>
      <c r="P5" s="2"/>
      <c r="Q5" s="2"/>
      <c r="R5" s="2"/>
      <c r="S5" s="7"/>
      <c r="T5" s="43"/>
      <c r="U5" s="8"/>
      <c r="V5" s="44"/>
      <c r="W5" s="17"/>
      <c r="X5" s="18"/>
      <c r="Y5" s="19"/>
      <c r="Z5" s="47"/>
      <c r="AA5" s="49" t="s">
        <v>91</v>
      </c>
      <c r="AB5" s="50">
        <f t="shared" ref="AB5:AB12" ca="1" si="12">IF(AC5&gt;0,AC5,AC5*-1)</f>
        <v>0</v>
      </c>
      <c r="AC5" s="50">
        <f ca="1">COUNTIF(T1,"Ocak")*(AJ1)
+COUNTIF(T1,"Şubat")*(AJ2)
+COUNTIF(T1,"Mart")*(AJ3)
+COUNTIF(T1,"Nisan")*(AJ4)
+COUNTIF(T1,"Mayıs")*(AJ5)
+COUNTIF(T1,"Haziran")*(AJ6)
+COUNTIF(T1,"Temmuz")*(AJ7)
+COUNTIF(T1,"Ağustos")*(AJ8)
+COUNTIF(T1,"Eylül")*(AJ9)
+COUNTIF(T1,"Ekim")*(AJ10)
+COUNTIF(T1,"Kasım")*(AJ11)
+COUNTIF(T1,"Aralık")*(AJ12)
+COUNTIF(T1,"Yıllık Toplam")*(AJ13)
+COUNTIF(T1,"Yıllık Ortalama")*(AJ14)</f>
        <v>0</v>
      </c>
      <c r="AD5" s="49" t="s">
        <v>0</v>
      </c>
      <c r="AE5" s="49" t="s">
        <v>0</v>
      </c>
      <c r="AF5" s="50">
        <f>($AF$16)</f>
        <v>3154.6307830000001</v>
      </c>
      <c r="AG5" s="50">
        <f>($AG$16)</f>
        <v>3154.6307830000001</v>
      </c>
      <c r="AH5" s="52">
        <f ca="1">(AY19*AY77)</f>
        <v>0</v>
      </c>
      <c r="AI5" s="52">
        <f>(AN19/7.5*2*F19)</f>
        <v>0</v>
      </c>
      <c r="AJ5" s="52">
        <f ca="1">(AI5*AY77)</f>
        <v>0</v>
      </c>
      <c r="AK5" s="52">
        <f>(AN19/7.5*0.15*G19)</f>
        <v>0</v>
      </c>
      <c r="AL5" s="52">
        <f ca="1">(AK5*AY77)</f>
        <v>0</v>
      </c>
      <c r="AM5" s="50">
        <f>(300*H19)</f>
        <v>5400</v>
      </c>
      <c r="AN5" s="52">
        <f ca="1">(AO5+AR5+AV5+AW5+AI33)</f>
        <v>5016.5999999999995</v>
      </c>
      <c r="AO5" s="52">
        <f t="shared" si="1"/>
        <v>5400</v>
      </c>
      <c r="AP5" s="52">
        <f t="shared" si="2"/>
        <v>5400</v>
      </c>
      <c r="AQ5" s="52">
        <f t="shared" si="3"/>
        <v>0</v>
      </c>
      <c r="AR5" s="52">
        <f t="shared" si="4"/>
        <v>0</v>
      </c>
      <c r="AS5" s="52">
        <f t="shared" si="5"/>
        <v>5400</v>
      </c>
      <c r="AT5" s="52">
        <f>IF($AF$13*H19&gt;=AS5,AS5,$AF$13*H19)</f>
        <v>2844</v>
      </c>
      <c r="AU5" s="52">
        <f t="shared" si="6"/>
        <v>2556</v>
      </c>
      <c r="AV5" s="52">
        <f t="shared" si="7"/>
        <v>-357.84000000000003</v>
      </c>
      <c r="AW5" s="52">
        <f t="shared" si="8"/>
        <v>-25.560000000000002</v>
      </c>
      <c r="AX5" s="52">
        <f t="shared" si="9"/>
        <v>5016.5999999999995</v>
      </c>
      <c r="AY5" s="52">
        <f>IF($AF$14*H19&gt;=AM5,AM5,$AF$14*H19)</f>
        <v>5400</v>
      </c>
      <c r="BE5" s="51">
        <v>3</v>
      </c>
      <c r="BF5" s="54">
        <v>1.5</v>
      </c>
      <c r="BG5" s="55">
        <v>0.05</v>
      </c>
      <c r="BH5" s="82"/>
    </row>
    <row r="6" spans="1:60" ht="39.950000000000003" customHeight="1" x14ac:dyDescent="0.25">
      <c r="A6" s="39"/>
      <c r="B6" s="1"/>
      <c r="C6" s="2"/>
      <c r="D6" s="2"/>
      <c r="E6" s="2"/>
      <c r="F6" s="3"/>
      <c r="G6" s="2"/>
      <c r="H6" s="2"/>
      <c r="I6" s="2"/>
      <c r="J6" s="2"/>
      <c r="K6" s="2"/>
      <c r="L6" s="2"/>
      <c r="M6" s="14"/>
      <c r="N6" s="15"/>
      <c r="O6" s="16"/>
      <c r="P6" s="2"/>
      <c r="Q6" s="2"/>
      <c r="R6" s="2"/>
      <c r="S6" s="7"/>
      <c r="T6" s="43"/>
      <c r="U6" s="8"/>
      <c r="V6" s="44"/>
      <c r="W6" s="17"/>
      <c r="X6" s="18"/>
      <c r="Y6" s="19"/>
      <c r="Z6" s="47"/>
      <c r="AA6" s="49" t="s">
        <v>92</v>
      </c>
      <c r="AB6" s="50">
        <f t="shared" ca="1" si="12"/>
        <v>0</v>
      </c>
      <c r="AC6" s="52">
        <f ca="1">COUNTIF(T1,"Ocak")*(AL1)
+COUNTIF(T1,"Şubat")*(AL2)
+COUNTIF(T1,"Mart")*(AL3)
+COUNTIF(T1,"Nisan")*(AL4)
+COUNTIF(T1,"Mayıs")*(AL5)
+COUNTIF(T1,"Haziran")*(AL6)
+COUNTIF(T1,"Temmuz")*(AL7)
+COUNTIF(T1,"Ağustos")*(AL8)
+COUNTIF(T1,"Eylül")*(AL9)
+COUNTIF(T1,"Ekim")*(AL10)
+COUNTIF(T1,"Kasım")*(AL11)
+COUNTIF(T1,"Aralık")*(AL12)
+COUNTIF(T1,"Yıllık Toplam")*(AL13)
+COUNTIF(T1,"Yıllık Ortalama")*(AL14)</f>
        <v>0</v>
      </c>
      <c r="AD6" s="49" t="s">
        <v>0</v>
      </c>
      <c r="AE6" s="49" t="s">
        <v>0</v>
      </c>
      <c r="AF6" s="50">
        <f>($AF$17)</f>
        <v>693.93550000000005</v>
      </c>
      <c r="AG6" s="50">
        <f>($AG$17)</f>
        <v>693.93550000000005</v>
      </c>
      <c r="AH6" s="52">
        <f ca="1">(AY20*AY78)</f>
        <v>0</v>
      </c>
      <c r="AI6" s="52">
        <f>(AN20/7.5*2*F20)</f>
        <v>0</v>
      </c>
      <c r="AJ6" s="52">
        <f ca="1">(AI6*AY78)</f>
        <v>0</v>
      </c>
      <c r="AK6" s="52">
        <f>(AN20/7.5*0.15*G20)</f>
        <v>0</v>
      </c>
      <c r="AL6" s="52">
        <f ca="1">(AK6*AY78)</f>
        <v>0</v>
      </c>
      <c r="AM6" s="50">
        <f>(300*H20)</f>
        <v>5400</v>
      </c>
      <c r="AN6" s="52">
        <f ca="1">(AO6+AR6+AV6+AW6+AI34)</f>
        <v>5016.5999999999995</v>
      </c>
      <c r="AO6" s="52">
        <f t="shared" si="1"/>
        <v>5400</v>
      </c>
      <c r="AP6" s="52">
        <f t="shared" si="2"/>
        <v>5400</v>
      </c>
      <c r="AQ6" s="52">
        <f t="shared" si="3"/>
        <v>0</v>
      </c>
      <c r="AR6" s="52">
        <f t="shared" si="4"/>
        <v>0</v>
      </c>
      <c r="AS6" s="52">
        <f t="shared" si="5"/>
        <v>5400</v>
      </c>
      <c r="AT6" s="52">
        <f>IF($AF$13*H20&gt;=AS6,AS6,$AF$13*H20)</f>
        <v>2844</v>
      </c>
      <c r="AU6" s="52">
        <f t="shared" si="6"/>
        <v>2556</v>
      </c>
      <c r="AV6" s="52">
        <f t="shared" si="7"/>
        <v>-357.84000000000003</v>
      </c>
      <c r="AW6" s="52">
        <f t="shared" si="8"/>
        <v>-25.560000000000002</v>
      </c>
      <c r="AX6" s="52">
        <f t="shared" si="9"/>
        <v>5016.5999999999995</v>
      </c>
      <c r="AY6" s="52">
        <f>IF($AF$14*H20&gt;=AM6,AM6,$AF$14*H20)</f>
        <v>5400</v>
      </c>
      <c r="BE6" s="51">
        <v>4</v>
      </c>
      <c r="BF6" s="54">
        <v>2</v>
      </c>
      <c r="BG6" s="55">
        <v>0.06</v>
      </c>
      <c r="BH6" s="82"/>
    </row>
    <row r="7" spans="1:60" ht="39.950000000000003" customHeight="1" x14ac:dyDescent="0.25">
      <c r="A7" s="39"/>
      <c r="B7" s="1"/>
      <c r="C7" s="2"/>
      <c r="D7" s="2"/>
      <c r="E7" s="2"/>
      <c r="F7" s="3"/>
      <c r="G7" s="2"/>
      <c r="H7" s="2"/>
      <c r="I7" s="2"/>
      <c r="J7" s="2"/>
      <c r="K7" s="2"/>
      <c r="L7" s="2"/>
      <c r="M7" s="14"/>
      <c r="N7" s="15"/>
      <c r="O7" s="16"/>
      <c r="P7" s="2"/>
      <c r="Q7" s="2"/>
      <c r="R7" s="2"/>
      <c r="S7" s="7"/>
      <c r="T7" s="43"/>
      <c r="U7" s="8"/>
      <c r="V7" s="44"/>
      <c r="W7" s="17"/>
      <c r="X7" s="18"/>
      <c r="Y7" s="19"/>
      <c r="Z7" s="47"/>
      <c r="AA7" s="49" t="s">
        <v>5</v>
      </c>
      <c r="AB7" s="50">
        <f t="shared" ca="1" si="12"/>
        <v>5016.5999999999995</v>
      </c>
      <c r="AC7" s="50">
        <f ca="1">COUNTIF(T1,"Ocak")*(AN1)
+COUNTIF(T1,"Şubat")*(AN2)
+COUNTIF(T1,"Mart")*(AN3)
+COUNTIF(T1,"Nisan")*(AN4)
+COUNTIF(T1,"Mayıs")*(AN5)
+COUNTIF(T1,"Haziran")*(AN6)
+COUNTIF(T1,"Temmuz")*(AN7)
+COUNTIF(T1,"Ağustos")*(AN8)
+COUNTIF(T1,"Eylül")*(AN9)
+COUNTIF(T1,"Ekim")*(AN10)
+COUNTIF(T1,"Kasım")*(AN11)
+COUNTIF(T1,"Aralık")*(AN12)
+COUNTIF(T1,"Yıllık Toplam")*(AN13)
+COUNTIF(T1,"Yıllık Ortalama")*(AN14)</f>
        <v>5016.5999999999995</v>
      </c>
      <c r="AD7" s="49" t="s">
        <v>0</v>
      </c>
      <c r="AE7" s="49" t="s">
        <v>0</v>
      </c>
      <c r="AF7" s="50">
        <f>($AF$18)</f>
        <v>346.96775000000002</v>
      </c>
      <c r="AG7" s="50">
        <f>($AG$18)</f>
        <v>346.96775000000002</v>
      </c>
      <c r="AH7" s="52">
        <f ca="1">(AY21*AY79)</f>
        <v>0</v>
      </c>
      <c r="AI7" s="52">
        <f>(AN21/7.5*2*F21)</f>
        <v>0</v>
      </c>
      <c r="AJ7" s="52">
        <f ca="1">(AI7*AY79)</f>
        <v>0</v>
      </c>
      <c r="AK7" s="52">
        <f>(AN21/7.5*0.15*G21)</f>
        <v>0</v>
      </c>
      <c r="AL7" s="52">
        <f ca="1">(AK7*AY79)</f>
        <v>0</v>
      </c>
      <c r="AM7" s="50">
        <f>(300*H21)</f>
        <v>5400</v>
      </c>
      <c r="AN7" s="52">
        <f ca="1">(AO7+AR7+AV7+AW7+AI35)</f>
        <v>5016.5999999999995</v>
      </c>
      <c r="AO7" s="52">
        <f t="shared" si="1"/>
        <v>5400</v>
      </c>
      <c r="AP7" s="52">
        <f t="shared" si="2"/>
        <v>5400</v>
      </c>
      <c r="AQ7" s="52">
        <f t="shared" si="3"/>
        <v>0</v>
      </c>
      <c r="AR7" s="52">
        <f t="shared" si="4"/>
        <v>0</v>
      </c>
      <c r="AS7" s="52">
        <f t="shared" si="5"/>
        <v>5400</v>
      </c>
      <c r="AT7" s="52">
        <f>IF($AG$13*H21&gt;=AS7,AS7,$AG$13*H21)</f>
        <v>2844</v>
      </c>
      <c r="AU7" s="52">
        <f t="shared" si="6"/>
        <v>2556</v>
      </c>
      <c r="AV7" s="52">
        <f t="shared" si="7"/>
        <v>-357.84000000000003</v>
      </c>
      <c r="AW7" s="52">
        <f t="shared" si="8"/>
        <v>-25.560000000000002</v>
      </c>
      <c r="AX7" s="52">
        <f t="shared" si="9"/>
        <v>5016.5999999999995</v>
      </c>
      <c r="AY7" s="52">
        <f>IF($AG$14*H21&gt;=AM7,AM7,$AG$14*H21)</f>
        <v>5400</v>
      </c>
      <c r="BE7" s="51">
        <v>5</v>
      </c>
      <c r="BF7" s="54">
        <v>2.5</v>
      </c>
      <c r="BG7" s="55">
        <v>7.0000000000000007E-2</v>
      </c>
      <c r="BH7" s="82"/>
    </row>
    <row r="8" spans="1:60" ht="39.950000000000003" customHeight="1" x14ac:dyDescent="0.25">
      <c r="A8" s="39"/>
      <c r="B8" s="1"/>
      <c r="C8" s="2"/>
      <c r="D8" s="2"/>
      <c r="E8" s="2"/>
      <c r="F8" s="3"/>
      <c r="G8" s="2"/>
      <c r="H8" s="2"/>
      <c r="I8" s="2"/>
      <c r="J8" s="2"/>
      <c r="K8" s="2"/>
      <c r="L8" s="2"/>
      <c r="M8" s="14"/>
      <c r="N8" s="15"/>
      <c r="O8" s="16"/>
      <c r="P8" s="2"/>
      <c r="Q8" s="2"/>
      <c r="R8" s="2"/>
      <c r="S8" s="7"/>
      <c r="T8" s="43"/>
      <c r="U8" s="8"/>
      <c r="V8" s="44"/>
      <c r="W8" s="17"/>
      <c r="X8" s="18"/>
      <c r="Y8" s="19"/>
      <c r="Z8" s="47"/>
      <c r="AA8" s="49" t="s">
        <v>27</v>
      </c>
      <c r="AB8" s="50">
        <f t="shared" si="12"/>
        <v>2235.6346153846157</v>
      </c>
      <c r="AC8" s="50">
        <f>COUNTIF(T1,"Ocak")*(AK29)
+COUNTIF(T1,"Şubat")*(AK30)
+COUNTIF(T1,"Mart")*(AK31)
+COUNTIF(T1,"Nisan")*(AK32)
+COUNTIF(T1,"Mayıs")*(AK33)
+COUNTIF(T1,"Haziran")*(AK34)
+COUNTIF(T1,"Temmuz")*(AK35)
+COUNTIF(T1,"Ağustos")*(AK36)
+COUNTIF(T1,"Eylül")*(AK37)
+COUNTIF(T1,"Ekim")*(AK38)
+COUNTIF(T1,"Kasım")*(AK39)
+COUNTIF(T1,"Aralık")*(AK40)
+COUNTIF(T1,"Yıllık Toplam")*(AK41)
+COUNTIF(T1,"Yıllık Ortalama")*(AK42)</f>
        <v>2235.6346153846157</v>
      </c>
      <c r="AD8" s="50" t="s">
        <v>0</v>
      </c>
      <c r="AE8" s="49" t="s">
        <v>0</v>
      </c>
      <c r="AF8" s="50">
        <v>33030</v>
      </c>
      <c r="AG8" s="50">
        <v>33030</v>
      </c>
      <c r="AH8" s="52">
        <f ca="1">(AY22*AY80)</f>
        <v>0</v>
      </c>
      <c r="AI8" s="52">
        <f>(AN22/7.5*2*F22)</f>
        <v>0</v>
      </c>
      <c r="AJ8" s="52">
        <f ca="1">(AI8*AY80)</f>
        <v>0</v>
      </c>
      <c r="AK8" s="52">
        <f>(AN22/7.5*0.15*G22)</f>
        <v>0</v>
      </c>
      <c r="AL8" s="52">
        <f ca="1">(AK8*AY80)</f>
        <v>0</v>
      </c>
      <c r="AM8" s="50">
        <f>(300*H22)</f>
        <v>5400</v>
      </c>
      <c r="AN8" s="52">
        <f ca="1">(AO8+AR8+AV8+AW8+AI36)</f>
        <v>5016.5999999999995</v>
      </c>
      <c r="AO8" s="52">
        <f t="shared" si="1"/>
        <v>5400</v>
      </c>
      <c r="AP8" s="52">
        <f t="shared" si="2"/>
        <v>5400</v>
      </c>
      <c r="AQ8" s="52">
        <f t="shared" si="3"/>
        <v>0</v>
      </c>
      <c r="AR8" s="52">
        <f t="shared" si="4"/>
        <v>0</v>
      </c>
      <c r="AS8" s="52">
        <f t="shared" si="5"/>
        <v>5400</v>
      </c>
      <c r="AT8" s="52">
        <f>IF($AG$13*H22&gt;=AS8,AS8,$AG$13*H22)</f>
        <v>2844</v>
      </c>
      <c r="AU8" s="52">
        <f t="shared" si="6"/>
        <v>2556</v>
      </c>
      <c r="AV8" s="52">
        <f t="shared" si="7"/>
        <v>-357.84000000000003</v>
      </c>
      <c r="AW8" s="52">
        <f t="shared" si="8"/>
        <v>-25.560000000000002</v>
      </c>
      <c r="AX8" s="52">
        <f t="shared" si="9"/>
        <v>5016.5999999999995</v>
      </c>
      <c r="AY8" s="52">
        <f>IF($AG$14*H22&gt;=AM8,AM8,$AG$14*H22)</f>
        <v>5400</v>
      </c>
      <c r="BE8" s="51">
        <v>6</v>
      </c>
      <c r="BF8" s="54">
        <v>3</v>
      </c>
      <c r="BG8" s="55">
        <v>0.08</v>
      </c>
      <c r="BH8" s="82"/>
    </row>
    <row r="9" spans="1:60" ht="39.950000000000003" customHeight="1" x14ac:dyDescent="0.25">
      <c r="A9" s="39"/>
      <c r="B9" s="1"/>
      <c r="C9" s="2"/>
      <c r="D9" s="2"/>
      <c r="E9" s="2"/>
      <c r="F9" s="3"/>
      <c r="G9" s="2"/>
      <c r="H9" s="2"/>
      <c r="I9" s="2"/>
      <c r="J9" s="2"/>
      <c r="K9" s="2"/>
      <c r="L9" s="2"/>
      <c r="M9" s="14"/>
      <c r="N9" s="15"/>
      <c r="O9" s="16"/>
      <c r="P9" s="2"/>
      <c r="Q9" s="2"/>
      <c r="R9" s="2"/>
      <c r="S9" s="7"/>
      <c r="T9" s="43"/>
      <c r="U9" s="8"/>
      <c r="V9" s="44"/>
      <c r="W9" s="17"/>
      <c r="X9" s="18"/>
      <c r="Y9" s="19"/>
      <c r="Z9" s="47"/>
      <c r="AA9" s="49" t="s">
        <v>32</v>
      </c>
      <c r="AB9" s="50">
        <f t="shared" ca="1" si="12"/>
        <v>6873.6402294309783</v>
      </c>
      <c r="AC9" s="50">
        <f ca="1">COUNTIF(T1,"Ocak")*(AN29)
+COUNTIF(T1,"Şubat")*(AN30)
+COUNTIF(T1,"Mart")*(AN31)
+COUNTIF(T1,"Nisan")*(AN32)
+COUNTIF(T1,"Mayıs")*(AN33)
+COUNTIF(T1,"Haziran")*(AN34)
+COUNTIF(T1,"Temmuz")*(AN35)
+COUNTIF(T1,"Ağustos")*(AN36)
+COUNTIF(T1,"Eylül")*(AN37)
+COUNTIF(T1,"Ekim")*(AN38)
+COUNTIF(T1,"Kasım")*(AN39)
+COUNTIF(T1,"Aralık")*(AN40)
+COUNTIF(T1,"Yıllık Toplam")*(AN41)
+COUNTIF(T1,"Yıllık Ortalama")*(AN42)</f>
        <v>6873.6402294309783</v>
      </c>
      <c r="AD9" s="50" t="s">
        <v>0</v>
      </c>
      <c r="AE9" s="49" t="s">
        <v>0</v>
      </c>
      <c r="AF9" s="50">
        <v>0</v>
      </c>
      <c r="AG9" s="50">
        <v>0</v>
      </c>
      <c r="AH9" s="52">
        <f ca="1">(AY23*AY81)</f>
        <v>0</v>
      </c>
      <c r="AI9" s="52">
        <f>(AN23/7.5*2*F23)</f>
        <v>0</v>
      </c>
      <c r="AJ9" s="52">
        <f ca="1">(AI9*AY81)</f>
        <v>0</v>
      </c>
      <c r="AK9" s="52">
        <f>(AN23/7.5*0.15*G23)</f>
        <v>0</v>
      </c>
      <c r="AL9" s="52">
        <f ca="1">(AK9*AY81)</f>
        <v>0</v>
      </c>
      <c r="AM9" s="50">
        <f>(300*H23)</f>
        <v>5400</v>
      </c>
      <c r="AN9" s="52">
        <f ca="1">(AO9+AR9+AV9+AW9+AI37)</f>
        <v>5016.5999999999995</v>
      </c>
      <c r="AO9" s="52">
        <f t="shared" si="1"/>
        <v>5400</v>
      </c>
      <c r="AP9" s="52">
        <f t="shared" si="2"/>
        <v>5400</v>
      </c>
      <c r="AQ9" s="52">
        <f t="shared" si="3"/>
        <v>0</v>
      </c>
      <c r="AR9" s="52">
        <f t="shared" si="4"/>
        <v>0</v>
      </c>
      <c r="AS9" s="52">
        <f t="shared" si="5"/>
        <v>5400</v>
      </c>
      <c r="AT9" s="52">
        <f>IF($AG$13*H23&gt;=AS9,AS9,$AG$13*H23)</f>
        <v>2844</v>
      </c>
      <c r="AU9" s="52">
        <f t="shared" si="6"/>
        <v>2556</v>
      </c>
      <c r="AV9" s="52">
        <f t="shared" si="7"/>
        <v>-357.84000000000003</v>
      </c>
      <c r="AW9" s="52">
        <f t="shared" si="8"/>
        <v>-25.560000000000002</v>
      </c>
      <c r="AX9" s="52">
        <f t="shared" si="9"/>
        <v>5016.5999999999995</v>
      </c>
      <c r="AY9" s="52">
        <f>IF($AG$14*H23&gt;=AM9,AM9,$AG$14*H23)</f>
        <v>5400</v>
      </c>
      <c r="BE9" s="51">
        <v>7</v>
      </c>
      <c r="BF9" s="54">
        <v>3.5</v>
      </c>
      <c r="BG9" s="55">
        <v>0.09</v>
      </c>
      <c r="BH9" s="82"/>
    </row>
    <row r="10" spans="1:60" ht="39.950000000000003" customHeight="1" x14ac:dyDescent="0.25">
      <c r="A10" s="39"/>
      <c r="B10" s="1"/>
      <c r="C10" s="2"/>
      <c r="D10" s="2"/>
      <c r="E10" s="2"/>
      <c r="F10" s="3"/>
      <c r="G10" s="2"/>
      <c r="H10" s="2"/>
      <c r="I10" s="2"/>
      <c r="J10" s="2"/>
      <c r="K10" s="2"/>
      <c r="L10" s="2"/>
      <c r="M10" s="14"/>
      <c r="N10" s="15"/>
      <c r="O10" s="16"/>
      <c r="P10" s="2"/>
      <c r="Q10" s="2"/>
      <c r="R10" s="2"/>
      <c r="S10" s="7"/>
      <c r="T10" s="43"/>
      <c r="U10" s="8"/>
      <c r="V10" s="44"/>
      <c r="W10" s="17"/>
      <c r="X10" s="18"/>
      <c r="Y10" s="19"/>
      <c r="Z10" s="47"/>
      <c r="AA10" s="49" t="s">
        <v>81</v>
      </c>
      <c r="AB10" s="50">
        <f t="shared" ca="1" si="12"/>
        <v>2885.1244762576571</v>
      </c>
      <c r="AC10" s="50">
        <f ca="1">COUNTIF(T1,"Ocak")*(AQ29)
+COUNTIF(T1,"Şubat")*(AQ30)
+COUNTIF(T1,"Mart")*(AQ31)
+COUNTIF(T1,"Nisan")*(AQ32)
+COUNTIF(T1,"Mayıs")*(AQ33)
+COUNTIF(T1,"Haziran")*(AQ34)
+COUNTIF(T1,"Temmuz")*(AQ35)
+COUNTIF(T1,"Ağustos")*(AQ36)
+COUNTIF(T1,"Eylül")*(AQ37)
+COUNTIF(T1,"Ekim")*(AQ38)
+COUNTIF(T1,"Kasım")*(AQ39)
+COUNTIF(T1,"Aralık")*(AQ40)
+COUNTIF(T1,"Yıllık Toplam")*(AQ41)
+COUNTIF(T1,"Yıllık Ortalama")*(AQ42)</f>
        <v>2885.1244762576571</v>
      </c>
      <c r="AD10" s="50" t="s">
        <v>0</v>
      </c>
      <c r="AE10" s="49" t="s">
        <v>0</v>
      </c>
      <c r="AF10" s="50">
        <v>158</v>
      </c>
      <c r="AG10" s="50">
        <v>158</v>
      </c>
      <c r="AH10" s="52">
        <f ca="1">(AY24*AY82)</f>
        <v>0</v>
      </c>
      <c r="AI10" s="52">
        <f>(AN24/7.5*2*F24)</f>
        <v>0</v>
      </c>
      <c r="AJ10" s="52">
        <f ca="1">(AI10*AY82)</f>
        <v>0</v>
      </c>
      <c r="AK10" s="52">
        <f>(AN24/7.5*0.15*G24)</f>
        <v>0</v>
      </c>
      <c r="AL10" s="52">
        <f ca="1">(AK10*AY82)</f>
        <v>0</v>
      </c>
      <c r="AM10" s="50">
        <f>(300*H24)</f>
        <v>5400</v>
      </c>
      <c r="AN10" s="52">
        <f ca="1">(AO10+AR10+AV10+AW10+AI38)</f>
        <v>5016.5999999999995</v>
      </c>
      <c r="AO10" s="52">
        <f t="shared" si="1"/>
        <v>5400</v>
      </c>
      <c r="AP10" s="52">
        <f t="shared" si="2"/>
        <v>5400</v>
      </c>
      <c r="AQ10" s="52">
        <f t="shared" si="3"/>
        <v>0</v>
      </c>
      <c r="AR10" s="52">
        <f t="shared" si="4"/>
        <v>0</v>
      </c>
      <c r="AS10" s="52">
        <f t="shared" si="5"/>
        <v>5400</v>
      </c>
      <c r="AT10" s="52">
        <f>IF($AG$13*H24&gt;=AS10,AS10,$AG$13*H24)</f>
        <v>2844</v>
      </c>
      <c r="AU10" s="52">
        <f t="shared" si="6"/>
        <v>2556</v>
      </c>
      <c r="AV10" s="52">
        <f t="shared" si="7"/>
        <v>-357.84000000000003</v>
      </c>
      <c r="AW10" s="52">
        <f t="shared" si="8"/>
        <v>-25.560000000000002</v>
      </c>
      <c r="AX10" s="52">
        <f t="shared" si="9"/>
        <v>5016.5999999999995</v>
      </c>
      <c r="AY10" s="52">
        <f>IF($AG$14*H24&gt;=AM10,AM10,$AG$14*H24)</f>
        <v>5400</v>
      </c>
      <c r="BE10" s="51">
        <v>8</v>
      </c>
      <c r="BF10" s="54">
        <v>4</v>
      </c>
      <c r="BG10" s="55">
        <v>0.1</v>
      </c>
      <c r="BH10" s="82"/>
    </row>
    <row r="11" spans="1:60" ht="39.950000000000003" customHeight="1" x14ac:dyDescent="0.25">
      <c r="A11" s="39"/>
      <c r="B11" s="1"/>
      <c r="C11" s="2"/>
      <c r="D11" s="2"/>
      <c r="E11" s="2"/>
      <c r="F11" s="3"/>
      <c r="G11" s="2"/>
      <c r="H11" s="2"/>
      <c r="I11" s="2"/>
      <c r="J11" s="2"/>
      <c r="K11" s="2"/>
      <c r="L11" s="2"/>
      <c r="M11" s="14"/>
      <c r="N11" s="15"/>
      <c r="O11" s="16"/>
      <c r="P11" s="2"/>
      <c r="Q11" s="2"/>
      <c r="R11" s="2"/>
      <c r="S11" s="7"/>
      <c r="T11" s="43"/>
      <c r="U11" s="8"/>
      <c r="V11" s="44"/>
      <c r="W11" s="17"/>
      <c r="X11" s="18"/>
      <c r="Y11" s="19"/>
      <c r="Z11" s="47"/>
      <c r="AA11" s="49" t="s">
        <v>70</v>
      </c>
      <c r="AB11" s="50">
        <f t="shared" ca="1" si="12"/>
        <v>260.78094086646706</v>
      </c>
      <c r="AC11" s="50">
        <f ca="1">COUNTIF(T1,"Ocak")*(AT29)
+COUNTIF(T1,"Şubat")*(AT30)
+COUNTIF(T1,"Mart")*(AT31)
+COUNTIF(T1,"Nisan")*(AT32)
+COUNTIF(T1,"Mayıs")*(AT33)
+COUNTIF(T1,"Haziran")*(AT34)
+COUNTIF(T1,"Temmuz")*(AT35)
+COUNTIF(T1,"Ağustos")*(AT36)
+COUNTIF(T1,"Eylül")*(AT37)
+COUNTIF(T1,"Ekim")*(AT38)
+COUNTIF(T1,"Kasım")*(AT39)
+COUNTIF(T1,"Aralık")*(AT40)
+COUNTIF(T1,"Yıllık Toplam")*(AT41)
+COUNTIF(T1,"Yıllık Ortalama")*(AT42)</f>
        <v>260.78094086646706</v>
      </c>
      <c r="AD11" s="50" t="s">
        <v>0</v>
      </c>
      <c r="AE11" s="49" t="s">
        <v>0</v>
      </c>
      <c r="AF11" s="50">
        <v>1000</v>
      </c>
      <c r="AG11" s="50">
        <v>1000</v>
      </c>
      <c r="AH11" s="52">
        <f ca="1">(AY25*AY83)</f>
        <v>0</v>
      </c>
      <c r="AI11" s="52">
        <f>(AN25/7.5*2*F25)</f>
        <v>0</v>
      </c>
      <c r="AJ11" s="52">
        <f ca="1">(AI11*AY83)</f>
        <v>0</v>
      </c>
      <c r="AK11" s="52">
        <f>(AN25/7.5*0.15*G25)</f>
        <v>0</v>
      </c>
      <c r="AL11" s="52">
        <f ca="1">(AK11*AY83)</f>
        <v>0</v>
      </c>
      <c r="AM11" s="50">
        <f>(300*H25)</f>
        <v>5400</v>
      </c>
      <c r="AN11" s="52">
        <f ca="1">(AO11+AR11+AV11+AW11+AI39)</f>
        <v>5016.5999999999995</v>
      </c>
      <c r="AO11" s="52">
        <f t="shared" si="1"/>
        <v>5400</v>
      </c>
      <c r="AP11" s="52">
        <f t="shared" si="2"/>
        <v>5400</v>
      </c>
      <c r="AQ11" s="52">
        <f t="shared" si="3"/>
        <v>0</v>
      </c>
      <c r="AR11" s="52">
        <f t="shared" si="4"/>
        <v>0</v>
      </c>
      <c r="AS11" s="52">
        <f t="shared" si="5"/>
        <v>5400</v>
      </c>
      <c r="AT11" s="52">
        <f>IF($AG$13*H25&gt;=AS11,AS11,$AG$13*H25)</f>
        <v>2844</v>
      </c>
      <c r="AU11" s="52">
        <f t="shared" si="6"/>
        <v>2556</v>
      </c>
      <c r="AV11" s="52">
        <f t="shared" si="7"/>
        <v>-357.84000000000003</v>
      </c>
      <c r="AW11" s="52">
        <f t="shared" si="8"/>
        <v>-25.560000000000002</v>
      </c>
      <c r="AX11" s="52">
        <f t="shared" si="9"/>
        <v>5016.5999999999995</v>
      </c>
      <c r="AY11" s="52">
        <f>IF($AG$14*H25&gt;=AM11,AM11,$AG$14*H25)</f>
        <v>5400</v>
      </c>
      <c r="BE11" s="51">
        <v>9</v>
      </c>
      <c r="BF11" s="54">
        <v>4.5</v>
      </c>
      <c r="BG11" s="55">
        <v>0.11</v>
      </c>
      <c r="BH11" s="82"/>
    </row>
    <row r="12" spans="1:60" ht="39.950000000000003" customHeight="1" x14ac:dyDescent="0.25">
      <c r="A12" s="39"/>
      <c r="B12" s="1"/>
      <c r="C12" s="2"/>
      <c r="D12" s="2"/>
      <c r="E12" s="2"/>
      <c r="F12" s="3"/>
      <c r="G12" s="2"/>
      <c r="H12" s="2"/>
      <c r="I12" s="2"/>
      <c r="J12" s="2"/>
      <c r="K12" s="2"/>
      <c r="L12" s="2"/>
      <c r="M12" s="14"/>
      <c r="N12" s="15"/>
      <c r="O12" s="16"/>
      <c r="P12" s="2"/>
      <c r="Q12" s="2"/>
      <c r="R12" s="2"/>
      <c r="S12" s="7"/>
      <c r="T12" s="43"/>
      <c r="U12" s="8"/>
      <c r="V12" s="44"/>
      <c r="W12" s="17"/>
      <c r="X12" s="18"/>
      <c r="Y12" s="19"/>
      <c r="Z12" s="47"/>
      <c r="AA12" s="49" t="s">
        <v>71</v>
      </c>
      <c r="AB12" s="50">
        <f t="shared" ca="1" si="12"/>
        <v>0</v>
      </c>
      <c r="AC12" s="50">
        <f ca="1">COUNTIF(T1,"Ocak")*(AY29)
+COUNTIF(T1,"Şubat")*(AY30)
+COUNTIF(T1,"Mart")*(AY31)
+COUNTIF(T1,"Nisan")*(AY32)
+COUNTIF(T1,"Mayıs")*(AY33)
+COUNTIF(T1,"Haziran")*(AY34)
+COUNTIF(T1,"Temmuz")*(AY35)
+COUNTIF(T1,"Ağustos")*(AY36)
+COUNTIF(T1,"Eylül")*(AY37)
+COUNTIF(T1,"Ekim")*(AY38)
+COUNTIF(T1,"Kasım")*(AY39)
+COUNTIF(T1,"Aralık")*(AY40)
+COUNTIF(T1,"Yıllık Toplam")*(AY41)
+COUNTIF(T1,"Yıllık Ortalama")*(AY42)</f>
        <v>0</v>
      </c>
      <c r="AD12" s="50" t="s">
        <v>0</v>
      </c>
      <c r="AE12" s="49" t="s">
        <v>0</v>
      </c>
      <c r="AF12" s="50">
        <v>1000</v>
      </c>
      <c r="AG12" s="50">
        <v>1000</v>
      </c>
      <c r="AH12" s="52">
        <f ca="1">(AY26*AY84)</f>
        <v>0</v>
      </c>
      <c r="AI12" s="52">
        <f>(AN26/7.5*2*F26)</f>
        <v>0</v>
      </c>
      <c r="AJ12" s="52">
        <f ca="1">(AI12*AY84)</f>
        <v>0</v>
      </c>
      <c r="AK12" s="52">
        <f>(AN26/7.5*0.15*G26)</f>
        <v>0</v>
      </c>
      <c r="AL12" s="52">
        <f ca="1">(AK12*AY84)</f>
        <v>0</v>
      </c>
      <c r="AM12" s="50">
        <f>(300*H26)</f>
        <v>5400</v>
      </c>
      <c r="AN12" s="52">
        <f ca="1">(AO12+AR12+AV12+AW12+AI40)</f>
        <v>5016.5999999999995</v>
      </c>
      <c r="AO12" s="52">
        <f t="shared" si="1"/>
        <v>5400</v>
      </c>
      <c r="AP12" s="52">
        <f t="shared" si="2"/>
        <v>5400</v>
      </c>
      <c r="AQ12" s="52">
        <f t="shared" si="3"/>
        <v>0</v>
      </c>
      <c r="AR12" s="52">
        <f t="shared" si="4"/>
        <v>0</v>
      </c>
      <c r="AS12" s="52">
        <f t="shared" si="5"/>
        <v>5400</v>
      </c>
      <c r="AT12" s="52">
        <f>IF($AG$13*H26&gt;=AS12,AS12,$AG$13*H26)</f>
        <v>2844</v>
      </c>
      <c r="AU12" s="52">
        <f t="shared" si="6"/>
        <v>2556</v>
      </c>
      <c r="AV12" s="52">
        <f t="shared" si="7"/>
        <v>-357.84000000000003</v>
      </c>
      <c r="AW12" s="52">
        <f t="shared" si="8"/>
        <v>-25.560000000000002</v>
      </c>
      <c r="AX12" s="52">
        <f t="shared" si="9"/>
        <v>5016.5999999999995</v>
      </c>
      <c r="AY12" s="52">
        <f>IF($AG$14*H26&gt;=AM12,AM12,$AG$14*H26)</f>
        <v>5400</v>
      </c>
      <c r="BE12" s="51">
        <v>10</v>
      </c>
      <c r="BF12" s="54">
        <v>5</v>
      </c>
      <c r="BG12" s="55">
        <v>0.12</v>
      </c>
      <c r="BH12" s="82"/>
    </row>
    <row r="13" spans="1:60" ht="39.950000000000003" customHeight="1" x14ac:dyDescent="0.25">
      <c r="A13" s="39"/>
      <c r="B13" s="1"/>
      <c r="C13" s="2"/>
      <c r="D13" s="2"/>
      <c r="E13" s="2"/>
      <c r="F13" s="3"/>
      <c r="G13" s="2"/>
      <c r="H13" s="2"/>
      <c r="I13" s="2"/>
      <c r="J13" s="2"/>
      <c r="K13" s="2"/>
      <c r="L13" s="2"/>
      <c r="M13" s="14"/>
      <c r="N13" s="15"/>
      <c r="O13" s="16"/>
      <c r="P13" s="2"/>
      <c r="Q13" s="2"/>
      <c r="R13" s="2"/>
      <c r="S13" s="7"/>
      <c r="T13" s="43"/>
      <c r="U13" s="8"/>
      <c r="V13" s="44"/>
      <c r="W13" s="17"/>
      <c r="X13" s="18"/>
      <c r="Y13" s="19"/>
      <c r="Z13" s="47"/>
      <c r="AA13" s="49" t="s">
        <v>96</v>
      </c>
      <c r="AB13" s="50">
        <f t="shared" ref="AB13" ca="1" si="13">IF(AC13&gt;0,AC13,AC13*-1)</f>
        <v>839.680793525892</v>
      </c>
      <c r="AC13" s="50">
        <f ca="1">COUNTIF(T1,"Ocak")*(AH43)
+COUNTIF(T1,"Şubat")*(AH44)
+COUNTIF(T1,"Mart")*(AH45)
+COUNTIF(T1,"Nisan")*(AH46)
+COUNTIF(T1,"Mayıs")*(AH47)
+COUNTIF(T1,"Haziran")*(AH48)
+COUNTIF(T1,"Temmuz")*(AH49)
+COUNTIF(T1,"Ağustos")*(AH50)
+COUNTIF(T1,"Eylül")*(AH51)
+COUNTIF(T1,"Ekim")*(AH52)
+COUNTIF(T1,"Kasım")*(AH53)
+COUNTIF(T1,"Aralık")*(AH54)
+COUNTIF(T1,"Yıllık Toplam")*(AH55)
+COUNTIF(T1,"Yıllık Ortalama")*(AH56)</f>
        <v>839.680793525892</v>
      </c>
      <c r="AD13" s="53">
        <f>(23.65%)</f>
        <v>0.23649999999999999</v>
      </c>
      <c r="AE13" s="49" t="s">
        <v>0</v>
      </c>
      <c r="AF13" s="50">
        <v>158</v>
      </c>
      <c r="AG13" s="50">
        <v>158</v>
      </c>
      <c r="AH13" s="52">
        <f ca="1">(AH1+AH2+AH3+AH4+AH5+AH6+AH7+AH8+AH9+AH10+AH11+AH12)</f>
        <v>378.03904617500001</v>
      </c>
      <c r="AI13" s="52">
        <f t="shared" ref="AI13:AJ13" si="14">(AI1+AI2+AI3+AI4+AI5+AI6+AI7+AI8+AI9+AI10+AI11+AI12)</f>
        <v>0</v>
      </c>
      <c r="AJ13" s="52">
        <f t="shared" ca="1" si="14"/>
        <v>0</v>
      </c>
      <c r="AK13" s="52">
        <f t="shared" ref="AK13:AL13" si="15">(AK1+AK2+AK3+AK4+AK5+AK6+AK7+AK8+AK9+AK10+AK11+AK12)</f>
        <v>0</v>
      </c>
      <c r="AL13" s="52">
        <f t="shared" ca="1" si="15"/>
        <v>0</v>
      </c>
      <c r="AM13" s="52">
        <f>(AM1+AM2+AM3+AM4+AM5+AM6+AM7+AM8+AM9+AM10+AM11+AM12)</f>
        <v>64800</v>
      </c>
      <c r="AN13" s="52">
        <f ca="1">(AN1+AN2+AN3+AN4+AN5+AN6+AN7+AN8+AN9+AN10+AN11+AN12)</f>
        <v>60199.19999999999</v>
      </c>
      <c r="AO13" s="52">
        <f>(AO1+AO2+AO3+AO4+AO5+AO6+AO7+AO8+AO9+AO10+AO11+AO12)</f>
        <v>64800</v>
      </c>
      <c r="AP13" s="52">
        <f>(AP1+AP2+AP3+AP4+AP5+AP6+AP7+AP8+AP9+AP10+AP11+AP12)</f>
        <v>64800</v>
      </c>
      <c r="AQ13" s="52">
        <f>(AQ1+AQ2+AQ3+AQ4+AQ5+AQ6+AQ7+AQ8+AQ9+AQ10+AQ11+AQ12)</f>
        <v>0</v>
      </c>
      <c r="AR13" s="52">
        <f>(AR1+AR2+AR3+AR4+AR5+AR6+AR7+AR8+AR9+AR10+AR11+AR12)</f>
        <v>0</v>
      </c>
      <c r="AS13" s="52">
        <f>(AS1+AS2+AS3+AS4+AS5+AS6+AS7+AS8+AS9+AS10+AS11+AS12)</f>
        <v>64800</v>
      </c>
      <c r="AT13" s="52">
        <f>(AT1+AT2+AT3+AT4+AT5+AT6+AT7+AT8+AT9+AT10+AT11+AT12)</f>
        <v>34128</v>
      </c>
      <c r="AU13" s="52">
        <f>(AU1+AU2+AU3+AU4+AU5+AU6+AU7+AU8+AU9+AU10+AU11+AU12)</f>
        <v>30672</v>
      </c>
      <c r="AV13" s="52">
        <f>(AV1+AV2+AV3+AV4+AV5+AV6+AV7+AV8+AV9+AV10+AV11+AV12)</f>
        <v>-4294.0800000000008</v>
      </c>
      <c r="AW13" s="52">
        <f>(AW1+AW2+AW3+AW4+AW5+AW6+AW7+AW8+AW9+AW10+AW11+AW12)</f>
        <v>-306.72000000000003</v>
      </c>
      <c r="AX13" s="52">
        <f>(AX1+AX2+AX3+AX4+AX5+AX6+AX7+AX8+AX9+AX10+AX11+AX12)</f>
        <v>60199.19999999999</v>
      </c>
      <c r="AY13" s="52">
        <f>(AY1+AY2+AY3+AY4+AY5+AY6+AY7+AY8+AY9+AY10+AY11+AY12)</f>
        <v>64800</v>
      </c>
      <c r="BE13" s="51">
        <v>11</v>
      </c>
      <c r="BF13" s="54">
        <v>5.5</v>
      </c>
      <c r="BG13" s="55">
        <v>0.13</v>
      </c>
      <c r="BH13" s="82"/>
    </row>
    <row r="14" spans="1:60" ht="39.950000000000003" customHeight="1" x14ac:dyDescent="0.25">
      <c r="A14" s="39"/>
      <c r="B14" s="1"/>
      <c r="C14" s="2"/>
      <c r="D14" s="2"/>
      <c r="E14" s="2"/>
      <c r="F14" s="3"/>
      <c r="G14" s="2"/>
      <c r="H14" s="2"/>
      <c r="I14" s="2"/>
      <c r="J14" s="2"/>
      <c r="K14" s="2"/>
      <c r="L14" s="2"/>
      <c r="M14" s="21"/>
      <c r="N14" s="22"/>
      <c r="O14" s="23"/>
      <c r="P14" s="2"/>
      <c r="Q14" s="2"/>
      <c r="R14" s="2"/>
      <c r="S14" s="7"/>
      <c r="T14" s="43"/>
      <c r="U14" s="8"/>
      <c r="V14" s="44"/>
      <c r="W14" s="17"/>
      <c r="X14" s="18"/>
      <c r="Y14" s="19"/>
      <c r="Z14" s="47"/>
      <c r="AA14" s="49" t="s">
        <v>72</v>
      </c>
      <c r="AB14" s="50">
        <f ca="1">IF(AC14&gt;0,AC14,AC14*-1)</f>
        <v>0</v>
      </c>
      <c r="AC14" s="50">
        <f ca="1">COUNTIF(T1,"Ocak")*(AJ43)
+COUNTIF(T1,"Şubat")*(AJ44)
+COUNTIF(T1,"Mart")*(AJ45)
+COUNTIF(T1,"Nisan")*(AJ46)
+COUNTIF(T1,"Mayıs")*(AJ47)
+COUNTIF(T1,"Haziran")*(AJ48)
+COUNTIF(T1,"Temmuz")*(AJ49)
+COUNTIF(T1,"Ağustos")*(AJ50)
+COUNTIF(T1,"Eylül")*(AJ51)
+COUNTIF(T1,"Ekim")*(AJ52)
+COUNTIF(T1,"Kasım")*(AJ53)
+COUNTIF(T1,"Aralık")*(AJ54)
+COUNTIF(T1,"Yıllık Toplam")*(AJ55)
+COUNTIF(T1,"Yıllık Ortalama")*(AJ56)</f>
        <v>0</v>
      </c>
      <c r="AD14" s="50" t="s">
        <v>0</v>
      </c>
      <c r="AE14" s="49" t="s">
        <v>0</v>
      </c>
      <c r="AF14" s="50">
        <v>300</v>
      </c>
      <c r="AG14" s="50">
        <v>300</v>
      </c>
      <c r="AH14" s="52">
        <f ca="1">(AH13/12)</f>
        <v>31.503253847916667</v>
      </c>
      <c r="AI14" s="52">
        <f t="shared" ref="AI14:AJ14" si="16">(AI13/12)</f>
        <v>0</v>
      </c>
      <c r="AJ14" s="52">
        <f t="shared" ca="1" si="16"/>
        <v>0</v>
      </c>
      <c r="AK14" s="52">
        <f t="shared" ref="AK14:AL14" si="17">(AK13/12)</f>
        <v>0</v>
      </c>
      <c r="AL14" s="52">
        <f t="shared" ca="1" si="17"/>
        <v>0</v>
      </c>
      <c r="AM14" s="52">
        <f>(AM13/12)</f>
        <v>5400</v>
      </c>
      <c r="AN14" s="52">
        <f ca="1">(AN13/12)</f>
        <v>5016.5999999999995</v>
      </c>
      <c r="AO14" s="52">
        <f>(AO13/12)</f>
        <v>5400</v>
      </c>
      <c r="AP14" s="52">
        <f>(AP13/12)</f>
        <v>5400</v>
      </c>
      <c r="AQ14" s="52">
        <f>(AQ13/12)</f>
        <v>0</v>
      </c>
      <c r="AR14" s="52">
        <f>(AR13/12)</f>
        <v>0</v>
      </c>
      <c r="AS14" s="52">
        <f>(AS13/12)</f>
        <v>5400</v>
      </c>
      <c r="AT14" s="52">
        <f>(AT13/12)</f>
        <v>2844</v>
      </c>
      <c r="AU14" s="52">
        <f>(AU13/12)</f>
        <v>2556</v>
      </c>
      <c r="AV14" s="52">
        <f>(AV13/12)</f>
        <v>-357.84000000000009</v>
      </c>
      <c r="AW14" s="52">
        <f>(AW13/12)</f>
        <v>-25.560000000000002</v>
      </c>
      <c r="AX14" s="52">
        <f>(AX13/12)</f>
        <v>5016.5999999999995</v>
      </c>
      <c r="AY14" s="52">
        <f>(AY13/12)</f>
        <v>5400</v>
      </c>
      <c r="BE14" s="51">
        <v>12</v>
      </c>
      <c r="BF14" s="54">
        <v>6</v>
      </c>
      <c r="BG14" s="55">
        <v>0.14000000000000001</v>
      </c>
      <c r="BH14" s="82"/>
    </row>
    <row r="15" spans="1:60" ht="39.950000000000003" customHeight="1" x14ac:dyDescent="0.25">
      <c r="A15" s="24">
        <f ca="1">(AT73)</f>
        <v>0.15</v>
      </c>
      <c r="B15" s="25" t="s">
        <v>8</v>
      </c>
      <c r="C15" s="40">
        <v>0</v>
      </c>
      <c r="D15" s="45">
        <v>0</v>
      </c>
      <c r="E15" s="45">
        <v>1.5</v>
      </c>
      <c r="F15" s="45">
        <v>0</v>
      </c>
      <c r="G15" s="45">
        <v>0</v>
      </c>
      <c r="H15" s="40">
        <v>18</v>
      </c>
      <c r="I15" s="40">
        <v>18</v>
      </c>
      <c r="J15" s="40">
        <v>26</v>
      </c>
      <c r="K15" s="40">
        <v>0</v>
      </c>
      <c r="L15" s="40">
        <v>0</v>
      </c>
      <c r="M15" s="41" t="s">
        <v>1</v>
      </c>
      <c r="N15" s="41" t="s">
        <v>1</v>
      </c>
      <c r="O15" s="41" t="s">
        <v>1</v>
      </c>
      <c r="P15" s="42">
        <v>0</v>
      </c>
      <c r="Q15" s="26">
        <f ca="1">(AE73+AS43+AU43+AH73+AL73+AM73+AV73-R15)</f>
        <v>55871.056387582415</v>
      </c>
      <c r="R15" s="26">
        <f ca="1">(AX15+AH1+AJ1+AL1+AN1+AV43)</f>
        <v>5394.6390461749997</v>
      </c>
      <c r="S15" s="27">
        <f ca="1">(Q15+R15)</f>
        <v>61265.695433757413</v>
      </c>
      <c r="T15" s="43"/>
      <c r="U15" s="8"/>
      <c r="V15" s="44"/>
      <c r="W15" s="17"/>
      <c r="X15" s="18"/>
      <c r="Y15" s="19"/>
      <c r="Z15" s="47"/>
      <c r="AA15" s="49" t="s">
        <v>73</v>
      </c>
      <c r="AB15" s="50">
        <f ca="1">IF(AC15&gt;0,AC15,AC15*-1)</f>
        <v>0</v>
      </c>
      <c r="AC15" s="50">
        <f ca="1">COUNTIF(T1,"Ocak")*(AL43)
+COUNTIF(T1,"Şubat")*(AL44)
+COUNTIF(T1,"Mart")*(AL45)
+COUNTIF(T1,"Nisan")*(AL46)
+COUNTIF(T1,"Mayıs")*(AL47)
+COUNTIF(T1,"Haziran")*(AL48)
+COUNTIF(T1,"Temmuz")*(AL49)
+COUNTIF(T1,"Ağustos")*(AL50)
+COUNTIF(T1,"Eylül")*(AL51)
+COUNTIF(T1,"Ekim")*(AL52)
+COUNTIF(T1,"Kasım")*(AL53)
+COUNTIF(T1,"Aralık")*(AL54)
+COUNTIF(T1,"Yıllık Toplam")*(AL55)
+COUNTIF(T1,"Yıllık Ortalama")*(AL56)</f>
        <v>0</v>
      </c>
      <c r="AH15" s="56">
        <v>46023</v>
      </c>
      <c r="AI15" s="57">
        <f t="shared" ref="AI15:AI26" si="18">EOMONTH(AH15,0)</f>
        <v>46053</v>
      </c>
      <c r="AJ15" s="58">
        <f>DAY(AI15)</f>
        <v>31</v>
      </c>
      <c r="AK15" s="58">
        <f>NETWORKDAYS.INTL(AH15,AI15,11)</f>
        <v>27</v>
      </c>
      <c r="AL15" s="58">
        <f>(AJ15-AK15)</f>
        <v>4</v>
      </c>
      <c r="AM15" s="59" t="s">
        <v>0</v>
      </c>
      <c r="AN15" s="50">
        <f>COUNTIF($A$1,"Güvenlik Sorumlusu")*($AF$55)
+COUNTIF($A$1,"Güvenlik Görevlisi")*($AF$56)</f>
        <v>2115.17</v>
      </c>
      <c r="AO15" s="50">
        <f ca="1">(AN15*AY73)</f>
        <v>1512.1561847</v>
      </c>
      <c r="AP15" s="50">
        <f>COUNTIF($A$1,"Güvenlik Sorumlusu")*($AF$55)
+COUNTIF($A$1,"Güvenlik Görevlisi")*($AF$56)</f>
        <v>2115.17</v>
      </c>
      <c r="AQ15" s="52">
        <f ca="1">(AP15*AY73+AI58/30*-1+AZ58/30)</f>
        <v>1644.1772613666667</v>
      </c>
      <c r="AR15" s="59" t="s">
        <v>0</v>
      </c>
      <c r="AS15" s="60">
        <f t="shared" ref="AS15:AS26" si="19">(AN15*AJ15)</f>
        <v>65570.27</v>
      </c>
      <c r="AT15" s="52">
        <f ca="1">(AS15*AY73)</f>
        <v>46876.841725700004</v>
      </c>
      <c r="AU15" s="52">
        <f>(10*C15)</f>
        <v>0</v>
      </c>
      <c r="AV15" s="52">
        <f ca="1">(AU15*AY73)</f>
        <v>0</v>
      </c>
      <c r="AW15" s="52">
        <f>(AN15/7.5*1.6*D15)</f>
        <v>0</v>
      </c>
      <c r="AX15" s="52">
        <f ca="1">(AW15*AY73)</f>
        <v>0</v>
      </c>
      <c r="AY15" s="52">
        <f>(AN15/7.5*1.25*E15)</f>
        <v>528.79250000000002</v>
      </c>
      <c r="BE15" s="51">
        <v>13</v>
      </c>
      <c r="BF15" s="54">
        <v>6.5</v>
      </c>
      <c r="BG15" s="55">
        <v>0.15</v>
      </c>
      <c r="BH15" s="82"/>
    </row>
    <row r="16" spans="1:60" ht="39.950000000000003" customHeight="1" x14ac:dyDescent="0.25">
      <c r="A16" s="24">
        <f ca="1">(AT74)</f>
        <v>0.15</v>
      </c>
      <c r="B16" s="25" t="s">
        <v>9</v>
      </c>
      <c r="C16" s="40">
        <v>0</v>
      </c>
      <c r="D16" s="45">
        <v>0</v>
      </c>
      <c r="E16" s="45">
        <v>0</v>
      </c>
      <c r="F16" s="45">
        <v>0</v>
      </c>
      <c r="G16" s="45">
        <v>0</v>
      </c>
      <c r="H16" s="40">
        <v>18</v>
      </c>
      <c r="I16" s="40">
        <v>18</v>
      </c>
      <c r="J16" s="40">
        <v>26</v>
      </c>
      <c r="K16" s="40">
        <v>0</v>
      </c>
      <c r="L16" s="40">
        <v>0</v>
      </c>
      <c r="M16" s="41" t="s">
        <v>1</v>
      </c>
      <c r="N16" s="41" t="s">
        <v>1</v>
      </c>
      <c r="O16" s="41" t="s">
        <v>1</v>
      </c>
      <c r="P16" s="42">
        <v>0</v>
      </c>
      <c r="Q16" s="26">
        <f ca="1">(AE74+AS44+AU44+AH74+AL74+AM74+AV74-R16)</f>
        <v>51524.972858186367</v>
      </c>
      <c r="R16" s="26">
        <f ca="1">(AX16+AH2+AJ2+AL2+AN2+AV44)</f>
        <v>5016.5999999999995</v>
      </c>
      <c r="S16" s="27">
        <f t="shared" ref="S16:S26" ca="1" si="20">(Q16+R16)</f>
        <v>56541.572858186366</v>
      </c>
      <c r="T16" s="43"/>
      <c r="U16" s="8"/>
      <c r="V16" s="44"/>
      <c r="W16" s="17"/>
      <c r="X16" s="18"/>
      <c r="Y16" s="19"/>
      <c r="Z16" s="47"/>
      <c r="AA16" s="49" t="s">
        <v>33</v>
      </c>
      <c r="AB16" s="50">
        <f ca="1">IF(AC16&gt;0,AC16,AC16*-1)</f>
        <v>0</v>
      </c>
      <c r="AC16" s="50">
        <f ca="1">COUNTIF(T1,"Ocak")*(AQ43)
+COUNTIF(T1,"Şubat")*(AQ44)
+COUNTIF(T1,"Mart")*(AQ45)
+COUNTIF(T1,"Nisan")*(AQ46)
+COUNTIF(T1,"Mayıs")*(AQ47)
+COUNTIF(T1,"Haziran")*(AQ48)
+COUNTIF(T1,"Temmuz")*(AQ49)
+COUNTIF(T1,"Ağustos")*(AQ50)
+COUNTIF(T1,"Eylül")*(AQ51)
+COUNTIF(T1,"Ekim")*(AQ52)
+COUNTIF(T1,"Kasım")*(AQ53)
+COUNTIF(T1,"Aralık")*(AQ54)
+COUNTIF(T1,"Yıllık Toplam")*(AQ55)
+COUNTIF(T1,"Yıllık Ortalama")*(AQ56)</f>
        <v>0</v>
      </c>
      <c r="AD16" s="61">
        <f>(2273)</f>
        <v>2273</v>
      </c>
      <c r="AE16" s="49" t="s">
        <v>0</v>
      </c>
      <c r="AF16" s="50">
        <f>($AD$29*$AD$16)</f>
        <v>3154.6307830000001</v>
      </c>
      <c r="AG16" s="50">
        <f>($AE$29*$AD$16)</f>
        <v>3154.6307830000001</v>
      </c>
      <c r="AH16" s="57">
        <f>(AI15+1)</f>
        <v>46054</v>
      </c>
      <c r="AI16" s="57">
        <f t="shared" si="18"/>
        <v>46081</v>
      </c>
      <c r="AJ16" s="58">
        <f t="shared" ref="AJ16:AJ26" si="21">DAY(AI16)</f>
        <v>28</v>
      </c>
      <c r="AK16" s="58">
        <f t="shared" ref="AK16:AK26" si="22">NETWORKDAYS.INTL(AH16,AI16,11)</f>
        <v>24</v>
      </c>
      <c r="AL16" s="58">
        <f t="shared" ref="AL16:AL26" si="23">(AJ16-AK16)</f>
        <v>4</v>
      </c>
      <c r="AM16" s="59" t="s">
        <v>0</v>
      </c>
      <c r="AN16" s="50">
        <f>COUNTIF($A$1,"Güvenlik Sorumlusu")*($AF$55)
+COUNTIF($A$1,"Güvenlik Görevlisi")*($AF$56)</f>
        <v>2115.17</v>
      </c>
      <c r="AO16" s="50">
        <f ca="1">(AN16*AY74)</f>
        <v>1512.1561847</v>
      </c>
      <c r="AP16" s="50">
        <f>COUNTIF($A$1,"Güvenlik Sorumlusu")*($AF$55)
+COUNTIF($A$1,"Güvenlik Görevlisi")*($AF$56)</f>
        <v>2115.17</v>
      </c>
      <c r="AQ16" s="52">
        <f ca="1">(AP16*AY74+AI59/30*-1+AZ59/30)</f>
        <v>1644.1772613666667</v>
      </c>
      <c r="AR16" s="59" t="s">
        <v>0</v>
      </c>
      <c r="AS16" s="60">
        <f t="shared" si="19"/>
        <v>59224.76</v>
      </c>
      <c r="AT16" s="52">
        <f ca="1">(AS16*AY74)</f>
        <v>42340.373171600004</v>
      </c>
      <c r="AU16" s="52">
        <f>(10*C16)</f>
        <v>0</v>
      </c>
      <c r="AV16" s="52">
        <f ca="1">(AU16*AY74)</f>
        <v>0</v>
      </c>
      <c r="AW16" s="52">
        <f>(AN16/7.5*1.6*D16)</f>
        <v>0</v>
      </c>
      <c r="AX16" s="52">
        <f ca="1">(AW16*AY74)</f>
        <v>0</v>
      </c>
      <c r="AY16" s="52">
        <f>(AN16/7.5*1.25*E16)</f>
        <v>0</v>
      </c>
      <c r="BE16" s="51">
        <v>14</v>
      </c>
      <c r="BF16" s="54">
        <v>7</v>
      </c>
      <c r="BG16" s="55">
        <v>0.16</v>
      </c>
      <c r="BH16" s="82"/>
    </row>
    <row r="17" spans="1:60" ht="39.950000000000003" customHeight="1" x14ac:dyDescent="0.25">
      <c r="A17" s="24">
        <f ca="1">(AT75)</f>
        <v>0.15777082988967414</v>
      </c>
      <c r="B17" s="25" t="s">
        <v>10</v>
      </c>
      <c r="C17" s="40">
        <v>0</v>
      </c>
      <c r="D17" s="45">
        <v>0</v>
      </c>
      <c r="E17" s="45">
        <v>0</v>
      </c>
      <c r="F17" s="45">
        <v>0</v>
      </c>
      <c r="G17" s="45">
        <v>0</v>
      </c>
      <c r="H17" s="40">
        <v>18</v>
      </c>
      <c r="I17" s="40">
        <v>18</v>
      </c>
      <c r="J17" s="40">
        <v>26</v>
      </c>
      <c r="K17" s="40">
        <v>0</v>
      </c>
      <c r="L17" s="40">
        <v>0</v>
      </c>
      <c r="M17" s="41" t="s">
        <v>1</v>
      </c>
      <c r="N17" s="41" t="s">
        <v>1</v>
      </c>
      <c r="O17" s="41" t="s">
        <v>1</v>
      </c>
      <c r="P17" s="42">
        <v>0</v>
      </c>
      <c r="Q17" s="26">
        <f ca="1">(AE75+AS45+AU45+AH75+AL75+AM75+AV75-R17)</f>
        <v>78273.577200340849</v>
      </c>
      <c r="R17" s="26">
        <f ca="1">(AX17+AH3+AJ3+AL3+AN3+AV45)</f>
        <v>5016.5999999999995</v>
      </c>
      <c r="S17" s="27">
        <f t="shared" ca="1" si="20"/>
        <v>83290.177200340855</v>
      </c>
      <c r="T17" s="43"/>
      <c r="U17" s="8"/>
      <c r="V17" s="44"/>
      <c r="W17" s="17"/>
      <c r="X17" s="18"/>
      <c r="Y17" s="19"/>
      <c r="Z17" s="47"/>
      <c r="AA17" s="49" t="s">
        <v>34</v>
      </c>
      <c r="AB17" s="50">
        <f t="shared" ref="AB17:AB25" si="24">IF(AC17&gt;0,AC17,AC17*-1)</f>
        <v>2115.1699999999996</v>
      </c>
      <c r="AC17" s="50">
        <f>COUNTIF(T1,"Ocak")*(AS43)*-1
+COUNTIF(T1,"Şubat")*(AS44)*-1
+COUNTIF(T1,"Mart")*(AS45)*-1
+COUNTIF(T1,"Nisan")*(AS46)*-1
+COUNTIF(T1,"Mayıs")*(AS47)*-1
+COUNTIF(T1,"Haziran")*(AS48)*-1
+COUNTIF(T1,"Temmuz")*(AS49)*-1
+COUNTIF(T1,"Ağustos")*(AS50)*-1
+COUNTIF(T1,"Eylül")*(AS51)*-1
+COUNTIF(T1,"Ekim")*(AS52)*-1
+COUNTIF(T1,"Kasım")*(AS53)*-1
+COUNTIF(T1,"Aralık")*(AS54)*-1
+COUNTIF(T1,"Yıllık Toplam")*(AS55)*-1
+COUNTIF(T1,"Yıllık Ortalama")*(AS56)*-1</f>
        <v>2115.1699999999996</v>
      </c>
      <c r="AD17" s="61">
        <f>(250)</f>
        <v>250</v>
      </c>
      <c r="AE17" s="49" t="s">
        <v>0</v>
      </c>
      <c r="AF17" s="50">
        <f>($AD$29*$AD$17*2)</f>
        <v>693.93550000000005</v>
      </c>
      <c r="AG17" s="50">
        <f>($AE$29*$AD$17*2)</f>
        <v>693.93550000000005</v>
      </c>
      <c r="AH17" s="57">
        <f t="shared" ref="AH17:AH26" si="25">(AI16+1)</f>
        <v>46082</v>
      </c>
      <c r="AI17" s="57">
        <f t="shared" si="18"/>
        <v>46112</v>
      </c>
      <c r="AJ17" s="58">
        <f t="shared" si="21"/>
        <v>31</v>
      </c>
      <c r="AK17" s="58">
        <f t="shared" si="22"/>
        <v>26</v>
      </c>
      <c r="AL17" s="58">
        <f t="shared" si="23"/>
        <v>5</v>
      </c>
      <c r="AM17" s="59" t="s">
        <v>0</v>
      </c>
      <c r="AN17" s="50">
        <f>COUNTIF($A$1,"Güvenlik Sorumlusu")*($AF$55)
+COUNTIF($A$1,"Güvenlik Görevlisi")*($AF$56)</f>
        <v>2115.17</v>
      </c>
      <c r="AO17" s="50">
        <f ca="1">(AN17*AY75)</f>
        <v>1498.1850523809194</v>
      </c>
      <c r="AP17" s="50">
        <f>COUNTIF($A$1,"Güvenlik Sorumlusu")*($AF$55)
+COUNTIF($A$1,"Güvenlik Görevlisi")*($AF$56)</f>
        <v>2115.17</v>
      </c>
      <c r="AQ17" s="52">
        <f ca="1">(AP17*AY75+AI60/30*-1+AZ60/30)</f>
        <v>1630.206129047586</v>
      </c>
      <c r="AR17" s="59" t="s">
        <v>0</v>
      </c>
      <c r="AS17" s="60">
        <f t="shared" si="19"/>
        <v>65570.27</v>
      </c>
      <c r="AT17" s="52">
        <f ca="1">(AS17*AY75)</f>
        <v>46443.736623808501</v>
      </c>
      <c r="AU17" s="52">
        <f>(10*C17)</f>
        <v>0</v>
      </c>
      <c r="AV17" s="52">
        <f ca="1">(AU17*AY75)</f>
        <v>0</v>
      </c>
      <c r="AW17" s="52">
        <f>(AN17/7.5*1.6*D17)</f>
        <v>0</v>
      </c>
      <c r="AX17" s="52">
        <f ca="1">(AW17*AY75)</f>
        <v>0</v>
      </c>
      <c r="AY17" s="52">
        <f>(AN17/7.5*1.25*E17)</f>
        <v>0</v>
      </c>
      <c r="BE17" s="51">
        <v>15</v>
      </c>
      <c r="BF17" s="54">
        <v>7.5</v>
      </c>
      <c r="BG17" s="55">
        <v>0.17</v>
      </c>
      <c r="BH17" s="82"/>
    </row>
    <row r="18" spans="1:60" ht="39.950000000000003" customHeight="1" x14ac:dyDescent="0.25">
      <c r="A18" s="24">
        <f ca="1">(AT76)</f>
        <v>0.2</v>
      </c>
      <c r="B18" s="25" t="s">
        <v>11</v>
      </c>
      <c r="C18" s="40">
        <v>0</v>
      </c>
      <c r="D18" s="45">
        <v>0</v>
      </c>
      <c r="E18" s="45">
        <v>0</v>
      </c>
      <c r="F18" s="45">
        <v>0</v>
      </c>
      <c r="G18" s="45">
        <v>0</v>
      </c>
      <c r="H18" s="40">
        <v>18</v>
      </c>
      <c r="I18" s="40">
        <v>18</v>
      </c>
      <c r="J18" s="40">
        <v>26</v>
      </c>
      <c r="K18" s="40">
        <v>0</v>
      </c>
      <c r="L18" s="40">
        <v>0</v>
      </c>
      <c r="M18" s="41" t="s">
        <v>1</v>
      </c>
      <c r="N18" s="41" t="s">
        <v>1</v>
      </c>
      <c r="O18" s="41" t="s">
        <v>1</v>
      </c>
      <c r="P18" s="42">
        <v>0</v>
      </c>
      <c r="Q18" s="26">
        <f ca="1">(AE76+AS46+AU46+AH76+AL76+AM76+AV76-R18)</f>
        <v>51927.512202482016</v>
      </c>
      <c r="R18" s="26">
        <f ca="1">(AX18+AH4+AJ4+AL4+AN4+AV46)</f>
        <v>5016.5999999999995</v>
      </c>
      <c r="S18" s="27">
        <f t="shared" ca="1" si="20"/>
        <v>56944.112202482014</v>
      </c>
      <c r="T18" s="43"/>
      <c r="U18" s="8"/>
      <c r="V18" s="44"/>
      <c r="W18" s="17"/>
      <c r="X18" s="18"/>
      <c r="Y18" s="19"/>
      <c r="Z18" s="47"/>
      <c r="AA18" s="49" t="s">
        <v>29</v>
      </c>
      <c r="AB18" s="50">
        <f t="shared" ca="1" si="24"/>
        <v>0</v>
      </c>
      <c r="AC18" s="50">
        <f ca="1">COUNTIF(T1,"Ocak")*(AW43)*-1
+COUNTIF(T1,"Şubat")*(AW44)*-1
+COUNTIF(T1,"Mart")*(AW45)*-1
+COUNTIF(T1,"Nisan")*(AW46)*-1
+COUNTIF(T1,"Mayıs")*(AW47)*-1
+COUNTIF(T1,"Haziran")*(AW48)*-1
+COUNTIF(T1,"Temmuz")*(AW49)*-1
+COUNTIF(T1,"Ağustos")*(AW50)*-1
+COUNTIF(T1,"Eylül")*(AW51)*-1
+COUNTIF(T1,"Ekim")*(AW52)*-1
+COUNTIF(T1,"Kasım")*(AW53)*-1
+COUNTIF(T1,"Aralık")*(AW54)*-1
+COUNTIF(T1,"Yıllık Toplam")*(AW55)*-1
+COUNTIF(T1,"Yıllık Ortalama")*(AW56)*-1</f>
        <v>0</v>
      </c>
      <c r="AD18" s="61">
        <f>(AD17)</f>
        <v>250</v>
      </c>
      <c r="AE18" s="49" t="s">
        <v>0</v>
      </c>
      <c r="AF18" s="50">
        <f>($AD$29*$AD$18)</f>
        <v>346.96775000000002</v>
      </c>
      <c r="AG18" s="50">
        <f>($AE$29*$AD$18)</f>
        <v>346.96775000000002</v>
      </c>
      <c r="AH18" s="57">
        <f t="shared" si="25"/>
        <v>46113</v>
      </c>
      <c r="AI18" s="57">
        <f t="shared" si="18"/>
        <v>46142</v>
      </c>
      <c r="AJ18" s="58">
        <f t="shared" si="21"/>
        <v>30</v>
      </c>
      <c r="AK18" s="58">
        <f t="shared" si="22"/>
        <v>26</v>
      </c>
      <c r="AL18" s="58">
        <f t="shared" si="23"/>
        <v>4</v>
      </c>
      <c r="AM18" s="59" t="s">
        <v>0</v>
      </c>
      <c r="AN18" s="50">
        <f>COUNTIF($A$1,"Güvenlik Sorumlusu")*($AF$55)
+COUNTIF($A$1,"Güvenlik Görevlisi")*($AF$56)</f>
        <v>2115.17</v>
      </c>
      <c r="AO18" s="50">
        <f ca="1">(AN18*AY76)</f>
        <v>1422.2614596999999</v>
      </c>
      <c r="AP18" s="50">
        <f>COUNTIF($A$1,"Güvenlik Sorumlusu")*($AF$55)
+COUNTIF($A$1,"Güvenlik Görevlisi")*($AF$56)</f>
        <v>2115.17</v>
      </c>
      <c r="AQ18" s="52">
        <f ca="1">(AP18*AY76+AI61/30*-1+AZ61/30)</f>
        <v>1554.2825363666666</v>
      </c>
      <c r="AR18" s="59" t="s">
        <v>0</v>
      </c>
      <c r="AS18" s="60">
        <f t="shared" si="19"/>
        <v>63455.100000000006</v>
      </c>
      <c r="AT18" s="52">
        <f ca="1">(AS18*AY76)</f>
        <v>42667.843790999999</v>
      </c>
      <c r="AU18" s="52">
        <f>(10*C18)</f>
        <v>0</v>
      </c>
      <c r="AV18" s="52">
        <f ca="1">(AU18*AY76)</f>
        <v>0</v>
      </c>
      <c r="AW18" s="52">
        <f>(AN18/7.5*1.6*D18)</f>
        <v>0</v>
      </c>
      <c r="AX18" s="52">
        <f ca="1">(AW18*AY76)</f>
        <v>0</v>
      </c>
      <c r="AY18" s="52">
        <f>(AN18/7.5*1.25*E18)</f>
        <v>0</v>
      </c>
      <c r="BE18" s="51">
        <v>16</v>
      </c>
      <c r="BF18" s="54">
        <v>8</v>
      </c>
      <c r="BG18" s="55">
        <v>0.18</v>
      </c>
      <c r="BH18" s="82"/>
    </row>
    <row r="19" spans="1:60" ht="39.950000000000003" customHeight="1" x14ac:dyDescent="0.25">
      <c r="A19" s="24">
        <f ca="1">(AT77)</f>
        <v>0.2</v>
      </c>
      <c r="B19" s="25" t="s">
        <v>12</v>
      </c>
      <c r="C19" s="40">
        <v>0</v>
      </c>
      <c r="D19" s="45">
        <v>0</v>
      </c>
      <c r="E19" s="45">
        <v>0</v>
      </c>
      <c r="F19" s="45">
        <v>0</v>
      </c>
      <c r="G19" s="45">
        <v>0</v>
      </c>
      <c r="H19" s="40">
        <v>18</v>
      </c>
      <c r="I19" s="40">
        <v>18</v>
      </c>
      <c r="J19" s="40">
        <v>26</v>
      </c>
      <c r="K19" s="40">
        <v>0</v>
      </c>
      <c r="L19" s="40">
        <v>0</v>
      </c>
      <c r="M19" s="41" t="s">
        <v>1</v>
      </c>
      <c r="N19" s="41" t="s">
        <v>1</v>
      </c>
      <c r="O19" s="41" t="s">
        <v>1</v>
      </c>
      <c r="P19" s="42">
        <v>0</v>
      </c>
      <c r="Q19" s="26">
        <f ca="1">(AE77+AS47+AU47+AH77+AL77+AM77+AV77-R19)</f>
        <v>53349.772562181992</v>
      </c>
      <c r="R19" s="26">
        <f ca="1">(AX19+AH5+AJ5+AL5+AN5+AV47)</f>
        <v>5016.5999999999995</v>
      </c>
      <c r="S19" s="27">
        <f t="shared" ca="1" si="20"/>
        <v>58366.37256218199</v>
      </c>
      <c r="T19" s="43"/>
      <c r="U19" s="8"/>
      <c r="V19" s="44"/>
      <c r="W19" s="17"/>
      <c r="X19" s="18"/>
      <c r="Y19" s="19"/>
      <c r="Z19" s="47"/>
      <c r="AA19" s="49" t="s">
        <v>30</v>
      </c>
      <c r="AB19" s="50">
        <f t="shared" ca="1" si="24"/>
        <v>390.26469294548923</v>
      </c>
      <c r="AC19" s="52">
        <f ca="1">COUNTIF(T1,"Ocak")*(AH73)*-1
+COUNTIF(T1,"Şubat")*(AH74)*-1
+COUNTIF(T1,"Mart")*(AH75)*-1
+COUNTIF(T1,"Nisan")*(AH76)*-1
+COUNTIF(T1,"Mayıs")*(AH77)*-1
+COUNTIF(T1,"Haziran")*(AH78)*-1
+COUNTIF(T1,"Temmuz")*(AH79)*-1
+COUNTIF(T1,"Ağustos")*(AH80)*-1
+COUNTIF(T1,"Eylül")*(AH81)*-1
+COUNTIF(T1,"Ekim")*(AH82)*-1
+COUNTIF(T1,"Kasım")*(AH83)*-1
+COUNTIF(T1,"Aralık")*(AH84)*-1
+COUNTIF(T1,"Yıllık Toplam")*(AH85)*-1
+COUNTIF(T1,"Yıllık Ortalama")*(AH86)*-1</f>
        <v>390.26469294548923</v>
      </c>
      <c r="AD19" s="62">
        <f>(1.5)</f>
        <v>1.5</v>
      </c>
      <c r="AE19" s="49" t="s">
        <v>0</v>
      </c>
      <c r="AF19" s="50">
        <f>($AF$17*$AD$19)</f>
        <v>1040.9032500000001</v>
      </c>
      <c r="AG19" s="50">
        <f>($AG$17*$AD$19)</f>
        <v>1040.9032500000001</v>
      </c>
      <c r="AH19" s="57">
        <f t="shared" si="25"/>
        <v>46143</v>
      </c>
      <c r="AI19" s="57">
        <f t="shared" si="18"/>
        <v>46173</v>
      </c>
      <c r="AJ19" s="58">
        <f t="shared" si="21"/>
        <v>31</v>
      </c>
      <c r="AK19" s="58">
        <f t="shared" si="22"/>
        <v>26</v>
      </c>
      <c r="AL19" s="58">
        <f t="shared" si="23"/>
        <v>5</v>
      </c>
      <c r="AM19" s="59" t="s">
        <v>0</v>
      </c>
      <c r="AN19" s="50">
        <f>COUNTIF($A$1,"Güvenlik Sorumlusu")*($AF$55)
+COUNTIF($A$1,"Güvenlik Görevlisi")*($AF$56)</f>
        <v>2115.17</v>
      </c>
      <c r="AO19" s="50">
        <f ca="1">(AN19*AY77)</f>
        <v>1422.2614596999999</v>
      </c>
      <c r="AP19" s="50">
        <f>COUNTIF($A$1,"Güvenlik Sorumlusu")*($AF$55)
+COUNTIF($A$1,"Güvenlik Görevlisi")*($AF$56)</f>
        <v>2115.17</v>
      </c>
      <c r="AQ19" s="52">
        <f ca="1">(AP19*AY77+AI62/30*-1+AZ62/30)</f>
        <v>1554.2825363666666</v>
      </c>
      <c r="AR19" s="59" t="s">
        <v>0</v>
      </c>
      <c r="AS19" s="60">
        <f t="shared" si="19"/>
        <v>65570.27</v>
      </c>
      <c r="AT19" s="52">
        <f ca="1">(AS19*AY77)</f>
        <v>44090.105250699999</v>
      </c>
      <c r="AU19" s="52">
        <f>(10*C19)</f>
        <v>0</v>
      </c>
      <c r="AV19" s="52">
        <f ca="1">(AU19*AY77)</f>
        <v>0</v>
      </c>
      <c r="AW19" s="52">
        <f>(AN19/7.5*1.6*D19)</f>
        <v>0</v>
      </c>
      <c r="AX19" s="52">
        <f ca="1">(AW19*AY77)</f>
        <v>0</v>
      </c>
      <c r="AY19" s="52">
        <f>(AN19/7.5*1.25*E19)</f>
        <v>0</v>
      </c>
      <c r="BE19" s="51">
        <v>17</v>
      </c>
      <c r="BF19" s="54">
        <v>8.5</v>
      </c>
      <c r="BG19" s="55">
        <v>0.19</v>
      </c>
      <c r="BH19" s="82"/>
    </row>
    <row r="20" spans="1:60" ht="39.950000000000003" customHeight="1" x14ac:dyDescent="0.25">
      <c r="A20" s="24">
        <f ca="1">(AT78)</f>
        <v>0.20798268081699806</v>
      </c>
      <c r="B20" s="25" t="s">
        <v>13</v>
      </c>
      <c r="C20" s="40">
        <v>0</v>
      </c>
      <c r="D20" s="45">
        <v>0</v>
      </c>
      <c r="E20" s="45">
        <v>0</v>
      </c>
      <c r="F20" s="45">
        <v>0</v>
      </c>
      <c r="G20" s="45">
        <v>0</v>
      </c>
      <c r="H20" s="40">
        <v>18</v>
      </c>
      <c r="I20" s="40">
        <v>18</v>
      </c>
      <c r="J20" s="40">
        <v>26</v>
      </c>
      <c r="K20" s="40">
        <v>0</v>
      </c>
      <c r="L20" s="40">
        <v>0</v>
      </c>
      <c r="M20" s="41" t="s">
        <v>1</v>
      </c>
      <c r="N20" s="41" t="s">
        <v>1</v>
      </c>
      <c r="O20" s="41" t="s">
        <v>1</v>
      </c>
      <c r="P20" s="42">
        <v>0</v>
      </c>
      <c r="Q20" s="26">
        <f ca="1">(AE78+AS48+AU48+AH78+AL78+AM78+AV78-R20)</f>
        <v>72597.186918889973</v>
      </c>
      <c r="R20" s="26">
        <f ca="1">(AX20+AH6+AJ6+AL6+AN6+AV48)</f>
        <v>5016.5999999999995</v>
      </c>
      <c r="S20" s="27">
        <f t="shared" ca="1" si="20"/>
        <v>77613.786918889979</v>
      </c>
      <c r="T20" s="43"/>
      <c r="U20" s="8"/>
      <c r="V20" s="44"/>
      <c r="W20" s="17"/>
      <c r="X20" s="18"/>
      <c r="Y20" s="19"/>
      <c r="Z20" s="47"/>
      <c r="AA20" s="49" t="s">
        <v>3</v>
      </c>
      <c r="AB20" s="50">
        <f t="shared" ca="1" si="24"/>
        <v>12180.598236148677</v>
      </c>
      <c r="AC20" s="52">
        <f ca="1">COUNTIF(T1,"Ocak")*(AL73)*-1
+COUNTIF(T1,"Şubat")*(AL74)*-1
+COUNTIF(T1,"Mart")*(AL75)*-1
+COUNTIF(T1,"Nisan")*(AL76)*-1
+COUNTIF(T1,"Mayıs")*(AL77)*-1
+COUNTIF(T1,"Haziran")*(AL78)*-1
+COUNTIF(T1,"Temmuz")*(AL79)*-1
+COUNTIF(T1,"Ağustos")*(AL80)*-1
+COUNTIF(T1,"Eylül")*(AL81)*-1
+COUNTIF(T1,"Ekim")*(AL82)*-1
+COUNTIF(T1,"Kasım")*(AL83)*-1
+COUNTIF(T1,"Aralık")*(AL84)*-1
+COUNTIF(T1,"Yıllık Toplam")*(AL85)*-1
+COUNTIF(T1,"Yıllık Ortalama")*(AL86)*-1</f>
        <v>12180.598236148677</v>
      </c>
      <c r="AD20" s="49" t="s">
        <v>0</v>
      </c>
      <c r="AE20" s="49" t="s">
        <v>0</v>
      </c>
      <c r="AF20" s="50">
        <f>($AF$19/2)</f>
        <v>520.45162500000004</v>
      </c>
      <c r="AG20" s="50">
        <f>($AG$19/2)</f>
        <v>520.45162500000004</v>
      </c>
      <c r="AH20" s="57">
        <f t="shared" si="25"/>
        <v>46174</v>
      </c>
      <c r="AI20" s="57">
        <f t="shared" si="18"/>
        <v>46203</v>
      </c>
      <c r="AJ20" s="58">
        <f t="shared" si="21"/>
        <v>30</v>
      </c>
      <c r="AK20" s="58">
        <f t="shared" si="22"/>
        <v>26</v>
      </c>
      <c r="AL20" s="58">
        <f t="shared" si="23"/>
        <v>4</v>
      </c>
      <c r="AM20" s="59" t="s">
        <v>0</v>
      </c>
      <c r="AN20" s="50">
        <f>COUNTIF($A$1,"Güvenlik Sorumlusu")*($AF$55)
+COUNTIF($A$1,"Güvenlik Görevlisi")*($AF$56)</f>
        <v>2115.17</v>
      </c>
      <c r="AO20" s="50">
        <f ca="1">(AN20*AY78)</f>
        <v>1407.9094417638637</v>
      </c>
      <c r="AP20" s="50">
        <f>COUNTIF($A$1,"Güvenlik Sorumlusu")*($AF$55)
+COUNTIF($A$1,"Güvenlik Görevlisi")*($AF$56)</f>
        <v>2115.17</v>
      </c>
      <c r="AQ20" s="52">
        <f ca="1">(AP20*AY78+AI63/30*-1+AZ63/30)</f>
        <v>1539.9305184305304</v>
      </c>
      <c r="AR20" s="59" t="s">
        <v>0</v>
      </c>
      <c r="AS20" s="60">
        <f t="shared" si="19"/>
        <v>63455.100000000006</v>
      </c>
      <c r="AT20" s="52">
        <f ca="1">(AS20*AY78)</f>
        <v>42237.283252915913</v>
      </c>
      <c r="AU20" s="52">
        <f>(10*C20)</f>
        <v>0</v>
      </c>
      <c r="AV20" s="52">
        <f ca="1">(AU20*AY78)</f>
        <v>0</v>
      </c>
      <c r="AW20" s="52">
        <f>(AN20/7.5*1.6*D20)</f>
        <v>0</v>
      </c>
      <c r="AX20" s="52">
        <f ca="1">(AW20*AY78)</f>
        <v>0</v>
      </c>
      <c r="AY20" s="52">
        <f>(AN20/7.5*1.25*E20)</f>
        <v>0</v>
      </c>
      <c r="BE20" s="51">
        <v>18</v>
      </c>
      <c r="BF20" s="54">
        <v>9</v>
      </c>
      <c r="BG20" s="55">
        <v>0.2</v>
      </c>
      <c r="BH20" s="82"/>
    </row>
    <row r="21" spans="1:60" ht="39.950000000000003" customHeight="1" x14ac:dyDescent="0.25">
      <c r="A21" s="24">
        <f ca="1">(AT79)</f>
        <v>0.27</v>
      </c>
      <c r="B21" s="25" t="s">
        <v>14</v>
      </c>
      <c r="C21" s="40">
        <v>0</v>
      </c>
      <c r="D21" s="45">
        <v>0</v>
      </c>
      <c r="E21" s="45">
        <v>0</v>
      </c>
      <c r="F21" s="45">
        <v>0</v>
      </c>
      <c r="G21" s="45">
        <v>0</v>
      </c>
      <c r="H21" s="40">
        <v>18</v>
      </c>
      <c r="I21" s="40">
        <v>18</v>
      </c>
      <c r="J21" s="40">
        <v>26</v>
      </c>
      <c r="K21" s="40">
        <v>0</v>
      </c>
      <c r="L21" s="40">
        <v>0</v>
      </c>
      <c r="M21" s="41" t="s">
        <v>1</v>
      </c>
      <c r="N21" s="41" t="s">
        <v>1</v>
      </c>
      <c r="O21" s="41" t="s">
        <v>1</v>
      </c>
      <c r="P21" s="42">
        <v>0</v>
      </c>
      <c r="Q21" s="26">
        <f ca="1">(AE79+AS49+AU49+AH79+AL79+AM79+AV79-R21)</f>
        <v>49523.732035627028</v>
      </c>
      <c r="R21" s="26">
        <f ca="1">(AX21+AH7+AJ7+AL7+AN7+AV49)</f>
        <v>5016.5999999999995</v>
      </c>
      <c r="S21" s="27">
        <f t="shared" ca="1" si="20"/>
        <v>54540.332035627027</v>
      </c>
      <c r="T21" s="43"/>
      <c r="U21" s="8"/>
      <c r="V21" s="44"/>
      <c r="W21" s="17"/>
      <c r="X21" s="18"/>
      <c r="Y21" s="19"/>
      <c r="Z21" s="47"/>
      <c r="AA21" s="49" t="s">
        <v>4</v>
      </c>
      <c r="AB21" s="50">
        <f t="shared" ca="1" si="24"/>
        <v>870.04273115347712</v>
      </c>
      <c r="AC21" s="52">
        <f ca="1">COUNTIF(T1,"Ocak")*(AM73)*-1
+COUNTIF(T1,"Şubat")*(AM74)*-1
+COUNTIF(T1,"Mart")*(AM75)*-1
+COUNTIF(T1,"Nisan")*(AM76)*-1
+COUNTIF(T1,"Mayıs")*(AM77)*-1
+COUNTIF(T1,"Haziran")*(AM78)*-1
+COUNTIF(T1,"Temmuz")*(AM79)*-1
+COUNTIF(T1,"Ağustos")*(AM80)*-1
+COUNTIF(T1,"Eylül")*(AM81)*-1
+COUNTIF(T1,"Ekim")*(AM82)*-1
+COUNTIF(T1,"Kasım")*(AM83)*-1
+COUNTIF(T1,"Aralık")*(AM84)*-1
+COUNTIF(T1,"Yıllık Toplam")*(AM85)*-1
+COUNTIF(T1,"Yıllık Ortalama")*(AM86)*-1</f>
        <v>870.04273115347712</v>
      </c>
      <c r="AH21" s="57">
        <f t="shared" si="25"/>
        <v>46204</v>
      </c>
      <c r="AI21" s="57">
        <f t="shared" si="18"/>
        <v>46234</v>
      </c>
      <c r="AJ21" s="58">
        <f t="shared" si="21"/>
        <v>31</v>
      </c>
      <c r="AK21" s="58">
        <f t="shared" si="22"/>
        <v>27</v>
      </c>
      <c r="AL21" s="58">
        <f t="shared" si="23"/>
        <v>4</v>
      </c>
      <c r="AM21" s="59" t="s">
        <v>0</v>
      </c>
      <c r="AN21" s="50">
        <f>COUNTIF($A$1,"Güvenlik Sorumlusu")*($AG$55)
+COUNTIF($A$1,"Güvenlik Görevlisi")*($AG$56)</f>
        <v>2115.17</v>
      </c>
      <c r="AO21" s="50">
        <f ca="1">(AN21*AY79)</f>
        <v>1296.4088446999999</v>
      </c>
      <c r="AP21" s="50">
        <f>COUNTIF($A$1,"Güvenlik Sorumlusu")*($AG$55)
+COUNTIF($A$1,"Güvenlik Görevlisi")*($AG$56)</f>
        <v>2115.17</v>
      </c>
      <c r="AQ21" s="52">
        <f ca="1">(AP21*AY79+AI64/30*-1+AZ64/30)</f>
        <v>1439.3105880333333</v>
      </c>
      <c r="AR21" s="59" t="s">
        <v>0</v>
      </c>
      <c r="AS21" s="60">
        <f t="shared" si="19"/>
        <v>65570.27</v>
      </c>
      <c r="AT21" s="52">
        <f ca="1">(AS21*AY79)</f>
        <v>40188.674185700002</v>
      </c>
      <c r="AU21" s="52">
        <f>(10*C21)</f>
        <v>0</v>
      </c>
      <c r="AV21" s="52">
        <f ca="1">(AU21*AY79)</f>
        <v>0</v>
      </c>
      <c r="AW21" s="52">
        <f>(AN21/7.5*1.6*D21)</f>
        <v>0</v>
      </c>
      <c r="AX21" s="52">
        <f ca="1">(AW21*AY79)</f>
        <v>0</v>
      </c>
      <c r="AY21" s="52">
        <f>(AN21/7.5*1.25*E21)</f>
        <v>0</v>
      </c>
      <c r="BE21" s="51">
        <v>19</v>
      </c>
      <c r="BF21" s="54">
        <v>9.5</v>
      </c>
      <c r="BG21" s="55">
        <v>0.21</v>
      </c>
      <c r="BH21" s="82"/>
    </row>
    <row r="22" spans="1:60" ht="39.950000000000003" customHeight="1" x14ac:dyDescent="0.25">
      <c r="A22" s="24">
        <f ca="1">(AT80)</f>
        <v>0.27</v>
      </c>
      <c r="B22" s="25" t="s">
        <v>15</v>
      </c>
      <c r="C22" s="40">
        <v>0</v>
      </c>
      <c r="D22" s="45">
        <v>0</v>
      </c>
      <c r="E22" s="45">
        <v>0</v>
      </c>
      <c r="F22" s="45">
        <v>0</v>
      </c>
      <c r="G22" s="45">
        <v>0</v>
      </c>
      <c r="H22" s="40">
        <v>18</v>
      </c>
      <c r="I22" s="40">
        <v>18</v>
      </c>
      <c r="J22" s="40">
        <v>26</v>
      </c>
      <c r="K22" s="40">
        <v>0</v>
      </c>
      <c r="L22" s="40">
        <v>0</v>
      </c>
      <c r="M22" s="41" t="s">
        <v>1</v>
      </c>
      <c r="N22" s="41" t="s">
        <v>1</v>
      </c>
      <c r="O22" s="41" t="s">
        <v>1</v>
      </c>
      <c r="P22" s="42">
        <v>0</v>
      </c>
      <c r="Q22" s="26">
        <f ca="1">(AE80+AS50+AU50+AH80+AL80+AM80+AV80-R22)</f>
        <v>50601.082035627027</v>
      </c>
      <c r="R22" s="26">
        <f ca="1">(AX22+AH8+AJ8+AL8+AN8+AV50)</f>
        <v>5016.5999999999995</v>
      </c>
      <c r="S22" s="27">
        <f t="shared" ca="1" si="20"/>
        <v>55617.682035627025</v>
      </c>
      <c r="T22" s="43"/>
      <c r="U22" s="8"/>
      <c r="V22" s="44"/>
      <c r="W22" s="17"/>
      <c r="X22" s="18"/>
      <c r="Y22" s="19"/>
      <c r="Z22" s="47"/>
      <c r="AA22" s="49" t="s">
        <v>31</v>
      </c>
      <c r="AB22" s="50">
        <f ca="1">IF(AC22&gt;0,AC22,AC22*-1)</f>
        <v>10698.1075</v>
      </c>
      <c r="AC22" s="52">
        <f ca="1">COUNTIF(T1,"Ocak")*(AV73)*-1
+COUNTIF(T1,"Şubat")*(AV74)*-1
+COUNTIF(T1,"Mart")*(AV75)*-1
+COUNTIF(T1,"Nisan")*(AV76)*-1
+COUNTIF(T1,"Mayıs")*(AV77)*-1
+COUNTIF(T1,"Haziran")*(AV78)*-1
+COUNTIF(T1,"Temmuz")*(AV79)*-1
+COUNTIF(T1,"Ağustos")*(AV80)*-1
+COUNTIF(T1,"Eylül")*(AV81)*-1
+COUNTIF(T1,"Ekim")*(AV82)*-1
+COUNTIF(T1,"Kasım")*(AV83)*-1
+COUNTIF(T1,"Aralık")*(AV84)*-1
+COUNTIF(T1,"Yıllık Toplam")*(AV85)*-1
+COUNTIF(T1,"Yıllık Ortalama")*(AV86)*-1</f>
        <v>10698.1075</v>
      </c>
      <c r="AD22" s="49">
        <f>(1500)</f>
        <v>1500</v>
      </c>
      <c r="AE22" s="49" t="s">
        <v>0</v>
      </c>
      <c r="AF22" s="50">
        <f>($AD$29*$AD$22)</f>
        <v>2081.8065000000001</v>
      </c>
      <c r="AG22" s="50">
        <f>($AE$29*$AD$22)</f>
        <v>2081.8065000000001</v>
      </c>
      <c r="AH22" s="57">
        <f t="shared" si="25"/>
        <v>46235</v>
      </c>
      <c r="AI22" s="57">
        <f t="shared" si="18"/>
        <v>46265</v>
      </c>
      <c r="AJ22" s="58">
        <f t="shared" si="21"/>
        <v>31</v>
      </c>
      <c r="AK22" s="58">
        <f t="shared" si="22"/>
        <v>26</v>
      </c>
      <c r="AL22" s="58">
        <f t="shared" si="23"/>
        <v>5</v>
      </c>
      <c r="AM22" s="59" t="s">
        <v>0</v>
      </c>
      <c r="AN22" s="50">
        <f>COUNTIF($A$1,"Güvenlik Sorumlusu")*($AG$55)
+COUNTIF($A$1,"Güvenlik Görevlisi")*($AG$56)</f>
        <v>2115.17</v>
      </c>
      <c r="AO22" s="50">
        <f ca="1">(AN22*AY80)</f>
        <v>1296.4088446999999</v>
      </c>
      <c r="AP22" s="50">
        <f>COUNTIF($A$1,"Güvenlik Sorumlusu")*($AG$55)
+COUNTIF($A$1,"Güvenlik Görevlisi")*($AG$56)</f>
        <v>2115.17</v>
      </c>
      <c r="AQ22" s="52">
        <f ca="1">(AP22*AY80+AI65/30*-1+AZ65/30)</f>
        <v>1475.2222546999999</v>
      </c>
      <c r="AR22" s="59" t="s">
        <v>0</v>
      </c>
      <c r="AS22" s="60">
        <f t="shared" si="19"/>
        <v>65570.27</v>
      </c>
      <c r="AT22" s="52">
        <f ca="1">(AS22*AY80)</f>
        <v>40188.674185700002</v>
      </c>
      <c r="AU22" s="52">
        <f>(10*C22)</f>
        <v>0</v>
      </c>
      <c r="AV22" s="52">
        <f ca="1">(AU22*AY80)</f>
        <v>0</v>
      </c>
      <c r="AW22" s="52">
        <f>(AN22/7.5*1.6*D22)</f>
        <v>0</v>
      </c>
      <c r="AX22" s="52">
        <f ca="1">(AW22*AY80)</f>
        <v>0</v>
      </c>
      <c r="AY22" s="52">
        <f>(AN22/7.5*1.25*E22)</f>
        <v>0</v>
      </c>
      <c r="BE22" s="51">
        <v>20</v>
      </c>
      <c r="BF22" s="54">
        <v>10</v>
      </c>
      <c r="BG22" s="55">
        <v>0.22</v>
      </c>
      <c r="BH22" s="82"/>
    </row>
    <row r="23" spans="1:60" ht="39.950000000000003" customHeight="1" x14ac:dyDescent="0.25">
      <c r="A23" s="24">
        <f ca="1">(AT81)</f>
        <v>0.27</v>
      </c>
      <c r="B23" s="25" t="s">
        <v>16</v>
      </c>
      <c r="C23" s="40">
        <v>0</v>
      </c>
      <c r="D23" s="45">
        <v>0</v>
      </c>
      <c r="E23" s="45">
        <v>0</v>
      </c>
      <c r="F23" s="45">
        <v>0</v>
      </c>
      <c r="G23" s="45">
        <v>0</v>
      </c>
      <c r="H23" s="40">
        <v>18</v>
      </c>
      <c r="I23" s="40">
        <v>18</v>
      </c>
      <c r="J23" s="40">
        <v>26</v>
      </c>
      <c r="K23" s="40">
        <v>0</v>
      </c>
      <c r="L23" s="40">
        <v>0</v>
      </c>
      <c r="M23" s="41" t="s">
        <v>1</v>
      </c>
      <c r="N23" s="41" t="s">
        <v>1</v>
      </c>
      <c r="O23" s="41" t="s">
        <v>1</v>
      </c>
      <c r="P23" s="42">
        <v>0</v>
      </c>
      <c r="Q23" s="26">
        <f ca="1">(AE81+AS51+AU51+AH81+AL81+AM81+AV81-R23)</f>
        <v>68750.807071427014</v>
      </c>
      <c r="R23" s="26">
        <f ca="1">(AX23+AH9+AJ9+AL9+AN9+AV51)</f>
        <v>5016.5999999999995</v>
      </c>
      <c r="S23" s="27">
        <f t="shared" ca="1" si="20"/>
        <v>73767.40707142702</v>
      </c>
      <c r="T23" s="43"/>
      <c r="U23" s="8"/>
      <c r="V23" s="44"/>
      <c r="W23" s="17"/>
      <c r="X23" s="18"/>
      <c r="Y23" s="19"/>
      <c r="Z23" s="47"/>
      <c r="AA23" s="49" t="s">
        <v>63</v>
      </c>
      <c r="AB23" s="50">
        <f t="shared" ca="1" si="24"/>
        <v>104673.23817938007</v>
      </c>
      <c r="AC23" s="52">
        <f ca="1">COUNTIF(T1,"Ocak")*(BD73)
+COUNTIF(T1,"Şubat")*(BD74)
+COUNTIF(T1,"Mart")*(BD75)
+COUNTIF(T1,"Nisan")*(BD76)
+COUNTIF(T1,"Mayıs")*(BD77)
+COUNTIF(T1,"Haziran")*(BD78)
+COUNTIF(T1,"Temmuz")*(BD79)
+COUNTIF(T1,"Ağustos")*(BD80)
+COUNTIF(T1,"Eylül")*(BD81)
+COUNTIF(T1,"Ekim")*(BD82)
+COUNTIF(T1,"Kasım")*(BD83)
+COUNTIF(T1,"Aralık")*(BD84)
+COUNTIF(T1,"Yıllık Toplam")*(BD85)
+COUNTIF(T1,"Yıllık Ortalama")*(BD86)</f>
        <v>104673.23817938007</v>
      </c>
      <c r="AD23" s="49">
        <f>(8000)</f>
        <v>8000</v>
      </c>
      <c r="AE23" s="49" t="s">
        <v>0</v>
      </c>
      <c r="AF23" s="50">
        <f>($AD$29*$AD$23)</f>
        <v>11102.968000000001</v>
      </c>
      <c r="AG23" s="50">
        <f>($AE$29*$AD$23)</f>
        <v>11102.968000000001</v>
      </c>
      <c r="AH23" s="57">
        <f t="shared" si="25"/>
        <v>46266</v>
      </c>
      <c r="AI23" s="57">
        <f t="shared" si="18"/>
        <v>46295</v>
      </c>
      <c r="AJ23" s="58">
        <f t="shared" si="21"/>
        <v>30</v>
      </c>
      <c r="AK23" s="58">
        <f t="shared" si="22"/>
        <v>26</v>
      </c>
      <c r="AL23" s="58">
        <f t="shared" si="23"/>
        <v>4</v>
      </c>
      <c r="AM23" s="59" t="s">
        <v>0</v>
      </c>
      <c r="AN23" s="50">
        <f>COUNTIF($A$1,"Güvenlik Sorumlusu")*($AG$55)
+COUNTIF($A$1,"Güvenlik Görevlisi")*($AG$56)</f>
        <v>2115.17</v>
      </c>
      <c r="AO23" s="50">
        <f ca="1">(AN23*AY81)</f>
        <v>1296.4088446999999</v>
      </c>
      <c r="AP23" s="50">
        <f>COUNTIF($A$1,"Güvenlik Sorumlusu")*($AG$55)
+COUNTIF($A$1,"Güvenlik Görevlisi")*($AG$56)</f>
        <v>2115.17</v>
      </c>
      <c r="AQ23" s="52">
        <f ca="1">(AP23*AY81+AI66/30*-1+AZ66/30)</f>
        <v>1475.2222546999999</v>
      </c>
      <c r="AR23" s="59" t="s">
        <v>0</v>
      </c>
      <c r="AS23" s="60">
        <f t="shared" si="19"/>
        <v>63455.100000000006</v>
      </c>
      <c r="AT23" s="52">
        <f ca="1">(AS23*AY81)</f>
        <v>38892.265340999998</v>
      </c>
      <c r="AU23" s="52">
        <f>(10*C23)</f>
        <v>0</v>
      </c>
      <c r="AV23" s="52">
        <f ca="1">(AU23*AY81)</f>
        <v>0</v>
      </c>
      <c r="AW23" s="52">
        <f>(AN23/7.5*1.6*D23)</f>
        <v>0</v>
      </c>
      <c r="AX23" s="52">
        <f ca="1">(AW23*AY81)</f>
        <v>0</v>
      </c>
      <c r="AY23" s="52">
        <f>(AN23/7.5*1.25*E23)</f>
        <v>0</v>
      </c>
      <c r="BE23" s="51">
        <v>21</v>
      </c>
      <c r="BF23" s="54">
        <v>10.5</v>
      </c>
      <c r="BG23" s="55">
        <v>0.23</v>
      </c>
      <c r="BH23" s="82"/>
    </row>
    <row r="24" spans="1:60" ht="39.950000000000003" customHeight="1" x14ac:dyDescent="0.25">
      <c r="A24" s="24">
        <f ca="1">(AT82)</f>
        <v>0.27</v>
      </c>
      <c r="B24" s="25" t="s">
        <v>17</v>
      </c>
      <c r="C24" s="40">
        <v>0</v>
      </c>
      <c r="D24" s="45">
        <v>0</v>
      </c>
      <c r="E24" s="45">
        <v>0</v>
      </c>
      <c r="F24" s="45">
        <v>0</v>
      </c>
      <c r="G24" s="45">
        <v>0</v>
      </c>
      <c r="H24" s="40">
        <v>18</v>
      </c>
      <c r="I24" s="40">
        <v>18</v>
      </c>
      <c r="J24" s="40">
        <v>26</v>
      </c>
      <c r="K24" s="40">
        <v>0</v>
      </c>
      <c r="L24" s="40">
        <v>0</v>
      </c>
      <c r="M24" s="41" t="s">
        <v>1</v>
      </c>
      <c r="N24" s="41" t="s">
        <v>1</v>
      </c>
      <c r="O24" s="41" t="s">
        <v>1</v>
      </c>
      <c r="P24" s="42">
        <v>0</v>
      </c>
      <c r="Q24" s="26">
        <f ca="1">(AE82+AS52+AU52+AH82+AL82+AM82+AV82-R24)</f>
        <v>50601.082035627027</v>
      </c>
      <c r="R24" s="26">
        <f ca="1">(AX24+AH10+AJ10+AL10+AN10+AV52)</f>
        <v>5016.5999999999995</v>
      </c>
      <c r="S24" s="27">
        <f t="shared" ca="1" si="20"/>
        <v>55617.682035627025</v>
      </c>
      <c r="T24" s="43"/>
      <c r="U24" s="8"/>
      <c r="V24" s="44"/>
      <c r="W24" s="17"/>
      <c r="X24" s="18"/>
      <c r="Y24" s="19"/>
      <c r="Z24" s="47"/>
      <c r="AA24" s="62" t="s">
        <v>38</v>
      </c>
      <c r="AB24" s="50">
        <f t="shared" ca="1" si="24"/>
        <v>63594.089955100062</v>
      </c>
      <c r="AC24" s="50">
        <f ca="1">COUNTIF(T1,"Ocak")*S15
+COUNTIF(T1,"Şubat")*S16
+COUNTIF(T1,"Mart")*S17
+COUNTIF(T1,"Nisan")*S18
+COUNTIF(T1,"Mayıs")*S19
+COUNTIF(T1,"Haziran")*S20
+COUNTIF(T1,"Temmuz")*S21
+COUNTIF(T1,"Ağustos")*S22
+COUNTIF(T1,"Eylül")*S23
+COUNTIF(T1,"Ekim")*S24
+COUNTIF(T1,"Kasım")*S25
+COUNTIF(T1,"Aralık")*S26
+COUNTIF(T1,"Yıllık Toplam")*(S27)*-1
+COUNTIF(T1,"Yıllık Ortalama")*(S28)*-1</f>
        <v>-63594.089955100062</v>
      </c>
      <c r="AD24" s="49">
        <f>(500)</f>
        <v>500</v>
      </c>
      <c r="AE24" s="49" t="s">
        <v>0</v>
      </c>
      <c r="AF24" s="50">
        <f>($AD$29*$AD$24)</f>
        <v>693.93550000000005</v>
      </c>
      <c r="AG24" s="50">
        <f>($AE$29*$AD$24)</f>
        <v>693.93550000000005</v>
      </c>
      <c r="AH24" s="57">
        <f t="shared" si="25"/>
        <v>46296</v>
      </c>
      <c r="AI24" s="57">
        <f t="shared" si="18"/>
        <v>46326</v>
      </c>
      <c r="AJ24" s="58">
        <f t="shared" si="21"/>
        <v>31</v>
      </c>
      <c r="AK24" s="58">
        <f t="shared" si="22"/>
        <v>27</v>
      </c>
      <c r="AL24" s="58">
        <f t="shared" si="23"/>
        <v>4</v>
      </c>
      <c r="AM24" s="59" t="s">
        <v>0</v>
      </c>
      <c r="AN24" s="50">
        <f>COUNTIF($A$1,"Güvenlik Sorumlusu")*($AG$55)
+COUNTIF($A$1,"Güvenlik Görevlisi")*($AG$56)</f>
        <v>2115.17</v>
      </c>
      <c r="AO24" s="50">
        <f ca="1">(AN24*AY82)</f>
        <v>1296.4088446999999</v>
      </c>
      <c r="AP24" s="50">
        <f>COUNTIF($A$1,"Güvenlik Sorumlusu")*($AG$55)
+COUNTIF($A$1,"Güvenlik Görevlisi")*($AG$56)</f>
        <v>2115.17</v>
      </c>
      <c r="AQ24" s="52">
        <f ca="1">(AP24*AY82+AI67/30*-1+AZ67/30)</f>
        <v>1475.2222546999999</v>
      </c>
      <c r="AR24" s="59" t="s">
        <v>0</v>
      </c>
      <c r="AS24" s="60">
        <f t="shared" si="19"/>
        <v>65570.27</v>
      </c>
      <c r="AT24" s="52">
        <f ca="1">(AS24*AY82)</f>
        <v>40188.674185700002</v>
      </c>
      <c r="AU24" s="52">
        <f>(10*C24)</f>
        <v>0</v>
      </c>
      <c r="AV24" s="52">
        <f ca="1">(AU24*AY82)</f>
        <v>0</v>
      </c>
      <c r="AW24" s="52">
        <f>(AN24/7.5*1.6*D24)</f>
        <v>0</v>
      </c>
      <c r="AX24" s="52">
        <f ca="1">(AW24*AY82)</f>
        <v>0</v>
      </c>
      <c r="AY24" s="52">
        <f>(AN24/7.5*1.25*E24)</f>
        <v>0</v>
      </c>
      <c r="BE24" s="51">
        <v>22</v>
      </c>
      <c r="BF24" s="54">
        <v>11</v>
      </c>
      <c r="BG24" s="55">
        <v>0.24</v>
      </c>
      <c r="BH24" s="82"/>
    </row>
    <row r="25" spans="1:60" ht="39.950000000000003" customHeight="1" x14ac:dyDescent="0.25">
      <c r="A25" s="24">
        <f ca="1">(AT83)</f>
        <v>0.27</v>
      </c>
      <c r="B25" s="25" t="s">
        <v>18</v>
      </c>
      <c r="C25" s="40">
        <v>0</v>
      </c>
      <c r="D25" s="45">
        <v>0</v>
      </c>
      <c r="E25" s="45">
        <v>0</v>
      </c>
      <c r="F25" s="45">
        <v>0</v>
      </c>
      <c r="G25" s="45">
        <v>0</v>
      </c>
      <c r="H25" s="40">
        <v>18</v>
      </c>
      <c r="I25" s="40">
        <v>18</v>
      </c>
      <c r="J25" s="40">
        <v>26</v>
      </c>
      <c r="K25" s="40">
        <v>0</v>
      </c>
      <c r="L25" s="40">
        <v>0</v>
      </c>
      <c r="M25" s="41" t="s">
        <v>1</v>
      </c>
      <c r="N25" s="41" t="s">
        <v>1</v>
      </c>
      <c r="O25" s="41" t="s">
        <v>1</v>
      </c>
      <c r="P25" s="42">
        <v>0</v>
      </c>
      <c r="Q25" s="26">
        <f ca="1">(AE83+AS53+AU53+AH83+AL83+AM83+AV83-R25)</f>
        <v>49394.261675927002</v>
      </c>
      <c r="R25" s="26">
        <f ca="1">(AX25+AH11+AJ11+AL11+AN11+AV53)</f>
        <v>5016.5999999999995</v>
      </c>
      <c r="S25" s="27">
        <f t="shared" ca="1" si="20"/>
        <v>54410.861675927001</v>
      </c>
      <c r="T25" s="43"/>
      <c r="U25" s="8"/>
      <c r="V25" s="44"/>
      <c r="W25" s="17"/>
      <c r="X25" s="18"/>
      <c r="Y25" s="19"/>
      <c r="Z25" s="47"/>
      <c r="AA25" s="62" t="s">
        <v>39</v>
      </c>
      <c r="AB25" s="50">
        <f t="shared" ca="1" si="24"/>
        <v>26254.183160247645</v>
      </c>
      <c r="AC25" s="50">
        <f ca="1">COUNTIF(T1,"Ocak")*(AE73-S15)
+COUNTIF(T1,"Şubat")*(AE74-S16)
+COUNTIF(T1,"Mart")*(AE75-S17)
+COUNTIF(T1,"Nisan")*(AE76-S18)
+COUNTIF(T1,"Mayıs")*(AE77-S19)
+COUNTIF(T1,"Haziran")*(AE78-S20)
+COUNTIF(T1,"Temmuz")*(AE79-S21)
+COUNTIF(T1,"Ağustos")*(AE80-S22)
+COUNTIF(T1,"Eylül")*(AE81-S23)
+COUNTIF(T1,"Ekim")*(AE82-S24)
+COUNTIF(T1,"Kasım")*(AE83-S25)
+COUNTIF(T1,"Aralık")*(AE84-S26)
+COUNTIF(T1,"Yıllık Toplam")*(AE85-S27)*-1
+COUNTIF(T1,"Yıllık Ortalama")*(AE86-S28)*-1</f>
        <v>-26254.183160247645</v>
      </c>
      <c r="AD25" s="49">
        <f>(1000)</f>
        <v>1000</v>
      </c>
      <c r="AE25" s="49" t="s">
        <v>0</v>
      </c>
      <c r="AF25" s="50">
        <f>($AD$30*$AD$25)</f>
        <v>22722.792999999998</v>
      </c>
      <c r="AG25" s="50">
        <f>($AE$30*$AD$25)</f>
        <v>22722.792999999998</v>
      </c>
      <c r="AH25" s="57">
        <f t="shared" si="25"/>
        <v>46327</v>
      </c>
      <c r="AI25" s="57">
        <f t="shared" si="18"/>
        <v>46356</v>
      </c>
      <c r="AJ25" s="58">
        <f t="shared" si="21"/>
        <v>30</v>
      </c>
      <c r="AK25" s="58">
        <f t="shared" si="22"/>
        <v>25</v>
      </c>
      <c r="AL25" s="58">
        <f t="shared" si="23"/>
        <v>5</v>
      </c>
      <c r="AM25" s="59" t="s">
        <v>0</v>
      </c>
      <c r="AN25" s="50">
        <f>COUNTIF($A$1,"Güvenlik Sorumlusu")*($AG$55)
+COUNTIF($A$1,"Güvenlik Görevlisi")*($AG$56)</f>
        <v>2115.17</v>
      </c>
      <c r="AO25" s="50">
        <f ca="1">(AN25*AY83)</f>
        <v>1296.4088446999999</v>
      </c>
      <c r="AP25" s="50">
        <f>COUNTIF($A$1,"Güvenlik Sorumlusu")*($AG$55)
+COUNTIF($A$1,"Güvenlik Görevlisi")*($AG$56)</f>
        <v>2115.17</v>
      </c>
      <c r="AQ25" s="52">
        <f ca="1">(AP25*AY83+AI68/30*-1+AZ68/30)</f>
        <v>1475.2222546999999</v>
      </c>
      <c r="AR25" s="59" t="s">
        <v>0</v>
      </c>
      <c r="AS25" s="60">
        <f t="shared" si="19"/>
        <v>63455.100000000006</v>
      </c>
      <c r="AT25" s="52">
        <f ca="1">(AS25*AY83)</f>
        <v>38892.265340999998</v>
      </c>
      <c r="AU25" s="52">
        <f>(10*C25)</f>
        <v>0</v>
      </c>
      <c r="AV25" s="52">
        <f ca="1">(AU25*AY83)</f>
        <v>0</v>
      </c>
      <c r="AW25" s="52">
        <f>(AN25/7.5*1.6*D25)</f>
        <v>0</v>
      </c>
      <c r="AX25" s="52">
        <f ca="1">(AW25*AY83)</f>
        <v>0</v>
      </c>
      <c r="AY25" s="52">
        <f>(AN25/7.5*1.25*E25)</f>
        <v>0</v>
      </c>
      <c r="BE25" s="51">
        <v>23</v>
      </c>
      <c r="BF25" s="54">
        <v>11.5</v>
      </c>
      <c r="BG25" s="55">
        <v>0.25</v>
      </c>
      <c r="BH25" s="82"/>
    </row>
    <row r="26" spans="1:60" ht="39.950000000000003" customHeight="1" x14ac:dyDescent="0.25">
      <c r="A26" s="24">
        <f ca="1">(AT84)</f>
        <v>0.27</v>
      </c>
      <c r="B26" s="25" t="s">
        <v>19</v>
      </c>
      <c r="C26" s="40">
        <v>0</v>
      </c>
      <c r="D26" s="45">
        <v>0</v>
      </c>
      <c r="E26" s="45">
        <v>0</v>
      </c>
      <c r="F26" s="45">
        <v>0</v>
      </c>
      <c r="G26" s="45">
        <v>0</v>
      </c>
      <c r="H26" s="40">
        <v>18</v>
      </c>
      <c r="I26" s="40">
        <v>18</v>
      </c>
      <c r="J26" s="40">
        <v>26</v>
      </c>
      <c r="K26" s="40">
        <v>0</v>
      </c>
      <c r="L26" s="40">
        <v>0</v>
      </c>
      <c r="M26" s="41" t="s">
        <v>1</v>
      </c>
      <c r="N26" s="41" t="s">
        <v>1</v>
      </c>
      <c r="O26" s="41" t="s">
        <v>1</v>
      </c>
      <c r="P26" s="42">
        <v>0</v>
      </c>
      <c r="Q26" s="26">
        <f ca="1">(AE84+AS54+AU54+AH84+AL84+AM84+AV84-R26)</f>
        <v>70136.797431127023</v>
      </c>
      <c r="R26" s="26">
        <f ca="1">(AX26+AH12+AJ12+AL12+AN12+AV54)</f>
        <v>5016.5999999999995</v>
      </c>
      <c r="S26" s="27">
        <f t="shared" ca="1" si="20"/>
        <v>75153.397431127029</v>
      </c>
      <c r="T26" s="43"/>
      <c r="U26" s="8"/>
      <c r="V26" s="44"/>
      <c r="W26" s="17"/>
      <c r="X26" s="18"/>
      <c r="Y26" s="19"/>
      <c r="Z26" s="47"/>
      <c r="AB26" s="63" t="s">
        <v>21</v>
      </c>
      <c r="AC26" s="63" t="s">
        <v>64</v>
      </c>
      <c r="AD26" s="49">
        <f>($AD$22+$AD$23)</f>
        <v>9500</v>
      </c>
      <c r="AE26" s="49">
        <f>(2.15)</f>
        <v>2.15</v>
      </c>
      <c r="AF26" s="50">
        <f>($AD$29*$AD$26*$AE$26)</f>
        <v>28347.265175</v>
      </c>
      <c r="AG26" s="50">
        <f>($AE$29*$AD$26*$AE$26)</f>
        <v>28347.265175</v>
      </c>
      <c r="AH26" s="57">
        <f t="shared" si="25"/>
        <v>46357</v>
      </c>
      <c r="AI26" s="57">
        <f t="shared" si="18"/>
        <v>46387</v>
      </c>
      <c r="AJ26" s="58">
        <f t="shared" si="21"/>
        <v>31</v>
      </c>
      <c r="AK26" s="58">
        <f t="shared" si="22"/>
        <v>27</v>
      </c>
      <c r="AL26" s="58">
        <f t="shared" si="23"/>
        <v>4</v>
      </c>
      <c r="AM26" s="59" t="s">
        <v>0</v>
      </c>
      <c r="AN26" s="50">
        <f>COUNTIF($A$1,"Güvenlik Sorumlusu")*($AG$55)
+COUNTIF($A$1,"Güvenlik Görevlisi")*($AG$56)</f>
        <v>2115.17</v>
      </c>
      <c r="AO26" s="50">
        <f ca="1">(AN26*AY84)</f>
        <v>1296.4088446999999</v>
      </c>
      <c r="AP26" s="50">
        <f>COUNTIF($A$1,"Güvenlik Sorumlusu")*($AG$55)
+COUNTIF($A$1,"Güvenlik Görevlisi")*($AG$56)</f>
        <v>2115.17</v>
      </c>
      <c r="AQ26" s="52">
        <f ca="1">(AP26*AY84+AI69/30*-1+AZ69/30)</f>
        <v>1475.2222546999999</v>
      </c>
      <c r="AR26" s="59" t="s">
        <v>0</v>
      </c>
      <c r="AS26" s="60">
        <f t="shared" si="19"/>
        <v>65570.27</v>
      </c>
      <c r="AT26" s="52">
        <f ca="1">(AS26*AY84)</f>
        <v>40188.674185700002</v>
      </c>
      <c r="AU26" s="52">
        <f>(10*C26)</f>
        <v>0</v>
      </c>
      <c r="AV26" s="52">
        <f ca="1">(AU26*AY84)</f>
        <v>0</v>
      </c>
      <c r="AW26" s="52">
        <f>(AN26/7.5*1.6*D26)</f>
        <v>0</v>
      </c>
      <c r="AX26" s="52">
        <f ca="1">(AW26*AY84)</f>
        <v>0</v>
      </c>
      <c r="AY26" s="52">
        <f>(AN26/7.5*1.25*E26)</f>
        <v>0</v>
      </c>
      <c r="BE26" s="51">
        <v>24</v>
      </c>
      <c r="BF26" s="54">
        <v>12</v>
      </c>
      <c r="BG26" s="55">
        <v>0.26</v>
      </c>
      <c r="BH26" s="82"/>
    </row>
    <row r="27" spans="1:60" ht="39.950000000000003" customHeight="1" x14ac:dyDescent="0.25">
      <c r="A27" s="28" t="s">
        <v>0</v>
      </c>
      <c r="B27" s="29" t="s">
        <v>94</v>
      </c>
      <c r="C27" s="30" t="s">
        <v>0</v>
      </c>
      <c r="D27" s="13">
        <f>(D15+D16+D17+D18+D19+D20+D21+D22+D23+D24+D25+D26)</f>
        <v>0</v>
      </c>
      <c r="E27" s="13">
        <f>(E15+E16+E17+E18+E19+E20+E21+E22+E23+E24+E25+E26)</f>
        <v>1.5</v>
      </c>
      <c r="F27" s="13">
        <f>(F15+F16+F17+F18+F19+F20+F21+F22+F23+F24+F25+F26)</f>
        <v>0</v>
      </c>
      <c r="G27" s="13">
        <f>(G15+G16+G17+G18+G19+G20+G21+G22+G23+G24+G25+G26)</f>
        <v>0</v>
      </c>
      <c r="H27" s="31">
        <f>(H15+H16+H17+H18+H19+H20+H21+H22+H23+H24+H25+H26)</f>
        <v>216</v>
      </c>
      <c r="I27" s="31">
        <f>(I15+I16+I17+I18+I19+I20+I21+I22+I23+I24+I25+I26)</f>
        <v>216</v>
      </c>
      <c r="J27" s="31">
        <f>(J15+J16+J17+J18+J19+J20+J21+J22+J23+J24+J25+J26)</f>
        <v>312</v>
      </c>
      <c r="K27" s="31">
        <f>(K15+K16+K17+K18+K19+K20+K21+K22+K23+K24+K25+K26)</f>
        <v>0</v>
      </c>
      <c r="L27" s="31">
        <f>(L15+L16+L17+L18+L19+L20+L21+L22+L23+L24+L25+L26)</f>
        <v>0</v>
      </c>
      <c r="M27" s="30" t="s">
        <v>0</v>
      </c>
      <c r="N27" s="30" t="s">
        <v>0</v>
      </c>
      <c r="O27" s="30" t="s">
        <v>0</v>
      </c>
      <c r="P27" s="20" t="s">
        <v>0</v>
      </c>
      <c r="Q27" s="32">
        <f t="shared" ref="Q27" ca="1" si="26">(Q15+Q16+Q17+Q18+Q19+Q20+Q21+Q22+Q23+Q24+Q25+Q26)</f>
        <v>702551.84041502571</v>
      </c>
      <c r="R27" s="32">
        <f t="shared" ref="R27" ca="1" si="27">(R15+R16+R17+R18+R19+R20+R21+R22+R23+R24+R25+R26)</f>
        <v>60577.239046174989</v>
      </c>
      <c r="S27" s="33">
        <f t="shared" ref="S27" ca="1" si="28">(S15+S16+S17+S18+S19+S20+S21+S22+S23+S24+S25+S26)</f>
        <v>763129.07946120074</v>
      </c>
      <c r="T27" s="43"/>
      <c r="U27" s="8"/>
      <c r="V27" s="44"/>
      <c r="W27" s="17"/>
      <c r="X27" s="18"/>
      <c r="Y27" s="19"/>
      <c r="Z27" s="47"/>
      <c r="AB27" s="64" t="s">
        <v>20</v>
      </c>
      <c r="AC27" s="65" t="s">
        <v>99</v>
      </c>
      <c r="AD27" s="49" t="s">
        <v>0</v>
      </c>
      <c r="AE27" s="49" t="s">
        <v>0</v>
      </c>
      <c r="AF27" s="50">
        <f>($AF$22+$AF$23+$AF$24+$AF$25+$AF$26)</f>
        <v>64948.768174999997</v>
      </c>
      <c r="AG27" s="50">
        <f>($AG$22+$AG$23+$AG$24+$AG$25+$AG$26)</f>
        <v>64948.768174999997</v>
      </c>
      <c r="AH27" s="59" t="s">
        <v>0</v>
      </c>
      <c r="AI27" s="59" t="s">
        <v>0</v>
      </c>
      <c r="AJ27" s="66">
        <f>(AJ15+AJ16+AJ17+AJ18+AJ19+AJ20+AJ21+AJ22+AJ23+AJ24+AJ25+AJ26)</f>
        <v>365</v>
      </c>
      <c r="AK27" s="66">
        <f>(AK15+AK16+AK17+AK18+AK19+AK20+AK21+AK22+AK23+AK24+AK25+AK26)</f>
        <v>313</v>
      </c>
      <c r="AL27" s="66">
        <f>(AL15+AL16+AL17+AL18+AL19+AL20+AL21+AL22+AL23+AL24+AL25+AL26)</f>
        <v>52</v>
      </c>
      <c r="AM27" s="59" t="s">
        <v>0</v>
      </c>
      <c r="AN27" s="52">
        <f>(AN15+AN16+AN17+AN18+AN19+AN20+AN21+AN22+AN23+AN24+AN25+AN26)</f>
        <v>25382.039999999994</v>
      </c>
      <c r="AO27" s="52">
        <f t="shared" ref="AO27:AQ27" ca="1" si="29">(AO15+AO16+AO17+AO18+AO19+AO20+AO21+AO22+AO23+AO24+AO25+AO26)</f>
        <v>16553.382851144783</v>
      </c>
      <c r="AP27" s="52">
        <f t="shared" si="29"/>
        <v>25382.039999999994</v>
      </c>
      <c r="AQ27" s="52">
        <f t="shared" ca="1" si="29"/>
        <v>18382.478104478116</v>
      </c>
      <c r="AR27" s="59" t="s">
        <v>0</v>
      </c>
      <c r="AS27" s="52">
        <f t="shared" ref="AS27:AT27" si="30">(AS15+AS16+AS17+AS18+AS19+AS20+AS21+AS22+AS23+AS24+AS25+AS26)</f>
        <v>772037.05</v>
      </c>
      <c r="AT27" s="52">
        <f t="shared" ca="1" si="30"/>
        <v>503195.41124052444</v>
      </c>
      <c r="AU27" s="52">
        <f t="shared" ref="AU27:AV27" si="31">(AU15+AU16+AU17+AU18+AU19+AU20+AU21+AU22+AU23+AU24+AU25+AU26)</f>
        <v>0</v>
      </c>
      <c r="AV27" s="52">
        <f t="shared" ca="1" si="31"/>
        <v>0</v>
      </c>
      <c r="AW27" s="52">
        <f t="shared" ref="AW27:AX27" si="32">(AW15+AW16+AW17+AW18+AW19+AW20+AW21+AW22+AW23+AW24+AW25+AW26)</f>
        <v>0</v>
      </c>
      <c r="AX27" s="52">
        <f t="shared" ca="1" si="32"/>
        <v>0</v>
      </c>
      <c r="AY27" s="52">
        <f t="shared" ref="AY27" si="33">(AY15+AY16+AY17+AY18+AY19+AY20+AY21+AY22+AY23+AY24+AY25+AY26)</f>
        <v>528.79250000000002</v>
      </c>
      <c r="BE27" s="51">
        <v>25</v>
      </c>
      <c r="BF27" s="54">
        <v>12.5</v>
      </c>
      <c r="BG27" s="55">
        <v>0.27</v>
      </c>
      <c r="BH27" s="82"/>
    </row>
    <row r="28" spans="1:60" ht="39.950000000000003" customHeight="1" x14ac:dyDescent="0.25">
      <c r="A28" s="34">
        <f ca="1">(AT86)</f>
        <v>0.22381279255888933</v>
      </c>
      <c r="B28" s="29" t="s">
        <v>95</v>
      </c>
      <c r="C28" s="30" t="s">
        <v>0</v>
      </c>
      <c r="D28" s="31" t="s">
        <v>0</v>
      </c>
      <c r="E28" s="31" t="s">
        <v>0</v>
      </c>
      <c r="F28" s="30" t="s">
        <v>0</v>
      </c>
      <c r="G28" s="30" t="s">
        <v>0</v>
      </c>
      <c r="H28" s="30" t="s">
        <v>0</v>
      </c>
      <c r="I28" s="30" t="s">
        <v>0</v>
      </c>
      <c r="J28" s="30" t="s">
        <v>0</v>
      </c>
      <c r="K28" s="30" t="s">
        <v>0</v>
      </c>
      <c r="L28" s="30" t="s">
        <v>0</v>
      </c>
      <c r="M28" s="30" t="s">
        <v>0</v>
      </c>
      <c r="N28" s="30" t="s">
        <v>0</v>
      </c>
      <c r="O28" s="30" t="s">
        <v>0</v>
      </c>
      <c r="P28" s="30" t="s">
        <v>0</v>
      </c>
      <c r="Q28" s="32">
        <f ca="1">(Q27/12)</f>
        <v>58545.986701252143</v>
      </c>
      <c r="R28" s="32">
        <f ca="1">(R27/12)</f>
        <v>5048.1032538479158</v>
      </c>
      <c r="S28" s="33">
        <f ca="1">(S27/12)</f>
        <v>63594.089955100062</v>
      </c>
      <c r="T28" s="43"/>
      <c r="U28" s="8"/>
      <c r="V28" s="44"/>
      <c r="W28" s="35"/>
      <c r="X28" s="36"/>
      <c r="Y28" s="37"/>
      <c r="Z28" s="48"/>
      <c r="AB28" s="64" t="s">
        <v>22</v>
      </c>
      <c r="AC28" s="67" t="s">
        <v>44</v>
      </c>
      <c r="AH28" s="59" t="s">
        <v>0</v>
      </c>
      <c r="AI28" s="59" t="s">
        <v>0</v>
      </c>
      <c r="AJ28" s="59" t="s">
        <v>0</v>
      </c>
      <c r="AK28" s="59" t="s">
        <v>0</v>
      </c>
      <c r="AL28" s="59" t="s">
        <v>0</v>
      </c>
      <c r="AM28" s="59" t="s">
        <v>0</v>
      </c>
      <c r="AN28" s="52">
        <f>(AN27/12)</f>
        <v>2115.1699999999996</v>
      </c>
      <c r="AO28" s="52">
        <f t="shared" ref="AO28:AQ28" ca="1" si="34">(AO27/12)</f>
        <v>1379.4485709287319</v>
      </c>
      <c r="AP28" s="52">
        <f t="shared" si="34"/>
        <v>2115.1699999999996</v>
      </c>
      <c r="AQ28" s="52">
        <f t="shared" ca="1" si="34"/>
        <v>1531.8731753731763</v>
      </c>
      <c r="AR28" s="59" t="s">
        <v>0</v>
      </c>
      <c r="AS28" s="52">
        <f t="shared" ref="AS28:AT28" si="35">(AS27/12)</f>
        <v>64336.420833333337</v>
      </c>
      <c r="AT28" s="52">
        <f t="shared" ca="1" si="35"/>
        <v>41932.950936710367</v>
      </c>
      <c r="AU28" s="52">
        <f t="shared" ref="AU28:AV28" si="36">(AU27/12)</f>
        <v>0</v>
      </c>
      <c r="AV28" s="52">
        <f t="shared" ca="1" si="36"/>
        <v>0</v>
      </c>
      <c r="AW28" s="52">
        <f t="shared" ref="AW28:AX28" si="37">(AW27/12)</f>
        <v>0</v>
      </c>
      <c r="AX28" s="52">
        <f t="shared" ca="1" si="37"/>
        <v>0</v>
      </c>
      <c r="AY28" s="52">
        <f t="shared" ref="AY28" si="38">(AY27/12)</f>
        <v>44.066041666666671</v>
      </c>
      <c r="BE28" s="51">
        <v>26</v>
      </c>
      <c r="BF28" s="54">
        <v>13</v>
      </c>
      <c r="BG28" s="55">
        <v>0.28000000000000003</v>
      </c>
      <c r="BH28" s="83"/>
    </row>
    <row r="29" spans="1:60" ht="39.950000000000003" hidden="1" customHeight="1" x14ac:dyDescent="0.25">
      <c r="AB29" s="64" t="s">
        <v>40</v>
      </c>
      <c r="AC29" s="50" t="s">
        <v>74</v>
      </c>
      <c r="AD29" s="68">
        <v>1.3878710000000001</v>
      </c>
      <c r="AE29" s="68">
        <v>1.3878710000000001</v>
      </c>
      <c r="AF29" s="49" t="s">
        <v>0</v>
      </c>
      <c r="AG29" s="62" t="s">
        <v>0</v>
      </c>
      <c r="AH29" s="52">
        <f>IF(AX1-AY1&lt;=0,0,AX1-AY1)</f>
        <v>0</v>
      </c>
      <c r="AI29" s="52">
        <f ca="1">IF(AH29*AT73*-1&gt;=0,0,AH29*AT73*-1)</f>
        <v>0</v>
      </c>
      <c r="AJ29" s="52">
        <f ca="1">(AK29/AY73)</f>
        <v>2661.1203346736493</v>
      </c>
      <c r="AK29" s="50">
        <f>(2748/26*I15)</f>
        <v>1902.4615384615386</v>
      </c>
      <c r="AL29" s="66">
        <v>0</v>
      </c>
      <c r="AM29" s="52">
        <f>(AN15*AL29)</f>
        <v>0</v>
      </c>
      <c r="AN29" s="52">
        <f ca="1">(AM29*AY73)</f>
        <v>0</v>
      </c>
      <c r="AO29" s="66">
        <v>30</v>
      </c>
      <c r="AP29" s="52">
        <f t="shared" ref="AP29:AP34" si="39">(4423.89/30*AO29)</f>
        <v>4423.8900000000003</v>
      </c>
      <c r="AQ29" s="52">
        <f ca="1">(AP29*AY73)</f>
        <v>3162.6831999000005</v>
      </c>
      <c r="AR29" s="66">
        <v>30</v>
      </c>
      <c r="AS29" s="52">
        <f t="shared" ref="AS29:AS34" si="40">(331.79/30*AR29)</f>
        <v>331.79</v>
      </c>
      <c r="AT29" s="52">
        <f ca="1">AS29-(AS29*0.00759)-((AS29-AU29)*0.14)-((AS29-AU29)*0.01)-((AS29-(AS29-AU29)*0.14-(AS29-AU29)*0.01)-AV29)*AT73</f>
        <v>286.96848890000001</v>
      </c>
      <c r="AU29" s="52">
        <f>(0)</f>
        <v>0</v>
      </c>
      <c r="AV29" s="52">
        <f>IF(AS29&lt;=$AF$12,AS29,$AF$12)</f>
        <v>331.79</v>
      </c>
      <c r="AW29" s="66">
        <v>30</v>
      </c>
      <c r="AX29" s="52">
        <f t="shared" ref="AX29:AX34" si="41">COUNTIF($A$1,"Güvenlik Sorumlusu")*(4057.29/30*AW29)</f>
        <v>0</v>
      </c>
      <c r="AY29" s="52">
        <f ca="1">(AX29*AY73)</f>
        <v>0</v>
      </c>
      <c r="BE29" s="51">
        <v>27</v>
      </c>
      <c r="BF29" s="54">
        <v>13.5</v>
      </c>
      <c r="BG29" s="55">
        <v>0.28999999999999998</v>
      </c>
    </row>
    <row r="30" spans="1:60" ht="39.950000000000003" hidden="1" customHeight="1" x14ac:dyDescent="0.25">
      <c r="AB30" s="64" t="s">
        <v>26</v>
      </c>
      <c r="AC30" s="67" t="s">
        <v>45</v>
      </c>
      <c r="AD30" s="68">
        <v>22.722792999999999</v>
      </c>
      <c r="AE30" s="68">
        <v>22.722792999999999</v>
      </c>
      <c r="AF30" s="49" t="s">
        <v>0</v>
      </c>
      <c r="AG30" s="62" t="s">
        <v>0</v>
      </c>
      <c r="AH30" s="52">
        <f>IF(AX2-AY2&lt;=0,0,AX2-AY2)</f>
        <v>0</v>
      </c>
      <c r="AI30" s="52">
        <f ca="1">IF(AH30*AT74*-1&gt;=0,0,AH30*AT74*-1)</f>
        <v>0</v>
      </c>
      <c r="AJ30" s="52">
        <f ca="1">(AK30/AY74)</f>
        <v>2927.4260450212664</v>
      </c>
      <c r="AK30" s="50">
        <f>(3023/26*I16)</f>
        <v>2092.8461538461538</v>
      </c>
      <c r="AL30" s="66">
        <v>0</v>
      </c>
      <c r="AM30" s="52">
        <f>(AN16*AL30)</f>
        <v>0</v>
      </c>
      <c r="AN30" s="52">
        <f ca="1">(AM30*AY74)</f>
        <v>0</v>
      </c>
      <c r="AO30" s="66">
        <v>30</v>
      </c>
      <c r="AP30" s="52">
        <f t="shared" si="39"/>
        <v>4423.8900000000003</v>
      </c>
      <c r="AQ30" s="52">
        <f ca="1">(AP30*AY74)</f>
        <v>3162.6831999000005</v>
      </c>
      <c r="AR30" s="66">
        <v>30</v>
      </c>
      <c r="AS30" s="52">
        <f t="shared" si="40"/>
        <v>331.79</v>
      </c>
      <c r="AT30" s="52">
        <f ca="1">AS30-(AS30*0.00759)-((AS30-AU30)*0.14)-((AS30-AU30)*0.01)-((AS30-(AS30-AU30)*0.14-(AS30-AU30)*0.01)-AV30)*AT74</f>
        <v>286.96848890000001</v>
      </c>
      <c r="AU30" s="52">
        <f>(0)</f>
        <v>0</v>
      </c>
      <c r="AV30" s="52">
        <f>IF(AS30&lt;=$AF$12,AS30,$AF$12)</f>
        <v>331.79</v>
      </c>
      <c r="AW30" s="66">
        <v>30</v>
      </c>
      <c r="AX30" s="52">
        <f t="shared" si="41"/>
        <v>0</v>
      </c>
      <c r="AY30" s="52">
        <f ca="1">(AX30*AY74)</f>
        <v>0</v>
      </c>
      <c r="BE30" s="51">
        <v>28</v>
      </c>
      <c r="BF30" s="54">
        <v>14</v>
      </c>
      <c r="BG30" s="55">
        <v>0.3</v>
      </c>
    </row>
    <row r="31" spans="1:60" ht="39.950000000000003" hidden="1" customHeight="1" x14ac:dyDescent="0.25">
      <c r="AB31" s="64" t="s">
        <v>24</v>
      </c>
      <c r="AC31" s="65" t="s">
        <v>100</v>
      </c>
      <c r="AD31" s="68">
        <v>0.44144099999999997</v>
      </c>
      <c r="AE31" s="68">
        <v>0.44144099999999997</v>
      </c>
      <c r="AF31" s="49" t="s">
        <v>0</v>
      </c>
      <c r="AG31" s="62" t="s">
        <v>0</v>
      </c>
      <c r="AH31" s="52">
        <f>IF(AX3-AY3&lt;=0,0,AX3-AY3)</f>
        <v>0</v>
      </c>
      <c r="AI31" s="52">
        <f ca="1">IF(AH31*AT75*-1&gt;=0,0,AH31*AT75*-1)</f>
        <v>0</v>
      </c>
      <c r="AJ31" s="52">
        <f ca="1">(AK31/AY75)</f>
        <v>3223.514490735919</v>
      </c>
      <c r="AK31" s="50">
        <f>(3298/26*I17)</f>
        <v>2283.2307692307691</v>
      </c>
      <c r="AL31" s="66">
        <v>15</v>
      </c>
      <c r="AM31" s="52">
        <f>(AN17*AL31)</f>
        <v>31727.550000000003</v>
      </c>
      <c r="AN31" s="52">
        <f ca="1">(AM31*AY75)</f>
        <v>22472.775785713791</v>
      </c>
      <c r="AO31" s="66">
        <v>30</v>
      </c>
      <c r="AP31" s="52">
        <f t="shared" si="39"/>
        <v>4423.8900000000003</v>
      </c>
      <c r="AQ31" s="52">
        <f ca="1">(AP31*AY75)</f>
        <v>3133.4624977554645</v>
      </c>
      <c r="AR31" s="66">
        <v>30</v>
      </c>
      <c r="AS31" s="52">
        <f t="shared" si="40"/>
        <v>331.79</v>
      </c>
      <c r="AT31" s="52">
        <f ca="1">AS31-(AS31*0.00759)-((AS31-AU31)*0.14)-((AS31-AU31)*0.01)-((AS31-(AS31-AU31)*0.14-(AS31-AU31)*0.01)-AV31)*AT75</f>
        <v>287.35523144736425</v>
      </c>
      <c r="AU31" s="52">
        <f>(0)</f>
        <v>0</v>
      </c>
      <c r="AV31" s="52">
        <f>IF(AS31&lt;=$AF$12,AS31,$AF$12)</f>
        <v>331.79</v>
      </c>
      <c r="AW31" s="66">
        <v>30</v>
      </c>
      <c r="AX31" s="52">
        <f t="shared" si="41"/>
        <v>0</v>
      </c>
      <c r="AY31" s="52">
        <f ca="1">(AX31*AY75)</f>
        <v>0</v>
      </c>
      <c r="BE31" s="51">
        <v>29</v>
      </c>
      <c r="BF31" s="54">
        <v>14.5</v>
      </c>
      <c r="BG31" s="55">
        <v>0.31</v>
      </c>
    </row>
    <row r="32" spans="1:60" ht="39.950000000000003" hidden="1" customHeight="1" x14ac:dyDescent="0.25">
      <c r="AB32" s="64" t="s">
        <v>25</v>
      </c>
      <c r="AC32" s="65" t="s">
        <v>101</v>
      </c>
      <c r="AH32" s="52">
        <f>IF(AX4-AY4&lt;=0,0,AX4-AY4)</f>
        <v>0</v>
      </c>
      <c r="AI32" s="52">
        <f ca="1">IF(AH32*AT76*-1&gt;=0,0,AH32*AT76*-1)</f>
        <v>0</v>
      </c>
      <c r="AJ32" s="52">
        <f ca="1">(AK32/AY76)</f>
        <v>3395.5931191248928</v>
      </c>
      <c r="AK32" s="50">
        <f>(3298/26*I18)</f>
        <v>2283.2307692307691</v>
      </c>
      <c r="AL32" s="66">
        <v>0</v>
      </c>
      <c r="AM32" s="52">
        <f>(AN18*AL32)</f>
        <v>0</v>
      </c>
      <c r="AN32" s="52">
        <f ca="1">(AM32*AY76)</f>
        <v>0</v>
      </c>
      <c r="AO32" s="66">
        <v>30</v>
      </c>
      <c r="AP32" s="52">
        <f t="shared" si="39"/>
        <v>4423.8900000000003</v>
      </c>
      <c r="AQ32" s="52">
        <f ca="1">(AP32*AY76)</f>
        <v>2974.6678748999998</v>
      </c>
      <c r="AR32" s="66">
        <v>30</v>
      </c>
      <c r="AS32" s="52">
        <f t="shared" si="40"/>
        <v>331.79</v>
      </c>
      <c r="AT32" s="52">
        <f ca="1">AS32-(AS32*0.00759)-((AS32-AU32)*0.14)-((AS32-AU32)*0.01)-((AS32-(AS32-AU32)*0.14-(AS32-AU32)*0.01)-AV32)*AT76</f>
        <v>289.45691390000002</v>
      </c>
      <c r="AU32" s="52">
        <f>(0)</f>
        <v>0</v>
      </c>
      <c r="AV32" s="52">
        <f>IF(AS32&lt;=$AF$12,AS32,$AF$12)</f>
        <v>331.79</v>
      </c>
      <c r="AW32" s="66">
        <v>30</v>
      </c>
      <c r="AX32" s="52">
        <f t="shared" si="41"/>
        <v>0</v>
      </c>
      <c r="AY32" s="52">
        <f ca="1">(AX32*AY76)</f>
        <v>0</v>
      </c>
      <c r="BE32" s="51">
        <v>30</v>
      </c>
      <c r="BF32" s="54">
        <v>15</v>
      </c>
      <c r="BG32" s="55">
        <v>0.32</v>
      </c>
    </row>
    <row r="33" spans="28:59" ht="39.950000000000003" hidden="1" customHeight="1" x14ac:dyDescent="0.25">
      <c r="AB33" s="64" t="s">
        <v>41</v>
      </c>
      <c r="AC33" s="67" t="s">
        <v>75</v>
      </c>
      <c r="AD33" s="69">
        <f>($AD$34*2)</f>
        <v>19000</v>
      </c>
      <c r="AE33" s="49" t="s">
        <v>0</v>
      </c>
      <c r="AF33" s="50">
        <f>($AD$29*$AD$33)</f>
        <v>26369.549000000003</v>
      </c>
      <c r="AG33" s="50">
        <f>($AE$29*$AD$33)</f>
        <v>26369.549000000003</v>
      </c>
      <c r="AH33" s="52">
        <f>IF(AX5-AY5&lt;=0,0,AX5-AY5)</f>
        <v>0</v>
      </c>
      <c r="AI33" s="52">
        <f ca="1">IF(AH33*AT77*-1&gt;=0,0,AH33*AT77*-1)</f>
        <v>0</v>
      </c>
      <c r="AJ33" s="52">
        <f ca="1">(AK33/AY77)</f>
        <v>3395.5931191248928</v>
      </c>
      <c r="AK33" s="50">
        <f>(3298/26*I19)</f>
        <v>2283.2307692307691</v>
      </c>
      <c r="AL33" s="66">
        <v>0</v>
      </c>
      <c r="AM33" s="52">
        <f>(AN19*AL33)</f>
        <v>0</v>
      </c>
      <c r="AN33" s="52">
        <f ca="1">(AM33*AY77)</f>
        <v>0</v>
      </c>
      <c r="AO33" s="66">
        <v>30</v>
      </c>
      <c r="AP33" s="52">
        <f t="shared" si="39"/>
        <v>4423.8900000000003</v>
      </c>
      <c r="AQ33" s="52">
        <f ca="1">(AP33*AY77)</f>
        <v>2974.6678748999998</v>
      </c>
      <c r="AR33" s="66">
        <v>30</v>
      </c>
      <c r="AS33" s="52">
        <f t="shared" si="40"/>
        <v>331.79</v>
      </c>
      <c r="AT33" s="52">
        <f ca="1">AS33-(AS33*0.00759)-((AS33-AU33)*0.14)-((AS33-AU33)*0.01)-((AS33-(AS33-AU33)*0.14-(AS33-AU33)*0.01)-AV33)*AT77</f>
        <v>289.45691390000002</v>
      </c>
      <c r="AU33" s="52">
        <f>(0)</f>
        <v>0</v>
      </c>
      <c r="AV33" s="52">
        <f>IF(AS33&lt;=$AF$12,AS33,$AF$12)</f>
        <v>331.79</v>
      </c>
      <c r="AW33" s="66">
        <v>30</v>
      </c>
      <c r="AX33" s="52">
        <f t="shared" si="41"/>
        <v>0</v>
      </c>
      <c r="AY33" s="52">
        <f ca="1">(AX33*AY77)</f>
        <v>0</v>
      </c>
      <c r="BE33" s="51">
        <v>31</v>
      </c>
      <c r="BF33" s="54">
        <v>15.5</v>
      </c>
      <c r="BG33" s="55">
        <v>0.33</v>
      </c>
    </row>
    <row r="34" spans="28:59" ht="39.950000000000003" hidden="1" customHeight="1" x14ac:dyDescent="0.25">
      <c r="AB34" s="64" t="s">
        <v>36</v>
      </c>
      <c r="AC34" s="65" t="s">
        <v>102</v>
      </c>
      <c r="AD34" s="69">
        <f>(9500)</f>
        <v>9500</v>
      </c>
      <c r="AE34" s="49" t="s">
        <v>0</v>
      </c>
      <c r="AF34" s="50">
        <f>($AD$29*$AD$34)</f>
        <v>13184.774500000001</v>
      </c>
      <c r="AG34" s="50">
        <f>($AE$29*$AD$34)</f>
        <v>13184.774500000001</v>
      </c>
      <c r="AH34" s="52">
        <f>IF(AX6-AY6&lt;=0,0,AX6-AY6)</f>
        <v>0</v>
      </c>
      <c r="AI34" s="52">
        <f ca="1">IF(AH34*AT78*-1&gt;=0,0,AH34*AT78*-1)</f>
        <v>0</v>
      </c>
      <c r="AJ34" s="52">
        <f ca="1">(AK34/AY78)</f>
        <v>3430.2072867012157</v>
      </c>
      <c r="AK34" s="50">
        <f>(3298/26*I20)</f>
        <v>2283.2307692307691</v>
      </c>
      <c r="AL34" s="66">
        <v>15</v>
      </c>
      <c r="AM34" s="52">
        <f>(AN20*AL34)</f>
        <v>31727.550000000003</v>
      </c>
      <c r="AN34" s="52">
        <f ca="1">(AM34*AY78)</f>
        <v>21118.641626457957</v>
      </c>
      <c r="AO34" s="66">
        <v>30</v>
      </c>
      <c r="AP34" s="52">
        <f t="shared" si="39"/>
        <v>4423.8900000000003</v>
      </c>
      <c r="AQ34" s="52">
        <f ca="1">(AP34*AY78)</f>
        <v>2944.6505483364172</v>
      </c>
      <c r="AR34" s="66">
        <v>30</v>
      </c>
      <c r="AS34" s="52">
        <f t="shared" si="40"/>
        <v>331.79</v>
      </c>
      <c r="AT34" s="52">
        <f ca="1">AS34-(AS34*0.00759)-((AS34-AU34)*0.14)-((AS34-AU34)*0.01)-((AS34-(AS34-AU34)*0.14-(AS34-AU34)*0.01)-AV34)*AT78</f>
        <v>289.85419995024074</v>
      </c>
      <c r="AU34" s="52">
        <f>(0)</f>
        <v>0</v>
      </c>
      <c r="AV34" s="52">
        <f>IF(AS34&lt;=$AF$12,AS34,$AF$12)</f>
        <v>331.79</v>
      </c>
      <c r="AW34" s="66">
        <v>30</v>
      </c>
      <c r="AX34" s="52">
        <f t="shared" si="41"/>
        <v>0</v>
      </c>
      <c r="AY34" s="52">
        <f ca="1">(AX34*AY78)</f>
        <v>0</v>
      </c>
      <c r="BE34" s="51">
        <v>32</v>
      </c>
      <c r="BF34" s="54">
        <v>16</v>
      </c>
      <c r="BG34" s="55">
        <v>0.34</v>
      </c>
    </row>
    <row r="35" spans="28:59" ht="39.950000000000003" hidden="1" customHeight="1" x14ac:dyDescent="0.25">
      <c r="AB35" s="64" t="s">
        <v>42</v>
      </c>
      <c r="AC35" s="67" t="s">
        <v>76</v>
      </c>
      <c r="AH35" s="52">
        <f>IF(AX7-AY7&lt;=0,0,AX7-AY7)</f>
        <v>0</v>
      </c>
      <c r="AI35" s="52">
        <f ca="1">IF(AH35*AT79*-1&gt;=0,0,AH35*AT79*-1)</f>
        <v>0</v>
      </c>
      <c r="AJ35" s="52">
        <f ca="1">(AK35/AY79)</f>
        <v>3725.2300814650916</v>
      </c>
      <c r="AK35" s="50">
        <f>(3298/26*I21)</f>
        <v>2283.2307692307691</v>
      </c>
      <c r="AL35" s="66">
        <v>0</v>
      </c>
      <c r="AM35" s="52">
        <f>(AN21*AL35)</f>
        <v>0</v>
      </c>
      <c r="AN35" s="52">
        <f ca="1">(AM35*AY79)</f>
        <v>0</v>
      </c>
      <c r="AO35" s="66">
        <v>30</v>
      </c>
      <c r="AP35" s="52">
        <f>(4423.89/30*AO35)</f>
        <v>4423.8900000000003</v>
      </c>
      <c r="AQ35" s="52">
        <f ca="1">(AP35*AY79)</f>
        <v>2711.4464198999999</v>
      </c>
      <c r="AR35" s="66">
        <v>30</v>
      </c>
      <c r="AS35" s="52">
        <f>(331.79/30*AR35)</f>
        <v>331.79</v>
      </c>
      <c r="AT35" s="52">
        <f ca="1">AS35-(AS35*0.00759)-((AS35-AU35)*0.14)-((AS35-AU35)*0.01)-((AS35-(AS35-AU35)*0.14-(AS35-AU35)*0.01)-AV35)*AT79</f>
        <v>203.3574089</v>
      </c>
      <c r="AU35" s="52">
        <f>(0)</f>
        <v>0</v>
      </c>
      <c r="AV35" s="52">
        <f>(0)</f>
        <v>0</v>
      </c>
      <c r="AW35" s="66">
        <v>30</v>
      </c>
      <c r="AX35" s="52">
        <f>COUNTIF($A$1,"Güvenlik Sorumlusu")*(4057.29/30*AW35)</f>
        <v>0</v>
      </c>
      <c r="AY35" s="52">
        <f ca="1">(AX35*AY79)</f>
        <v>0</v>
      </c>
      <c r="BE35" s="51">
        <v>33</v>
      </c>
      <c r="BF35" s="54">
        <v>16.5</v>
      </c>
      <c r="BG35" s="55">
        <v>0.35</v>
      </c>
    </row>
    <row r="36" spans="28:59" ht="39.950000000000003" hidden="1" customHeight="1" x14ac:dyDescent="0.25">
      <c r="AB36" s="64" t="s">
        <v>23</v>
      </c>
      <c r="AC36" s="65" t="s">
        <v>103</v>
      </c>
      <c r="AD36" s="50">
        <v>12000</v>
      </c>
      <c r="AE36" s="49" t="s">
        <v>0</v>
      </c>
      <c r="AF36" s="49" t="s">
        <v>0</v>
      </c>
      <c r="AG36" s="49" t="s">
        <v>0</v>
      </c>
      <c r="AH36" s="52">
        <f>IF(AX8-AY8&lt;=0,0,AX8-AY8)</f>
        <v>0</v>
      </c>
      <c r="AI36" s="52">
        <f ca="1">IF(AH36*AT80*-1&gt;=0,0,AH36*AT80*-1)</f>
        <v>0</v>
      </c>
      <c r="AJ36" s="52">
        <f ca="1">(AK36/AY80)</f>
        <v>3725.2300814650916</v>
      </c>
      <c r="AK36" s="50">
        <f>(3298/26*I22)</f>
        <v>2283.2307692307691</v>
      </c>
      <c r="AL36" s="66">
        <v>0</v>
      </c>
      <c r="AM36" s="52">
        <f>(AN22*AL36)</f>
        <v>0</v>
      </c>
      <c r="AN36" s="52">
        <f ca="1">(AM36*AY80)</f>
        <v>0</v>
      </c>
      <c r="AO36" s="66">
        <v>30</v>
      </c>
      <c r="AP36" s="52">
        <f t="shared" ref="AP36:AP40" si="42">(4423.89/30*AO36)</f>
        <v>4423.8900000000003</v>
      </c>
      <c r="AQ36" s="52">
        <f ca="1">(AP36*AY80)</f>
        <v>2711.4464198999999</v>
      </c>
      <c r="AR36" s="66">
        <v>30</v>
      </c>
      <c r="AS36" s="52">
        <f t="shared" ref="AS36:AS40" si="43">(331.79/30*AR36)</f>
        <v>331.79</v>
      </c>
      <c r="AT36" s="52">
        <f ca="1">AS36-(AS36*0.00759)-((AS36-AU36)*0.14)-((AS36-AU36)*0.01)-((AS36-(AS36-AU36)*0.14-(AS36-AU36)*0.01)-AV36)*AT80</f>
        <v>203.3574089</v>
      </c>
      <c r="AU36" s="52">
        <f>(0)</f>
        <v>0</v>
      </c>
      <c r="AV36" s="52">
        <f>(0)</f>
        <v>0</v>
      </c>
      <c r="AW36" s="66">
        <v>30</v>
      </c>
      <c r="AX36" s="52">
        <f t="shared" ref="AX36:AX40" si="44">COUNTIF($A$1,"Güvenlik Sorumlusu")*(4057.29/30*AW36)</f>
        <v>0</v>
      </c>
      <c r="AY36" s="52">
        <f ca="1">(AX36*AY80)</f>
        <v>0</v>
      </c>
      <c r="BE36" s="51">
        <v>34</v>
      </c>
      <c r="BF36" s="54">
        <v>17</v>
      </c>
      <c r="BG36" s="55">
        <v>0.36</v>
      </c>
    </row>
    <row r="37" spans="28:59" ht="39.950000000000003" hidden="1" customHeight="1" x14ac:dyDescent="0.25">
      <c r="AB37" s="64" t="s">
        <v>35</v>
      </c>
      <c r="AC37" s="65" t="s">
        <v>77</v>
      </c>
      <c r="AD37" s="50">
        <v>7000</v>
      </c>
      <c r="AE37" s="49" t="s">
        <v>0</v>
      </c>
      <c r="AF37" s="49" t="s">
        <v>0</v>
      </c>
      <c r="AG37" s="49" t="s">
        <v>0</v>
      </c>
      <c r="AH37" s="52">
        <f>IF(AX9-AY9&lt;=0,0,AX9-AY9)</f>
        <v>0</v>
      </c>
      <c r="AI37" s="52">
        <f ca="1">IF(AH37*AT81*-1&gt;=0,0,AH37*AT81*-1)</f>
        <v>0</v>
      </c>
      <c r="AJ37" s="52">
        <f ca="1">(AK37/AY81)</f>
        <v>3725.2300814650916</v>
      </c>
      <c r="AK37" s="50">
        <f>(3298/26*I23)</f>
        <v>2283.2307692307691</v>
      </c>
      <c r="AL37" s="66">
        <v>15</v>
      </c>
      <c r="AM37" s="52">
        <f>(AN23*AL37)</f>
        <v>31727.550000000003</v>
      </c>
      <c r="AN37" s="52">
        <f ca="1">(AM37*AY81)</f>
        <v>19446.132670499999</v>
      </c>
      <c r="AO37" s="66">
        <v>30</v>
      </c>
      <c r="AP37" s="52">
        <f t="shared" si="42"/>
        <v>4423.8900000000003</v>
      </c>
      <c r="AQ37" s="52">
        <f ca="1">(AP37*AY81)</f>
        <v>2711.4464198999999</v>
      </c>
      <c r="AR37" s="66">
        <v>30</v>
      </c>
      <c r="AS37" s="52">
        <f t="shared" si="43"/>
        <v>331.79</v>
      </c>
      <c r="AT37" s="52">
        <f ca="1">AS37-(AS37*0.00759)-((AS37-AU37)*0.14)-((AS37-AU37)*0.01)-((AS37-(AS37-AU37)*0.14-(AS37-AU37)*0.01)-AV37)*AT81</f>
        <v>203.3574089</v>
      </c>
      <c r="AU37" s="52">
        <f>(0)</f>
        <v>0</v>
      </c>
      <c r="AV37" s="52">
        <f>(0)</f>
        <v>0</v>
      </c>
      <c r="AW37" s="66">
        <v>30</v>
      </c>
      <c r="AX37" s="52">
        <f t="shared" si="44"/>
        <v>0</v>
      </c>
      <c r="AY37" s="52">
        <f ca="1">(AX37*AY81)</f>
        <v>0</v>
      </c>
      <c r="BE37" s="51">
        <v>35</v>
      </c>
      <c r="BF37" s="54">
        <v>17.5</v>
      </c>
      <c r="BG37" s="55">
        <v>0.37</v>
      </c>
    </row>
    <row r="38" spans="28:59" ht="39.950000000000003" hidden="1" customHeight="1" x14ac:dyDescent="0.25">
      <c r="AB38" s="70" t="s">
        <v>37</v>
      </c>
      <c r="AC38" s="67" t="s">
        <v>82</v>
      </c>
      <c r="AD38" s="50">
        <v>3000</v>
      </c>
      <c r="AE38" s="49" t="s">
        <v>0</v>
      </c>
      <c r="AF38" s="49" t="s">
        <v>0</v>
      </c>
      <c r="AG38" s="49" t="s">
        <v>0</v>
      </c>
      <c r="AH38" s="52">
        <f>IF(AX10-AY10&lt;=0,0,AX10-AY10)</f>
        <v>0</v>
      </c>
      <c r="AI38" s="52">
        <f ca="1">IF(AH38*AT82*-1&gt;=0,0,AH38*AT82*-1)</f>
        <v>0</v>
      </c>
      <c r="AJ38" s="52">
        <f ca="1">(AK38/AY82)</f>
        <v>3725.2300814650916</v>
      </c>
      <c r="AK38" s="50">
        <f>(3298/26*I24)</f>
        <v>2283.2307692307691</v>
      </c>
      <c r="AL38" s="66">
        <v>0</v>
      </c>
      <c r="AM38" s="52">
        <f>(AN24*AL38)</f>
        <v>0</v>
      </c>
      <c r="AN38" s="52">
        <f ca="1">(AM38*AY82)</f>
        <v>0</v>
      </c>
      <c r="AO38" s="66">
        <v>30</v>
      </c>
      <c r="AP38" s="52">
        <f t="shared" si="42"/>
        <v>4423.8900000000003</v>
      </c>
      <c r="AQ38" s="52">
        <f ca="1">(AP38*AY82)</f>
        <v>2711.4464198999999</v>
      </c>
      <c r="AR38" s="66">
        <v>30</v>
      </c>
      <c r="AS38" s="52">
        <f t="shared" si="43"/>
        <v>331.79</v>
      </c>
      <c r="AT38" s="52">
        <f ca="1">AS38-(AS38*0.00759)-((AS38-AU38)*0.14)-((AS38-AU38)*0.01)-((AS38-(AS38-AU38)*0.14-(AS38-AU38)*0.01)-AV38)*AT82</f>
        <v>203.3574089</v>
      </c>
      <c r="AU38" s="52">
        <f>(0)</f>
        <v>0</v>
      </c>
      <c r="AV38" s="52">
        <f>(0)</f>
        <v>0</v>
      </c>
      <c r="AW38" s="66">
        <v>30</v>
      </c>
      <c r="AX38" s="52">
        <f t="shared" si="44"/>
        <v>0</v>
      </c>
      <c r="AY38" s="52">
        <f ca="1">(AX38*AY82)</f>
        <v>0</v>
      </c>
      <c r="BE38" s="51">
        <v>36</v>
      </c>
      <c r="BF38" s="54">
        <v>18</v>
      </c>
      <c r="BG38" s="55">
        <v>0.38</v>
      </c>
    </row>
    <row r="39" spans="28:59" ht="39.950000000000003" hidden="1" customHeight="1" x14ac:dyDescent="0.25">
      <c r="AB39" s="64" t="s">
        <v>43</v>
      </c>
      <c r="AC39" s="65" t="s">
        <v>47</v>
      </c>
      <c r="AE39" s="71" t="s">
        <v>1</v>
      </c>
      <c r="AF39" s="49" t="s">
        <v>65</v>
      </c>
      <c r="AG39" s="49" t="s">
        <v>65</v>
      </c>
      <c r="AH39" s="52">
        <f>IF(AX11-AY11&lt;=0,0,AX11-AY11)</f>
        <v>0</v>
      </c>
      <c r="AI39" s="52">
        <f ca="1">IF(AH39*AT83*-1&gt;=0,0,AH39*AT83*-1)</f>
        <v>0</v>
      </c>
      <c r="AJ39" s="52">
        <f ca="1">(AK39/AY83)</f>
        <v>3725.2300814650916</v>
      </c>
      <c r="AK39" s="50">
        <f>(3298/26*I25)</f>
        <v>2283.2307692307691</v>
      </c>
      <c r="AL39" s="66">
        <v>0</v>
      </c>
      <c r="AM39" s="52">
        <f>(AN25*AL39)</f>
        <v>0</v>
      </c>
      <c r="AN39" s="52">
        <f ca="1">(AM39*AY83)</f>
        <v>0</v>
      </c>
      <c r="AO39" s="66">
        <v>30</v>
      </c>
      <c r="AP39" s="52">
        <f t="shared" si="42"/>
        <v>4423.8900000000003</v>
      </c>
      <c r="AQ39" s="52">
        <f ca="1">(AP39*AY83)</f>
        <v>2711.4464198999999</v>
      </c>
      <c r="AR39" s="66">
        <v>30</v>
      </c>
      <c r="AS39" s="52">
        <f t="shared" si="43"/>
        <v>331.79</v>
      </c>
      <c r="AT39" s="52">
        <f ca="1">AS39-(AS39*0.00759)-((AS39-AU39)*0.14)-((AS39-AU39)*0.01)-((AS39-(AS39-AU39)*0.14-(AS39-AU39)*0.01)-AV39)*AT83</f>
        <v>292.9407089</v>
      </c>
      <c r="AU39" s="52">
        <f>(0)</f>
        <v>0</v>
      </c>
      <c r="AV39" s="52">
        <f>IF(AS39&lt;=$AG$12,AS39,$AG$12)</f>
        <v>331.79</v>
      </c>
      <c r="AW39" s="66">
        <v>30</v>
      </c>
      <c r="AX39" s="52">
        <f t="shared" si="44"/>
        <v>0</v>
      </c>
      <c r="AY39" s="52">
        <f ca="1">(AX39*AY83)</f>
        <v>0</v>
      </c>
      <c r="BE39" s="51">
        <v>37</v>
      </c>
      <c r="BF39" s="54">
        <v>18.5</v>
      </c>
      <c r="BG39" s="55">
        <v>0.39</v>
      </c>
    </row>
    <row r="40" spans="28:59" ht="39.950000000000003" hidden="1" customHeight="1" x14ac:dyDescent="0.25">
      <c r="AE40" s="70" t="s">
        <v>46</v>
      </c>
      <c r="AF40" s="72">
        <v>0</v>
      </c>
      <c r="AG40" s="72">
        <v>0</v>
      </c>
      <c r="AH40" s="52">
        <f>IF(AX12-AY12&lt;=0,0,AX12-AY12)</f>
        <v>0</v>
      </c>
      <c r="AI40" s="52">
        <f ca="1">IF(AH40*AT84*-1&gt;=0,0,AH40*AT84*-1)</f>
        <v>0</v>
      </c>
      <c r="AJ40" s="52">
        <f ca="1">(AK40/AY84)</f>
        <v>3725.2300814650916</v>
      </c>
      <c r="AK40" s="50">
        <f>(3298/26*I26)</f>
        <v>2283.2307692307691</v>
      </c>
      <c r="AL40" s="66">
        <v>15</v>
      </c>
      <c r="AM40" s="52">
        <f>(AN26*AL40)</f>
        <v>31727.550000000003</v>
      </c>
      <c r="AN40" s="52">
        <f ca="1">(AM40*AY84)</f>
        <v>19446.132670499999</v>
      </c>
      <c r="AO40" s="66">
        <v>30</v>
      </c>
      <c r="AP40" s="52">
        <f t="shared" si="42"/>
        <v>4423.8900000000003</v>
      </c>
      <c r="AQ40" s="52">
        <f ca="1">(AP40*AY84)</f>
        <v>2711.4464198999999</v>
      </c>
      <c r="AR40" s="66">
        <v>30</v>
      </c>
      <c r="AS40" s="52">
        <f t="shared" si="43"/>
        <v>331.79</v>
      </c>
      <c r="AT40" s="52">
        <f ca="1">AS40-(AS40*0.00759)-((AS40-AU40)*0.14)-((AS40-AU40)*0.01)-((AS40-(AS40-AU40)*0.14-(AS40-AU40)*0.01)-AV40)*AT84</f>
        <v>292.9407089</v>
      </c>
      <c r="AU40" s="52">
        <f>(0)</f>
        <v>0</v>
      </c>
      <c r="AV40" s="52">
        <f>IF(AS40&lt;=$AG$12,AS40,$AG$12)</f>
        <v>331.79</v>
      </c>
      <c r="AW40" s="66">
        <v>30</v>
      </c>
      <c r="AX40" s="52">
        <f t="shared" si="44"/>
        <v>0</v>
      </c>
      <c r="AY40" s="52">
        <f ca="1">(AX40*AY84)</f>
        <v>0</v>
      </c>
      <c r="BE40" s="51">
        <v>38</v>
      </c>
      <c r="BF40" s="54">
        <v>19</v>
      </c>
      <c r="BG40" s="55">
        <v>0.4</v>
      </c>
    </row>
    <row r="41" spans="28:59" ht="39.950000000000003" hidden="1" customHeight="1" x14ac:dyDescent="0.25">
      <c r="AE41" s="70" t="s">
        <v>67</v>
      </c>
      <c r="AF41" s="72">
        <v>1714.25</v>
      </c>
      <c r="AG41" s="72">
        <v>1714.25</v>
      </c>
      <c r="AH41" s="52">
        <f t="shared" ref="AH41:AI41" si="45">(AH29+AH30+AH31+AH32+AH33+AH34+AH35+AH36+AH37+AH38+AH39+AH40)</f>
        <v>0</v>
      </c>
      <c r="AI41" s="52">
        <f t="shared" ca="1" si="45"/>
        <v>0</v>
      </c>
      <c r="AJ41" s="52">
        <f t="shared" ref="AJ41:AK41" ca="1" si="46">(AJ29+AJ30+AJ31+AJ32+AJ33+AJ34+AJ35+AJ36+AJ37+AJ38+AJ39+AJ40)</f>
        <v>41384.834884172393</v>
      </c>
      <c r="AK41" s="52">
        <f t="shared" si="46"/>
        <v>26827.615384615387</v>
      </c>
      <c r="AL41" s="59" t="s">
        <v>0</v>
      </c>
      <c r="AM41" s="52">
        <f t="shared" ref="AM41:AN41" si="47">(AM29+AM30+AM31+AM32+AM33+AM34+AM35+AM36+AM37+AM38+AM39+AM40)</f>
        <v>126910.20000000001</v>
      </c>
      <c r="AN41" s="52">
        <f t="shared" ca="1" si="47"/>
        <v>82483.682753171743</v>
      </c>
      <c r="AO41" s="66">
        <f>(AO29+AO30+AO31+AO32+AO33+AO34+AO35+AO36+AO37+AO38+AO39+AO40)</f>
        <v>360</v>
      </c>
      <c r="AP41" s="52">
        <f t="shared" ref="AP41:AQ41" si="48">(AP29+AP30+AP31+AP32+AP33+AP34+AP35+AP36+AP37+AP38+AP39+AP40)</f>
        <v>53086.68</v>
      </c>
      <c r="AQ41" s="52">
        <f t="shared" ca="1" si="48"/>
        <v>34621.493715091885</v>
      </c>
      <c r="AR41" s="66">
        <f>(AR29+AR30+AR31+AR32+AR33+AR34+AR35+AR36+AR37+AR38+AR39+AR40)</f>
        <v>360</v>
      </c>
      <c r="AS41" s="52">
        <f t="shared" ref="AS41:AV41" si="49">(AS29+AS30+AS31+AS32+AS33+AS34+AS35+AS36+AS37+AS38+AS39+AS40)</f>
        <v>3981.48</v>
      </c>
      <c r="AT41" s="52">
        <f t="shared" ca="1" si="49"/>
        <v>3129.3712903976048</v>
      </c>
      <c r="AU41" s="52">
        <f t="shared" si="49"/>
        <v>0</v>
      </c>
      <c r="AV41" s="52">
        <f t="shared" si="49"/>
        <v>2654.32</v>
      </c>
      <c r="AW41" s="66">
        <f>(AW29+AW30+AW31+AW32+AW33+AW34+AW35+AW36+AW37+AW38+AW39+AW40)</f>
        <v>360</v>
      </c>
      <c r="AX41" s="52">
        <f t="shared" ref="AX41:AY41" si="50">(AX29+AX30+AX31+AX32+AX33+AX34+AX35+AX36+AX37+AX38+AX39+AX40)</f>
        <v>0</v>
      </c>
      <c r="AY41" s="52">
        <f t="shared" ca="1" si="50"/>
        <v>0</v>
      </c>
      <c r="BE41" s="51">
        <v>39</v>
      </c>
      <c r="BF41" s="54">
        <v>19.5</v>
      </c>
      <c r="BG41" s="55">
        <v>0.41</v>
      </c>
    </row>
    <row r="42" spans="28:59" ht="39.950000000000003" hidden="1" customHeight="1" x14ac:dyDescent="0.25">
      <c r="AE42" s="70" t="s">
        <v>68</v>
      </c>
      <c r="AF42" s="72">
        <v>1714.25</v>
      </c>
      <c r="AG42" s="72">
        <v>1714.25</v>
      </c>
      <c r="AH42" s="52">
        <f t="shared" ref="AH42:AI42" si="51">(AH41/12)</f>
        <v>0</v>
      </c>
      <c r="AI42" s="52">
        <f t="shared" ca="1" si="51"/>
        <v>0</v>
      </c>
      <c r="AJ42" s="52">
        <f t="shared" ref="AJ42:AK42" ca="1" si="52">(AJ41/12)</f>
        <v>3448.7362403476995</v>
      </c>
      <c r="AK42" s="52">
        <f t="shared" si="52"/>
        <v>2235.6346153846157</v>
      </c>
      <c r="AL42" s="59" t="s">
        <v>0</v>
      </c>
      <c r="AM42" s="52">
        <f t="shared" ref="AM42:AN42" si="53">(AM41/12)</f>
        <v>10575.85</v>
      </c>
      <c r="AN42" s="52">
        <f t="shared" ca="1" si="53"/>
        <v>6873.6402294309783</v>
      </c>
      <c r="AO42" s="59" t="s">
        <v>0</v>
      </c>
      <c r="AP42" s="52">
        <f t="shared" ref="AP42:AQ42" si="54">(AP41/12)</f>
        <v>4423.8900000000003</v>
      </c>
      <c r="AQ42" s="52">
        <f t="shared" ca="1" si="54"/>
        <v>2885.1244762576571</v>
      </c>
      <c r="AR42" s="59" t="s">
        <v>0</v>
      </c>
      <c r="AS42" s="52">
        <f t="shared" ref="AS42:AV42" si="55">(AS41/12)</f>
        <v>331.79</v>
      </c>
      <c r="AT42" s="52">
        <f t="shared" ca="1" si="55"/>
        <v>260.78094086646706</v>
      </c>
      <c r="AU42" s="52">
        <f t="shared" si="55"/>
        <v>0</v>
      </c>
      <c r="AV42" s="52">
        <f t="shared" si="55"/>
        <v>221.19333333333336</v>
      </c>
      <c r="AW42" s="59" t="s">
        <v>0</v>
      </c>
      <c r="AX42" s="52">
        <f t="shared" ref="AX42:AY42" si="56">(AX41/12)</f>
        <v>0</v>
      </c>
      <c r="AY42" s="52">
        <f t="shared" ca="1" si="56"/>
        <v>0</v>
      </c>
      <c r="BE42" s="51">
        <v>40</v>
      </c>
      <c r="BF42" s="54">
        <v>20</v>
      </c>
      <c r="BG42" s="55">
        <v>0.42</v>
      </c>
    </row>
    <row r="43" spans="28:59" ht="39.950000000000003" hidden="1" customHeight="1" x14ac:dyDescent="0.25">
      <c r="AE43" s="70" t="s">
        <v>52</v>
      </c>
      <c r="AF43" s="72">
        <v>3099.41</v>
      </c>
      <c r="AG43" s="72">
        <v>3099.41</v>
      </c>
      <c r="AH43" s="52">
        <f ca="1">(AX43*AY73)</f>
        <v>920.46092320000002</v>
      </c>
      <c r="AI43" s="52">
        <f>(29.3*K15)</f>
        <v>0</v>
      </c>
      <c r="AJ43" s="52">
        <f ca="1">(AI43*AY73)</f>
        <v>0</v>
      </c>
      <c r="AK43" s="52">
        <f>(276.5*L15)</f>
        <v>0</v>
      </c>
      <c r="AL43" s="52">
        <f ca="1">AK43-(AK43*0.00759)-((AK43-AM43)*0.14)-((AK43-AM43)*0.01)-((AK43-(AK43-AM43)*0.14-(AK43-AM43)*0.01)-AN43)*AT73</f>
        <v>0</v>
      </c>
      <c r="AM43" s="52">
        <f>IF(AK43&lt;=$AG$4*2,AK43,$AG$4*2)</f>
        <v>0</v>
      </c>
      <c r="AN43" s="52">
        <f>IF(AK43&lt;=$AG$7*2,AK43,$AG$7*2)</f>
        <v>0</v>
      </c>
      <c r="AO43" s="72">
        <f>COUNTIF(M15,"Yok")*(0)
+COUNTIF(M15,"Askerlik Yardımı")*($AG$40)
+COUNTIF(M15,"Bayram Yardımı (Kurban)")*($AG$41)
+COUNTIF(M15,"Bayram Yardımı (Ramazan)")*($AG$42)
+COUNTIF(M15,"Cenaze Yardımı (Anne-Baba)")*($AG$43)
+COUNTIF(M15,"Cenaze Yardımı (Eş-Çocuk)")*($AG$44)
+COUNTIF(M15,"Cenaze Yardımı (İşçi-İş Kazası Sonucu)")*($AG$45)
+COUNTIF(M15,"Cenaze Yardımı (İşçi-Tabii Sebepler Sonucu)")*($AG$46)
+COUNTIF(M15,"Doğal Afet Yardımı")*($AG$47)
+COUNTIF(M15,"Eğitim Yardımı (Çocuk-İlköğretim)")*($AG$48)
+COUNTIF(M15,"Eğitim Yardımı (Çocuk-Ortaöğretim)")*($AG$49)
+COUNTIF(M15,"Eğitim Yardımı (Çocuk-Lise)")*($AG$50)
+COUNTIF(M15,"Eğitim Yardımı (Çocuk-Yükseköğretim)")*($AG$51)
+COUNTIF(M15,"Eğitim Yardımı (İşçi-Lise)")*($AG$52)
+COUNTIF(M15,"Eğitim Yardımı (İşçi-Yükseköğretim)")*($AG$53)
+COUNTIF(M15,"Evlilik Yardımı")*($AG$54)
+COUNTIF(N15,"Yok")*(0)
+COUNTIF(N15,"Askerlik Yardımı")*($AG$40)
+COUNTIF(N15,"Bayram Yardımı (Kurban)")*($AG$41)
+COUNTIF(N15,"Bayram Yardımı (Ramazan)")*($AG$42)
+COUNTIF(N15,"Cenaze Yardımı (Anne-Baba)")*($AG$43)
+COUNTIF(N15,"Cenaze Yardımı (Eş-Çocuk)")*($AG$44)
+COUNTIF(N15,"Cenaze Yardımı (İşçi-İş Kazası Sonucu)")*($AG$45)
+COUNTIF(N15,"Cenaze Yardımı (İşçi-Tabii Sebepler Sonucu)")*($AG$46)
+COUNTIF(N15,"Doğal Afet Yardımı")*($AG$47)
+COUNTIF(N15,"Eğitim Yardımı (Çocuk-İlköğretim)")*($AG$48)
+COUNTIF(N15,"Eğitim Yardımı (Çocuk-Ortaöğretim)")*($AG$49)
+COUNTIF(N15,"Eğitim Yardımı (Çocuk-Lise)")*($AG$50)
+COUNTIF(N15,"Eğitim Yardımı (Çocuk-Yükseköğretim)")*($AG$51)
+COUNTIF(N15,"Eğitim Yardımı (İşçi-Lise)")*($AG$52)
+COUNTIF(N15,"Eğitim Yardımı (İşçi-Yükseköğretim)")*($AG$53)
+COUNTIF(N15,"Evlilik Yardımı")*($AG$54)
+COUNTIF(O15,"Yok")*(0)
+COUNTIF(O15,"Askerlik Yardımı")*($AG$40)
+COUNTIF(O15,"Bayram Yardımı (Kurban)")*($AG$41)
+COUNTIF(O15,"Bayram Yardımı (Ramazan)")*($AG$42)
+COUNTIF(O15,"Cenaze Yardımı (Anne-Baba)")*($AG$43)
+COUNTIF(O15,"Cenaze Yardımı (Eş-Çocuk)")*($AG$44)
+COUNTIF(O15,"Cenaze Yardımı (İşçi-İş Kazası Sonucu)")*($AG$45)
+COUNTIF(O15,"Cenaze Yardımı (İşçi-Tabii Sebepler Sonucu)")*($AG$46)
+COUNTIF(O15,"Doğal Afet Yardımı")*($AG$47)
+COUNTIF(O15,"Eğitim Yardımı (Çocuk-İlköğretim)")*($AG$48)
+COUNTIF(O15,"Eğitim Yardımı (Çocuk-Ortaöğretim)")*($AG$49)
+COUNTIF(O15,"Eğitim Yardımı (Çocuk-Lise)")*($AG$50)
+COUNTIF(O15,"Eğitim Yardımı (Çocuk-Yükseköğretim)")*($AG$51)
+COUNTIF(O15,"Eğitim Yardımı (İşçi-Lise)")*($AG$52)
+COUNTIF(O15,"Eğitim Yardımı (İşçi-Yükseköğretim)")*($AG$53)
+COUNTIF(O15,"Evlilik Yardımı")*($AG$54)</f>
        <v>0</v>
      </c>
      <c r="AP43" s="72">
        <f>COUNTIF(M15,"Yok")*(0)
+COUNTIF(M15,"Askerlik Yardımı")*(0)
+COUNTIF(M15,"Bayram Yardımı (Kurban)")*(0)
+COUNTIF(M15,"Bayram Yardımı (Ramazan)")*(0)
+COUNTIF(M15,"Cenaze Yardımı (Anne-Baba)")*($AG$43)
+COUNTIF(M15,"Cenaze Yardımı (Eş-Çocuk)")*($AG$44)
+COUNTIF(M15,"Cenaze Yardımı (İşçi-İş Kazası Sonucu)")*($AG$45)
+COUNTIF(M15,"Cenaze Yardımı (İşçi-Tabii Sebepler Sonucu)")*($AG$46)
+COUNTIF(M15,"Doğal Afet Yardımı")*($AG$47)
+COUNTIF(M15,"Eğitim Yardımı (Çocuk-İlköğretim)")*(0)
+COUNTIF(M15,"Eğitim Yardımı (Çocuk-Ortaöğretim)")*(0)
+COUNTIF(M15,"Eğitim Yardımı (Çocuk-Lise)")*(0)
+COUNTIF(M15,"Eğitim Yardımı (Çocuk-Yükseköğretim)")*(0)
+COUNTIF(M15,"Eğitim Yardımı (İşçi-Lise)")*(0)
+COUNTIF(M15,"Eğitim Yardımı (İşçi-Yükseköğretim)")*(0)
+COUNTIF(M15,"Evlilik Yardımı")*($AG$54)
+COUNTIF(N15,"Yok")*(0)
+COUNTIF(N15,"Askerlik Yardımı")*(0)
+COUNTIF(N15,"Bayram Yardımı (Kurban)")*(0)
+COUNTIF(N15,"Bayram Yardımı (Ramazan)")*(0)
+COUNTIF(N15,"Cenaze Yardımı (Anne-Baba)")*($AG$43)
+COUNTIF(N15,"Cenaze Yardımı (Eş-Çocuk)")*($AG$44)
+COUNTIF(N15,"Cenaze Yardımı (İşçi-İş Kazası Sonucu)")*($AG$45)
+COUNTIF(N15,"Cenaze Yardımı (İşçi-Tabii Sebepler Sonucu)")*($AG$46)
+COUNTIF(N15,"Doğal Afet Yardımı")*($AG$47)
+COUNTIF(N15,"Eğitim Yardımı (Çocuk-İlköğretim)")*(0)
+COUNTIF(N15,"Eğitim Yardımı (Çocuk-Ortaöğretim)")*(0)
+COUNTIF(N15,"Eğitim Yardımı (Çocuk-Lise)")*(0)
+COUNTIF(N15,"Eğitim Yardımı (Çocuk-Yükseköğretim)")*(0)
+COUNTIF(N15,"Eğitim Yardımı (İşçi-Lise)")*(0)
+COUNTIF(N15,"Eğitim Yardımı (İşçi-Yükseköğretim)")*(0)
+COUNTIF(N15,"Evlilik Yardımı")*($AG$54)
+COUNTIF(O15,"Yok")*(0)
+COUNTIF(O15,"Askerlik Yardımı")*(0)
+COUNTIF(O15,"Bayram Yardımı (Kurban)")*(0)
+COUNTIF(O15,"Bayram Yardımı (Ramazan)")*(0)
+COUNTIF(O15,"Cenaze Yardımı (Anne-Baba)")*($AG$43)
+COUNTIF(O15,"Cenaze Yardımı (Eş-Çocuk)")*($AG$44)
+COUNTIF(O15,"Cenaze Yardımı (İşçi-İş Kazası Sonucu)")*($AG$45)
+COUNTIF(O15,"Cenaze Yardımı (İşçi-Tabii Sebepler Sonucu)")*($AG$46)
+COUNTIF(O15,"Doğal Afet Yardımı")*($AG$47)
+COUNTIF(O15,"Eğitim Yardımı (Çocuk-İlköğretim)")*(0)
+COUNTIF(O15,"Eğitim Yardımı (Çocuk-Ortaöğretim)")*(0)
+COUNTIF(O15,"Eğitim Yardımı (Çocuk-Lise)")*(0)
+COUNTIF(O15,"Eğitim Yardımı (Çocuk-Yükseköğretim)")*(0)
+COUNTIF(O15,"Eğitim Yardımı (İşçi-Lise)")*(0)
+COUNTIF(O15,"Eğitim Yardımı (İşçi-Yükseköğretim)")*(0)
+COUNTIF(O15,"Evlilik Yardımı")*($AG$54)</f>
        <v>0</v>
      </c>
      <c r="AQ43" s="72">
        <f ca="1">COUNTIF(M15,"Yok")*(0)
+COUNTIF(M15,"Askerlik Yardımı")*($AG$40*AY73)
+COUNTIF(M15,"Bayram Yardımı (Kurban)")*($AG$41*AY73)
+COUNTIF(M15,"Bayram Yardımı (Ramazan)")*($AG$42*AY73)
+COUNTIF(M15,"Cenaze Yardımı (Anne-Baba)")*($AG$43-$AG$43*0.00759)
+COUNTIF(M15,"Cenaze Yardımı (Eş-Çocuk)")*($AG$44-$AG$44*0.00759)
+COUNTIF(M15,"Cenaze Yardımı (İşçi-İş Kazası Sonucu)")*($AG$45-$AG$45*0.00759)
+COUNTIF(M15,"Cenaze Yardımı (İşçi-Tabii Sebepler Sonucu)")*($AG$46-$AG$46*0.00759)
+COUNTIF(M15,"Doğal Afet Yardımı")*($AG$47-$AG$47*0.00759)
+COUNTIF(M15,"Eğitim Yardımı (Çocuk-İlköğretim)")*($AG$48*AY73)
+COUNTIF(M15,"Eğitim Yardımı (Çocuk-Ortaöğretim)")*($AG$49*AY73)
+COUNTIF(M15,"Eğitim Yardımı (Çocuk-Lise)")*($AG$50*AY73)
+COUNTIF(M15,"Eğitim Yardımı (Çocuk-Yükseköğretim)")*($AG$51*AY73)
+COUNTIF(M15,"Eğitim Yardımı (İşçi-Lise)")*($AG$52*AY73)
+COUNTIF(M15,"Eğitim Yardımı (İşçi-Yükseköğretim)")*($AG$53*AY73)
+COUNTIF(M15,"Evlilik Yardımı")*($AG$54-$AG$54*0.00759)
+COUNTIF(N15,"Yok")*(0)
+COUNTIF(N15,"Askerlik Yardımı")*($AG$40*AY73)
+COUNTIF(N15,"Bayram Yardımı (Kurban)")*($AG$41*AY73)
+COUNTIF(N15,"Bayram Yardımı (Ramazan)")*($AG$42*AY73)
+COUNTIF(N15,"Cenaze Yardımı (Anne-Baba)")*($AG$43-$AG$43*0.00759)
+COUNTIF(N15,"Cenaze Yardımı (Eş-Çocuk)")*($AG$44-$AG$44*0.00759)
+COUNTIF(N15,"Cenaze Yardımı (İşçi-İş Kazası Sonucu)")*($AG$45-$AG$45*0.00759)
+COUNTIF(N15,"Cenaze Yardımı (İşçi-Tabii Sebepler Sonucu)")*($AG$46-$AG$46*0.00759)
+COUNTIF(N15,"Doğal Afet Yardımı")*($AG$47-$AG$47*0.00759)
+COUNTIF(N15,"Eğitim Yardımı (Çocuk-İlköğretim)")*($AG$48*AY73)
+COUNTIF(N15,"Eğitim Yardımı (Çocuk-Ortaöğretim)")*($AG$49*AY73)
+COUNTIF(N15,"Eğitim Yardımı (Çocuk-Lise)")*($AG$50*AY73)
+COUNTIF(N15,"Eğitim Yardımı (Çocuk-Yükseköğretim)")*($AG$51*AY73)
+COUNTIF(N15,"Eğitim Yardımı (İşçi-Lise)")*($AG$52*AY73)
+COUNTIF(N15,"Eğitim Yardımı (İşçi-Yükseköğretim)")*($AG$53*AY73)
+COUNTIF(N15,"Evlilik Yardımı")*($AG$54-$AG$54*0.00759)
+COUNTIF(O15,"Yok")*(0)
+COUNTIF(O15,"Askerlik Yardımı")*($AG$40*AY73)
+COUNTIF(O15,"Bayram Yardımı (Kurban)")*($AG$41*AY73)
+COUNTIF(O15,"Bayram Yardımı (Ramazan)")*($AG$42*AY73)
+COUNTIF(O15,"Cenaze Yardımı (Anne-Baba)")*($AG$43-$AG$43*0.00759)
+COUNTIF(O15,"Cenaze Yardımı (Eş-Çocuk)")*($AG$44-$AG$44*0.00759)
+COUNTIF(O15,"Cenaze Yardımı (İşçi-İş Kazası Sonucu)")*($AG$45-$AG$45*0.00759)
+COUNTIF(O15,"Cenaze Yardımı (İşçi-Tabii Sebepler Sonucu)")*($AG$46-$AG$46*0.00759)
+COUNTIF(O15,"Doğal Afet Yardımı")*($AG$47-$AG$47*0.00759)
+COUNTIF(O15,"Eğitim Yardımı (Çocuk-İlköğretim)")*($AG$48*AY73)
+COUNTIF(O15,"Eğitim Yardımı (Çocuk-Ortaöğretim)")*($AG$49*AY73)
+COUNTIF(O15,"Eğitim Yardımı (Çocuk-Lise)")*($AG$50*AY73)
+COUNTIF(O15,"Eğitim Yardımı (Çocuk-Yükseköğretim)")*($AG$51*AY73)
+COUNTIF(O15,"Eğitim Yardımı (İşçi-Lise)")*($AG$52*AY73)
+COUNTIF(O15,"Eğitim Yardımı (İşçi-Yükseköğretim)")*($AG$53*AY73)
+COUNTIF(O15,"Evlilik Yardımı")*($AG$54-$AG$54*0.00759)</f>
        <v>0</v>
      </c>
      <c r="AR43" s="73" t="s">
        <v>7</v>
      </c>
      <c r="AS43" s="52">
        <f>COUNTIF(AR43,"Var")*(AN15*-1)</f>
        <v>-2115.17</v>
      </c>
      <c r="AT43" s="52">
        <f>(AS43*-1)</f>
        <v>2115.17</v>
      </c>
      <c r="AU43" s="72">
        <f ca="1">(AK73*P15+AV43)*-1</f>
        <v>0</v>
      </c>
      <c r="AV43" s="72">
        <f>(AW15+AY15+AI1+AK1+AM1-AT1)*(P15*-1)</f>
        <v>0</v>
      </c>
      <c r="AW43" s="72">
        <f ca="1">(AU43+AV43)</f>
        <v>0</v>
      </c>
      <c r="AX43" s="52">
        <f>(49.52*J15)</f>
        <v>1287.52</v>
      </c>
      <c r="BE43" s="51">
        <v>41</v>
      </c>
      <c r="BF43" s="54">
        <v>20.5</v>
      </c>
      <c r="BG43" s="55">
        <v>0.43</v>
      </c>
    </row>
    <row r="44" spans="28:59" ht="39.950000000000003" hidden="1" customHeight="1" x14ac:dyDescent="0.25">
      <c r="AE44" s="70" t="s">
        <v>53</v>
      </c>
      <c r="AF44" s="72">
        <v>3099.41</v>
      </c>
      <c r="AG44" s="72">
        <v>3099.41</v>
      </c>
      <c r="AH44" s="52">
        <f ca="1">(AX44*AY74)</f>
        <v>920.46092320000002</v>
      </c>
      <c r="AI44" s="52">
        <f>(29.3*K16)</f>
        <v>0</v>
      </c>
      <c r="AJ44" s="52">
        <f ca="1">(AI44*AY74)</f>
        <v>0</v>
      </c>
      <c r="AK44" s="52">
        <f>(276.5*L16)</f>
        <v>0</v>
      </c>
      <c r="AL44" s="52">
        <f ca="1">AK44-(AK44*0.00759)-((AK44-AM44)*0.14)-((AK44-AM44)*0.01)-((AK44-(AK44-AM44)*0.14-(AK44-AM44)*0.01)-AN44)*AT74</f>
        <v>0</v>
      </c>
      <c r="AM44" s="52">
        <f>IF(AK44&lt;=$AG$4*2,AK44,$AG$4*2)</f>
        <v>0</v>
      </c>
      <c r="AN44" s="52">
        <f>IF(AK44&lt;=$AG$7*2,AK44,$AG$7*2)</f>
        <v>0</v>
      </c>
      <c r="AO44" s="72">
        <f>COUNTIF(M16,"Yok")*(0)
+COUNTIF(M16,"Askerlik Yardımı")*($AG$40)
+COUNTIF(M16,"Bayram Yardımı (Kurban)")*($AG$41)
+COUNTIF(M16,"Bayram Yardımı (Ramazan)")*($AG$42)
+COUNTIF(M16,"Cenaze Yardımı (Anne-Baba)")*($AG$43)
+COUNTIF(M16,"Cenaze Yardımı (Eş-Çocuk)")*($AG$44)
+COUNTIF(M16,"Cenaze Yardımı (İşçi-İş Kazası Sonucu)")*($AG$45)
+COUNTIF(M16,"Cenaze Yardımı (İşçi-Tabii Sebepler Sonucu)")*($AG$46)
+COUNTIF(M16,"Doğal Afet Yardımı")*($AG$47)
+COUNTIF(M16,"Eğitim Yardımı (Çocuk-İlköğretim)")*($AG$48)
+COUNTIF(M16,"Eğitim Yardımı (Çocuk-Ortaöğretim)")*($AG$49)
+COUNTIF(M16,"Eğitim Yardımı (Çocuk-Lise)")*($AG$50)
+COUNTIF(M16,"Eğitim Yardımı (Çocuk-Yükseköğretim)")*($AG$51)
+COUNTIF(M16,"Eğitim Yardımı (İşçi-Lise)")*($AG$52)
+COUNTIF(M16,"Eğitim Yardımı (İşçi-Yükseköğretim)")*($AG$53)
+COUNTIF(M16,"Evlilik Yardımı")*($AG$54)
+COUNTIF(N16,"Yok")*(0)
+COUNTIF(N16,"Askerlik Yardımı")*($AG$40)
+COUNTIF(N16,"Bayram Yardımı (Kurban)")*($AG$41)
+COUNTIF(N16,"Bayram Yardımı (Ramazan)")*($AG$42)
+COUNTIF(N16,"Cenaze Yardımı (Anne-Baba)")*($AG$43)
+COUNTIF(N16,"Cenaze Yardımı (Eş-Çocuk)")*($AG$44)
+COUNTIF(N16,"Cenaze Yardımı (İşçi-İş Kazası Sonucu)")*($AG$45)
+COUNTIF(N16,"Cenaze Yardımı (İşçi-Tabii Sebepler Sonucu)")*($AG$46)
+COUNTIF(N16,"Doğal Afet Yardımı")*($AG$47)
+COUNTIF(N16,"Eğitim Yardımı (Çocuk-İlköğretim)")*($AG$48)
+COUNTIF(N16,"Eğitim Yardımı (Çocuk-Ortaöğretim)")*($AG$49)
+COUNTIF(N16,"Eğitim Yardımı (Çocuk-Lise)")*($AG$50)
+COUNTIF(N16,"Eğitim Yardımı (Çocuk-Yükseköğretim)")*($AG$51)
+COUNTIF(N16,"Eğitim Yardımı (İşçi-Lise)")*($AG$52)
+COUNTIF(N16,"Eğitim Yardımı (İşçi-Yükseköğretim)")*($AG$53)
+COUNTIF(N16,"Evlilik Yardımı")*($AG$54)
+COUNTIF(O16,"Yok")*(0)
+COUNTIF(O16,"Askerlik Yardımı")*($AG$40)
+COUNTIF(O16,"Bayram Yardımı (Kurban)")*($AG$41)
+COUNTIF(O16,"Bayram Yardımı (Ramazan)")*($AG$42)
+COUNTIF(O16,"Cenaze Yardımı (Anne-Baba)")*($AG$43)
+COUNTIF(O16,"Cenaze Yardımı (Eş-Çocuk)")*($AG$44)
+COUNTIF(O16,"Cenaze Yardımı (İşçi-İş Kazası Sonucu)")*($AG$45)
+COUNTIF(O16,"Cenaze Yardımı (İşçi-Tabii Sebepler Sonucu)")*($AG$46)
+COUNTIF(O16,"Doğal Afet Yardımı")*($AG$47)
+COUNTIF(O16,"Eğitim Yardımı (Çocuk-İlköğretim)")*($AG$48)
+COUNTIF(O16,"Eğitim Yardımı (Çocuk-Ortaöğretim)")*($AG$49)
+COUNTIF(O16,"Eğitim Yardımı (Çocuk-Lise)")*($AG$50)
+COUNTIF(O16,"Eğitim Yardımı (Çocuk-Yükseköğretim)")*($AG$51)
+COUNTIF(O16,"Eğitim Yardımı (İşçi-Lise)")*($AG$52)
+COUNTIF(O16,"Eğitim Yardımı (İşçi-Yükseköğretim)")*($AG$53)
+COUNTIF(O16,"Evlilik Yardımı")*($AG$54)</f>
        <v>0</v>
      </c>
      <c r="AP44" s="72">
        <f>COUNTIF(M16,"Yok")*(0)
+COUNTIF(M16,"Askerlik Yardımı")*(0)
+COUNTIF(M16,"Bayram Yardımı (Kurban)")*(0)
+COUNTIF(M16,"Bayram Yardımı (Ramazan)")*(0)
+COUNTIF(M16,"Cenaze Yardımı (Anne-Baba)")*($AG$43)
+COUNTIF(M16,"Cenaze Yardımı (Eş-Çocuk)")*($AG$44)
+COUNTIF(M16,"Cenaze Yardımı (İşçi-İş Kazası Sonucu)")*($AG$45)
+COUNTIF(M16,"Cenaze Yardımı (İşçi-Tabii Sebepler Sonucu)")*($AG$46)
+COUNTIF(M16,"Doğal Afet Yardımı")*($AG$47)
+COUNTIF(M16,"Eğitim Yardımı (Çocuk-İlköğretim)")*(0)
+COUNTIF(M16,"Eğitim Yardımı (Çocuk-Ortaöğretim)")*(0)
+COUNTIF(M16,"Eğitim Yardımı (Çocuk-Lise)")*(0)
+COUNTIF(M16,"Eğitim Yardımı (Çocuk-Yükseköğretim)")*(0)
+COUNTIF(M16,"Eğitim Yardımı (İşçi-Lise)")*(0)
+COUNTIF(M16,"Eğitim Yardımı (İşçi-Yükseköğretim)")*(0)
+COUNTIF(M16,"Evlilik Yardımı")*($AG$54)
+COUNTIF(N16,"Yok")*(0)
+COUNTIF(N16,"Askerlik Yardımı")*(0)
+COUNTIF(N16,"Bayram Yardımı (Kurban)")*(0)
+COUNTIF(N16,"Bayram Yardımı (Ramazan)")*(0)
+COUNTIF(N16,"Cenaze Yardımı (Anne-Baba)")*($AG$43)
+COUNTIF(N16,"Cenaze Yardımı (Eş-Çocuk)")*($AG$44)
+COUNTIF(N16,"Cenaze Yardımı (İşçi-İş Kazası Sonucu)")*($AG$45)
+COUNTIF(N16,"Cenaze Yardımı (İşçi-Tabii Sebepler Sonucu)")*($AG$46)
+COUNTIF(N16,"Doğal Afet Yardımı")*($AG$47)
+COUNTIF(N16,"Eğitim Yardımı (Çocuk-İlköğretim)")*(0)
+COUNTIF(N16,"Eğitim Yardımı (Çocuk-Ortaöğretim)")*(0)
+COUNTIF(N16,"Eğitim Yardımı (Çocuk-Lise)")*(0)
+COUNTIF(N16,"Eğitim Yardımı (Çocuk-Yükseköğretim)")*(0)
+COUNTIF(N16,"Eğitim Yardımı (İşçi-Lise)")*(0)
+COUNTIF(N16,"Eğitim Yardımı (İşçi-Yükseköğretim)")*(0)
+COUNTIF(N16,"Evlilik Yardımı")*($AG$54)
+COUNTIF(O16,"Yok")*(0)
+COUNTIF(O16,"Askerlik Yardımı")*(0)
+COUNTIF(O16,"Bayram Yardımı (Kurban)")*(0)
+COUNTIF(O16,"Bayram Yardımı (Ramazan)")*(0)
+COUNTIF(O16,"Cenaze Yardımı (Anne-Baba)")*($AG$43)
+COUNTIF(O16,"Cenaze Yardımı (Eş-Çocuk)")*($AG$44)
+COUNTIF(O16,"Cenaze Yardımı (İşçi-İş Kazası Sonucu)")*($AG$45)
+COUNTIF(O16,"Cenaze Yardımı (İşçi-Tabii Sebepler Sonucu)")*($AG$46)
+COUNTIF(O16,"Doğal Afet Yardımı")*($AG$47)
+COUNTIF(O16,"Eğitim Yardımı (Çocuk-İlköğretim)")*(0)
+COUNTIF(O16,"Eğitim Yardımı (Çocuk-Ortaöğretim)")*(0)
+COUNTIF(O16,"Eğitim Yardımı (Çocuk-Lise)")*(0)
+COUNTIF(O16,"Eğitim Yardımı (Çocuk-Yükseköğretim)")*(0)
+COUNTIF(O16,"Eğitim Yardımı (İşçi-Lise)")*(0)
+COUNTIF(O16,"Eğitim Yardımı (İşçi-Yükseköğretim)")*(0)
+COUNTIF(O16,"Evlilik Yardımı")*($AG$54)</f>
        <v>0</v>
      </c>
      <c r="AQ44" s="72">
        <f ca="1">COUNTIF(M16,"Yok")*(0)
+COUNTIF(M16,"Askerlik Yardımı")*($AG$40*AY74)
+COUNTIF(M16,"Bayram Yardımı (Kurban)")*($AG$41*AY74)
+COUNTIF(M16,"Bayram Yardımı (Ramazan)")*($AG$42*AY74)
+COUNTIF(M16,"Cenaze Yardımı (Anne-Baba)")*($AG$43-$AG$43*0.00759)
+COUNTIF(M16,"Cenaze Yardımı (Eş-Çocuk)")*($AG$44-$AG$44*0.00759)
+COUNTIF(M16,"Cenaze Yardımı (İşçi-İş Kazası Sonucu)")*($AG$45-$AG$45*0.00759)
+COUNTIF(M16,"Cenaze Yardımı (İşçi-Tabii Sebepler Sonucu)")*($AG$46-$AG$46*0.00759)
+COUNTIF(M16,"Doğal Afet Yardımı")*($AG$47-$AG$47*0.00759)
+COUNTIF(M16,"Eğitim Yardımı (Çocuk-İlköğretim)")*($AG$48*AY74)
+COUNTIF(M16,"Eğitim Yardımı (Çocuk-Ortaöğretim)")*($AG$49*AY74)
+COUNTIF(M16,"Eğitim Yardımı (Çocuk-Lise)")*($AG$50*AY74)
+COUNTIF(M16,"Eğitim Yardımı (Çocuk-Yükseköğretim)")*($AG$51*AY74)
+COUNTIF(M16,"Eğitim Yardımı (İşçi-Lise)")*($AG$52*AY74)
+COUNTIF(M16,"Eğitim Yardımı (İşçi-Yükseköğretim)")*($AG$53*AY74)
+COUNTIF(M16,"Evlilik Yardımı")*($AG$54-$AG$54*0.00759)
+COUNTIF(N16,"Yok")*(0)
+COUNTIF(N16,"Askerlik Yardımı")*($AG$40*AY74)
+COUNTIF(N16,"Bayram Yardımı (Kurban)")*($AG$41*AY74)
+COUNTIF(N16,"Bayram Yardımı (Ramazan)")*($AG$42*AY74)
+COUNTIF(N16,"Cenaze Yardımı (Anne-Baba)")*($AG$43-$AG$43*0.00759)
+COUNTIF(N16,"Cenaze Yardımı (Eş-Çocuk)")*($AG$44-$AG$44*0.00759)
+COUNTIF(N16,"Cenaze Yardımı (İşçi-İş Kazası Sonucu)")*($AG$45-$AG$45*0.00759)
+COUNTIF(N16,"Cenaze Yardımı (İşçi-Tabii Sebepler Sonucu)")*($AG$46-$AG$46*0.00759)
+COUNTIF(N16,"Doğal Afet Yardımı")*($AG$47-$AG$47*0.00759)
+COUNTIF(N16,"Eğitim Yardımı (Çocuk-İlköğretim)")*($AG$48*AY74)
+COUNTIF(N16,"Eğitim Yardımı (Çocuk-Ortaöğretim)")*($AG$49*AY74)
+COUNTIF(N16,"Eğitim Yardımı (Çocuk-Lise)")*($AG$50*AY74)
+COUNTIF(N16,"Eğitim Yardımı (Çocuk-Yükseköğretim)")*($AG$51*AY74)
+COUNTIF(N16,"Eğitim Yardımı (İşçi-Lise)")*($AG$52*AY74)
+COUNTIF(N16,"Eğitim Yardımı (İşçi-Yükseköğretim)")*($AG$53*AY74)
+COUNTIF(N16,"Evlilik Yardımı")*($AG$54-$AG$54*0.00759)
+COUNTIF(O16,"Yok")*(0)
+COUNTIF(O16,"Askerlik Yardımı")*($AG$40*AY74)
+COUNTIF(O16,"Bayram Yardımı (Kurban)")*($AG$41*AY74)
+COUNTIF(O16,"Bayram Yardımı (Ramazan)")*($AG$42*AY74)
+COUNTIF(O16,"Cenaze Yardımı (Anne-Baba)")*($AG$43-$AG$43*0.00759)
+COUNTIF(O16,"Cenaze Yardımı (Eş-Çocuk)")*($AG$44-$AG$44*0.00759)
+COUNTIF(O16,"Cenaze Yardımı (İşçi-İş Kazası Sonucu)")*($AG$45-$AG$45*0.00759)
+COUNTIF(O16,"Cenaze Yardımı (İşçi-Tabii Sebepler Sonucu)")*($AG$46-$AG$46*0.00759)
+COUNTIF(O16,"Doğal Afet Yardımı")*($AG$47-$AG$47*0.00759)
+COUNTIF(O16,"Eğitim Yardımı (Çocuk-İlköğretim)")*($AG$48*AY74)
+COUNTIF(O16,"Eğitim Yardımı (Çocuk-Ortaöğretim)")*($AG$49*AY74)
+COUNTIF(O16,"Eğitim Yardımı (Çocuk-Lise)")*($AG$50*AY74)
+COUNTIF(O16,"Eğitim Yardımı (Çocuk-Yükseköğretim)")*($AG$51*AY74)
+COUNTIF(O16,"Eğitim Yardımı (İşçi-Lise)")*($AG$52*AY74)
+COUNTIF(O16,"Eğitim Yardımı (İşçi-Yükseköğretim)")*($AG$53*AY74)
+COUNTIF(O16,"Evlilik Yardımı")*($AG$54-$AG$54*0.00759)</f>
        <v>0</v>
      </c>
      <c r="AR44" s="73" t="s">
        <v>7</v>
      </c>
      <c r="AS44" s="52">
        <f>COUNTIF(AR44,"Var")*(AN16*-1)</f>
        <v>-2115.17</v>
      </c>
      <c r="AT44" s="52">
        <f t="shared" ref="AT44:AT54" si="57">(AS44*-1)</f>
        <v>2115.17</v>
      </c>
      <c r="AU44" s="72">
        <f ca="1">(AK74*P16+AV44)*-1</f>
        <v>0</v>
      </c>
      <c r="AV44" s="72">
        <f>(AW16+AY16+AI2+AK2+AM2-AT2)*(P16*-1)</f>
        <v>0</v>
      </c>
      <c r="AW44" s="72">
        <f t="shared" ref="AW44:AW54" ca="1" si="58">(AU44+AV44)</f>
        <v>0</v>
      </c>
      <c r="AX44" s="52">
        <f>(49.52*J16)</f>
        <v>1287.52</v>
      </c>
      <c r="BE44" s="51">
        <v>42</v>
      </c>
      <c r="BF44" s="54">
        <v>21</v>
      </c>
      <c r="BG44" s="55">
        <v>0.44</v>
      </c>
    </row>
    <row r="45" spans="28:59" ht="39.950000000000003" hidden="1" customHeight="1" x14ac:dyDescent="0.25">
      <c r="AE45" s="70" t="s">
        <v>54</v>
      </c>
      <c r="AF45" s="72">
        <v>0</v>
      </c>
      <c r="AG45" s="72">
        <v>0</v>
      </c>
      <c r="AH45" s="52">
        <f ca="1">(AX45*AY75)</f>
        <v>911.95658913537977</v>
      </c>
      <c r="AI45" s="52">
        <f>(29.3*K17)</f>
        <v>0</v>
      </c>
      <c r="AJ45" s="52">
        <f ca="1">(AI45*AY75)</f>
        <v>0</v>
      </c>
      <c r="AK45" s="52">
        <f>(276.5*L17)</f>
        <v>0</v>
      </c>
      <c r="AL45" s="52">
        <f ca="1">AK45-(AK45*0.00759)-((AK45-AM45)*0.14)-((AK45-AM45)*0.01)-((AK45-(AK45-AM45)*0.14-(AK45-AM45)*0.01)-AN45)*AT75</f>
        <v>0</v>
      </c>
      <c r="AM45" s="52">
        <f>IF(AK45&lt;=$AG$4*2,AK45,$AG$4*2)</f>
        <v>0</v>
      </c>
      <c r="AN45" s="52">
        <f>IF(AK45&lt;=$AG$7*2,AK45,$AG$7*2)</f>
        <v>0</v>
      </c>
      <c r="AO45" s="72">
        <f>COUNTIF(M17,"Yok")*(0)
+COUNTIF(M17,"Askerlik Yardımı")*($AG$40)
+COUNTIF(M17,"Bayram Yardımı (Kurban)")*($AG$41)
+COUNTIF(M17,"Bayram Yardımı (Ramazan)")*($AG$42)
+COUNTIF(M17,"Cenaze Yardımı (Anne-Baba)")*($AG$43)
+COUNTIF(M17,"Cenaze Yardımı (Eş-Çocuk)")*($AG$44)
+COUNTIF(M17,"Cenaze Yardımı (İşçi-İş Kazası Sonucu)")*($AG$45)
+COUNTIF(M17,"Cenaze Yardımı (İşçi-Tabii Sebepler Sonucu)")*($AG$46)
+COUNTIF(M17,"Doğal Afet Yardımı")*($AG$47)
+COUNTIF(M17,"Eğitim Yardımı (Çocuk-İlköğretim)")*($AG$48)
+COUNTIF(M17,"Eğitim Yardımı (Çocuk-Ortaöğretim)")*($AG$49)
+COUNTIF(M17,"Eğitim Yardımı (Çocuk-Lise)")*($AG$50)
+COUNTIF(M17,"Eğitim Yardımı (Çocuk-Yükseköğretim)")*($AG$51)
+COUNTIF(M17,"Eğitim Yardımı (İşçi-Lise)")*($AG$52)
+COUNTIF(M17,"Eğitim Yardımı (İşçi-Yükseköğretim)")*($AG$53)
+COUNTIF(M17,"Evlilik Yardımı")*($AG$54)
+COUNTIF(N17,"Yok")*(0)
+COUNTIF(N17,"Askerlik Yardımı")*($AG$40)
+COUNTIF(N17,"Bayram Yardımı (Kurban)")*($AG$41)
+COUNTIF(N17,"Bayram Yardımı (Ramazan)")*($AG$42)
+COUNTIF(N17,"Cenaze Yardımı (Anne-Baba)")*($AG$43)
+COUNTIF(N17,"Cenaze Yardımı (Eş-Çocuk)")*($AG$44)
+COUNTIF(N17,"Cenaze Yardımı (İşçi-İş Kazası Sonucu)")*($AG$45)
+COUNTIF(N17,"Cenaze Yardımı (İşçi-Tabii Sebepler Sonucu)")*($AG$46)
+COUNTIF(N17,"Doğal Afet Yardımı")*($AG$47)
+COUNTIF(N17,"Eğitim Yardımı (Çocuk-İlköğretim)")*($AG$48)
+COUNTIF(N17,"Eğitim Yardımı (Çocuk-Ortaöğretim)")*($AG$49)
+COUNTIF(N17,"Eğitim Yardımı (Çocuk-Lise)")*($AG$50)
+COUNTIF(N17,"Eğitim Yardımı (Çocuk-Yükseköğretim)")*($AG$51)
+COUNTIF(N17,"Eğitim Yardımı (İşçi-Lise)")*($AG$52)
+COUNTIF(N17,"Eğitim Yardımı (İşçi-Yükseköğretim)")*($AG$53)
+COUNTIF(N17,"Evlilik Yardımı")*($AG$54)
+COUNTIF(O17,"Yok")*(0)
+COUNTIF(O17,"Askerlik Yardımı")*($AG$40)
+COUNTIF(O17,"Bayram Yardımı (Kurban)")*($AG$41)
+COUNTIF(O17,"Bayram Yardımı (Ramazan)")*($AG$42)
+COUNTIF(O17,"Cenaze Yardımı (Anne-Baba)")*($AG$43)
+COUNTIF(O17,"Cenaze Yardımı (Eş-Çocuk)")*($AG$44)
+COUNTIF(O17,"Cenaze Yardımı (İşçi-İş Kazası Sonucu)")*($AG$45)
+COUNTIF(O17,"Cenaze Yardımı (İşçi-Tabii Sebepler Sonucu)")*($AG$46)
+COUNTIF(O17,"Doğal Afet Yardımı")*($AG$47)
+COUNTIF(O17,"Eğitim Yardımı (Çocuk-İlköğretim)")*($AG$48)
+COUNTIF(O17,"Eğitim Yardımı (Çocuk-Ortaöğretim)")*($AG$49)
+COUNTIF(O17,"Eğitim Yardımı (Çocuk-Lise)")*($AG$50)
+COUNTIF(O17,"Eğitim Yardımı (Çocuk-Yükseköğretim)")*($AG$51)
+COUNTIF(O17,"Eğitim Yardımı (İşçi-Lise)")*($AG$52)
+COUNTIF(O17,"Eğitim Yardımı (İşçi-Yükseköğretim)")*($AG$53)
+COUNTIF(O17,"Evlilik Yardımı")*($AG$54)</f>
        <v>0</v>
      </c>
      <c r="AP45" s="72">
        <f>COUNTIF(M17,"Yok")*(0)
+COUNTIF(M17,"Askerlik Yardımı")*(0)
+COUNTIF(M17,"Bayram Yardımı (Kurban)")*(0)
+COUNTIF(M17,"Bayram Yardımı (Ramazan)")*(0)
+COUNTIF(M17,"Cenaze Yardımı (Anne-Baba)")*($AG$43)
+COUNTIF(M17,"Cenaze Yardımı (Eş-Çocuk)")*($AG$44)
+COUNTIF(M17,"Cenaze Yardımı (İşçi-İş Kazası Sonucu)")*($AG$45)
+COUNTIF(M17,"Cenaze Yardımı (İşçi-Tabii Sebepler Sonucu)")*($AG$46)
+COUNTIF(M17,"Doğal Afet Yardımı")*($AG$47)
+COUNTIF(M17,"Eğitim Yardımı (Çocuk-İlköğretim)")*(0)
+COUNTIF(M17,"Eğitim Yardımı (Çocuk-Ortaöğretim)")*(0)
+COUNTIF(M17,"Eğitim Yardımı (Çocuk-Lise)")*(0)
+COUNTIF(M17,"Eğitim Yardımı (Çocuk-Yükseköğretim)")*(0)
+COUNTIF(M17,"Eğitim Yardımı (İşçi-Lise)")*(0)
+COUNTIF(M17,"Eğitim Yardımı (İşçi-Yükseköğretim)")*(0)
+COUNTIF(M17,"Evlilik Yardımı")*($AG$54)
+COUNTIF(N17,"Yok")*(0)
+COUNTIF(N17,"Askerlik Yardımı")*(0)
+COUNTIF(N17,"Bayram Yardımı (Kurban)")*(0)
+COUNTIF(N17,"Bayram Yardımı (Ramazan)")*(0)
+COUNTIF(N17,"Cenaze Yardımı (Anne-Baba)")*($AG$43)
+COUNTIF(N17,"Cenaze Yardımı (Eş-Çocuk)")*($AG$44)
+COUNTIF(N17,"Cenaze Yardımı (İşçi-İş Kazası Sonucu)")*($AG$45)
+COUNTIF(N17,"Cenaze Yardımı (İşçi-Tabii Sebepler Sonucu)")*($AG$46)
+COUNTIF(N17,"Doğal Afet Yardımı")*($AG$47)
+COUNTIF(N17,"Eğitim Yardımı (Çocuk-İlköğretim)")*(0)
+COUNTIF(N17,"Eğitim Yardımı (Çocuk-Ortaöğretim)")*(0)
+COUNTIF(N17,"Eğitim Yardımı (Çocuk-Lise)")*(0)
+COUNTIF(N17,"Eğitim Yardımı (Çocuk-Yükseköğretim)")*(0)
+COUNTIF(N17,"Eğitim Yardımı (İşçi-Lise)")*(0)
+COUNTIF(N17,"Eğitim Yardımı (İşçi-Yükseköğretim)")*(0)
+COUNTIF(N17,"Evlilik Yardımı")*($AG$54)
+COUNTIF(O17,"Yok")*(0)
+COUNTIF(O17,"Askerlik Yardımı")*(0)
+COUNTIF(O17,"Bayram Yardımı (Kurban)")*(0)
+COUNTIF(O17,"Bayram Yardımı (Ramazan)")*(0)
+COUNTIF(O17,"Cenaze Yardımı (Anne-Baba)")*($AG$43)
+COUNTIF(O17,"Cenaze Yardımı (Eş-Çocuk)")*($AG$44)
+COUNTIF(O17,"Cenaze Yardımı (İşçi-İş Kazası Sonucu)")*($AG$45)
+COUNTIF(O17,"Cenaze Yardımı (İşçi-Tabii Sebepler Sonucu)")*($AG$46)
+COUNTIF(O17,"Doğal Afet Yardımı")*($AG$47)
+COUNTIF(O17,"Eğitim Yardımı (Çocuk-İlköğretim)")*(0)
+COUNTIF(O17,"Eğitim Yardımı (Çocuk-Ortaöğretim)")*(0)
+COUNTIF(O17,"Eğitim Yardımı (Çocuk-Lise)")*(0)
+COUNTIF(O17,"Eğitim Yardımı (Çocuk-Yükseköğretim)")*(0)
+COUNTIF(O17,"Eğitim Yardımı (İşçi-Lise)")*(0)
+COUNTIF(O17,"Eğitim Yardımı (İşçi-Yükseköğretim)")*(0)
+COUNTIF(O17,"Evlilik Yardımı")*($AG$54)</f>
        <v>0</v>
      </c>
      <c r="AQ45" s="72">
        <f ca="1">COUNTIF(M17,"Yok")*(0)
+COUNTIF(M17,"Askerlik Yardımı")*($AG$40*AY75)
+COUNTIF(M17,"Bayram Yardımı (Kurban)")*($AG$41*AY75)
+COUNTIF(M17,"Bayram Yardımı (Ramazan)")*($AG$42*AY75)
+COUNTIF(M17,"Cenaze Yardımı (Anne-Baba)")*($AG$43-$AG$43*0.00759)
+COUNTIF(M17,"Cenaze Yardımı (Eş-Çocuk)")*($AG$44-$AG$44*0.00759)
+COUNTIF(M17,"Cenaze Yardımı (İşçi-İş Kazası Sonucu)")*($AG$45-$AG$45*0.00759)
+COUNTIF(M17,"Cenaze Yardımı (İşçi-Tabii Sebepler Sonucu)")*($AG$46-$AG$46*0.00759)
+COUNTIF(M17,"Doğal Afet Yardımı")*($AG$47-$AG$47*0.00759)
+COUNTIF(M17,"Eğitim Yardımı (Çocuk-İlköğretim)")*($AG$48*AY75)
+COUNTIF(M17,"Eğitim Yardımı (Çocuk-Ortaöğretim)")*($AG$49*AY75)
+COUNTIF(M17,"Eğitim Yardımı (Çocuk-Lise)")*($AG$50*AY75)
+COUNTIF(M17,"Eğitim Yardımı (Çocuk-Yükseköğretim)")*($AG$51*AY75)
+COUNTIF(M17,"Eğitim Yardımı (İşçi-Lise)")*($AG$52*AY75)
+COUNTIF(M17,"Eğitim Yardımı (İşçi-Yükseköğretim)")*($AG$53*AY75)
+COUNTIF(M17,"Evlilik Yardımı")*($AG$54-$AG$54*0.00759)
+COUNTIF(N17,"Yok")*(0)
+COUNTIF(N17,"Askerlik Yardımı")*($AG$40*AY75)
+COUNTIF(N17,"Bayram Yardımı (Kurban)")*($AG$41*AY75)
+COUNTIF(N17,"Bayram Yardımı (Ramazan)")*($AG$42*AY75)
+COUNTIF(N17,"Cenaze Yardımı (Anne-Baba)")*($AG$43-$AG$43*0.00759)
+COUNTIF(N17,"Cenaze Yardımı (Eş-Çocuk)")*($AG$44-$AG$44*0.00759)
+COUNTIF(N17,"Cenaze Yardımı (İşçi-İş Kazası Sonucu)")*($AG$45-$AG$45*0.00759)
+COUNTIF(N17,"Cenaze Yardımı (İşçi-Tabii Sebepler Sonucu)")*($AG$46-$AG$46*0.00759)
+COUNTIF(N17,"Doğal Afet Yardımı")*($AG$47-$AG$47*0.00759)
+COUNTIF(N17,"Eğitim Yardımı (Çocuk-İlköğretim)")*($AG$48*AY75)
+COUNTIF(N17,"Eğitim Yardımı (Çocuk-Ortaöğretim)")*($AG$49*AY75)
+COUNTIF(N17,"Eğitim Yardımı (Çocuk-Lise)")*($AG$50*AY75)
+COUNTIF(N17,"Eğitim Yardımı (Çocuk-Yükseköğretim)")*($AG$51*AY75)
+COUNTIF(N17,"Eğitim Yardımı (İşçi-Lise)")*($AG$52*AY75)
+COUNTIF(N17,"Eğitim Yardımı (İşçi-Yükseköğretim)")*($AG$53*AY75)
+COUNTIF(N17,"Evlilik Yardımı")*($AG$54-$AG$54*0.00759)
+COUNTIF(O17,"Yok")*(0)
+COUNTIF(O17,"Askerlik Yardımı")*($AG$40*AY75)
+COUNTIF(O17,"Bayram Yardımı (Kurban)")*($AG$41*AY75)
+COUNTIF(O17,"Bayram Yardımı (Ramazan)")*($AG$42*AY75)
+COUNTIF(O17,"Cenaze Yardımı (Anne-Baba)")*($AG$43-$AG$43*0.00759)
+COUNTIF(O17,"Cenaze Yardımı (Eş-Çocuk)")*($AG$44-$AG$44*0.00759)
+COUNTIF(O17,"Cenaze Yardımı (İşçi-İş Kazası Sonucu)")*($AG$45-$AG$45*0.00759)
+COUNTIF(O17,"Cenaze Yardımı (İşçi-Tabii Sebepler Sonucu)")*($AG$46-$AG$46*0.00759)
+COUNTIF(O17,"Doğal Afet Yardımı")*($AG$47-$AG$47*0.00759)
+COUNTIF(O17,"Eğitim Yardımı (Çocuk-İlköğretim)")*($AG$48*AY75)
+COUNTIF(O17,"Eğitim Yardımı (Çocuk-Ortaöğretim)")*($AG$49*AY75)
+COUNTIF(O17,"Eğitim Yardımı (Çocuk-Lise)")*($AG$50*AY75)
+COUNTIF(O17,"Eğitim Yardımı (Çocuk-Yükseköğretim)")*($AG$51*AY75)
+COUNTIF(O17,"Eğitim Yardımı (İşçi-Lise)")*($AG$52*AY75)
+COUNTIF(O17,"Eğitim Yardımı (İşçi-Yükseköğretim)")*($AG$53*AY75)
+COUNTIF(O17,"Evlilik Yardımı")*($AG$54-$AG$54*0.00759)</f>
        <v>0</v>
      </c>
      <c r="AR45" s="73" t="s">
        <v>7</v>
      </c>
      <c r="AS45" s="52">
        <f>COUNTIF(AR45,"Var")*(AN17*-1)</f>
        <v>-2115.17</v>
      </c>
      <c r="AT45" s="52">
        <f t="shared" si="57"/>
        <v>2115.17</v>
      </c>
      <c r="AU45" s="72">
        <f ca="1">(AK75*P17+AV45)*-1</f>
        <v>0</v>
      </c>
      <c r="AV45" s="72">
        <f>(AW17+AY17+AI3+AK3+AM3-AT3)*(P17*-1)</f>
        <v>0</v>
      </c>
      <c r="AW45" s="72">
        <f t="shared" ca="1" si="58"/>
        <v>0</v>
      </c>
      <c r="AX45" s="52">
        <f>(49.52*J17)</f>
        <v>1287.52</v>
      </c>
      <c r="BE45" s="51">
        <v>43</v>
      </c>
      <c r="BF45" s="54">
        <v>21.5</v>
      </c>
      <c r="BG45" s="55">
        <v>0.45</v>
      </c>
    </row>
    <row r="46" spans="28:59" ht="39.950000000000003" hidden="1" customHeight="1" x14ac:dyDescent="0.25">
      <c r="AE46" s="70" t="s">
        <v>55</v>
      </c>
      <c r="AF46" s="72">
        <v>0</v>
      </c>
      <c r="AG46" s="72">
        <v>0</v>
      </c>
      <c r="AH46" s="52">
        <f ca="1">(AX46*AY76)</f>
        <v>865.7413231999999</v>
      </c>
      <c r="AI46" s="52">
        <f>(29.3*K18)</f>
        <v>0</v>
      </c>
      <c r="AJ46" s="52">
        <f ca="1">(AI46*AY76)</f>
        <v>0</v>
      </c>
      <c r="AK46" s="52">
        <f>(276.5*L18)</f>
        <v>0</v>
      </c>
      <c r="AL46" s="52">
        <f ca="1">AK46-(AK46*0.00759)-((AK46-AM46)*0.14)-((AK46-AM46)*0.01)-((AK46-(AK46-AM46)*0.14-(AK46-AM46)*0.01)-AN46)*AT76</f>
        <v>0</v>
      </c>
      <c r="AM46" s="52">
        <f>IF(AK46&lt;=$AG$4*2,AK46,$AG$4*2)</f>
        <v>0</v>
      </c>
      <c r="AN46" s="52">
        <f>IF(AK46&lt;=$AG$7*2,AK46,$AG$7*2)</f>
        <v>0</v>
      </c>
      <c r="AO46" s="72">
        <f>COUNTIF(M18,"Yok")*(0)
+COUNTIF(M18,"Askerlik Yardımı")*($AG$40)
+COUNTIF(M18,"Bayram Yardımı (Kurban)")*($AG$41)
+COUNTIF(M18,"Bayram Yardımı (Ramazan)")*($AG$42)
+COUNTIF(M18,"Cenaze Yardımı (Anne-Baba)")*($AG$43)
+COUNTIF(M18,"Cenaze Yardımı (Eş-Çocuk)")*($AG$44)
+COUNTIF(M18,"Cenaze Yardımı (İşçi-İş Kazası Sonucu)")*($AG$45)
+COUNTIF(M18,"Cenaze Yardımı (İşçi-Tabii Sebepler Sonucu)")*($AG$46)
+COUNTIF(M18,"Doğal Afet Yardımı")*($AG$47)
+COUNTIF(M18,"Eğitim Yardımı (Çocuk-İlköğretim)")*($AG$48)
+COUNTIF(M18,"Eğitim Yardımı (Çocuk-Ortaöğretim)")*($AG$49)
+COUNTIF(M18,"Eğitim Yardımı (Çocuk-Lise)")*($AG$50)
+COUNTIF(M18,"Eğitim Yardımı (Çocuk-Yükseköğretim)")*($AG$51)
+COUNTIF(M18,"Eğitim Yardımı (İşçi-Lise)")*($AG$52)
+COUNTIF(M18,"Eğitim Yardımı (İşçi-Yükseköğretim)")*($AG$53)
+COUNTIF(M18,"Evlilik Yardımı")*($AG$54)
+COUNTIF(N18,"Yok")*(0)
+COUNTIF(N18,"Askerlik Yardımı")*($AG$40)
+COUNTIF(N18,"Bayram Yardımı (Kurban)")*($AG$41)
+COUNTIF(N18,"Bayram Yardımı (Ramazan)")*($AG$42)
+COUNTIF(N18,"Cenaze Yardımı (Anne-Baba)")*($AG$43)
+COUNTIF(N18,"Cenaze Yardımı (Eş-Çocuk)")*($AG$44)
+COUNTIF(N18,"Cenaze Yardımı (İşçi-İş Kazası Sonucu)")*($AG$45)
+COUNTIF(N18,"Cenaze Yardımı (İşçi-Tabii Sebepler Sonucu)")*($AG$46)
+COUNTIF(N18,"Doğal Afet Yardımı")*($AG$47)
+COUNTIF(N18,"Eğitim Yardımı (Çocuk-İlköğretim)")*($AG$48)
+COUNTIF(N18,"Eğitim Yardımı (Çocuk-Ortaöğretim)")*($AG$49)
+COUNTIF(N18,"Eğitim Yardımı (Çocuk-Lise)")*($AG$50)
+COUNTIF(N18,"Eğitim Yardımı (Çocuk-Yükseköğretim)")*($AG$51)
+COUNTIF(N18,"Eğitim Yardımı (İşçi-Lise)")*($AG$52)
+COUNTIF(N18,"Eğitim Yardımı (İşçi-Yükseköğretim)")*($AG$53)
+COUNTIF(N18,"Evlilik Yardımı")*($AG$54)
+COUNTIF(O18,"Yok")*(0)
+COUNTIF(O18,"Askerlik Yardımı")*($AG$40)
+COUNTIF(O18,"Bayram Yardımı (Kurban)")*($AG$41)
+COUNTIF(O18,"Bayram Yardımı (Ramazan)")*($AG$42)
+COUNTIF(O18,"Cenaze Yardımı (Anne-Baba)")*($AG$43)
+COUNTIF(O18,"Cenaze Yardımı (Eş-Çocuk)")*($AG$44)
+COUNTIF(O18,"Cenaze Yardımı (İşçi-İş Kazası Sonucu)")*($AG$45)
+COUNTIF(O18,"Cenaze Yardımı (İşçi-Tabii Sebepler Sonucu)")*($AG$46)
+COUNTIF(O18,"Doğal Afet Yardımı")*($AG$47)
+COUNTIF(O18,"Eğitim Yardımı (Çocuk-İlköğretim)")*($AG$48)
+COUNTIF(O18,"Eğitim Yardımı (Çocuk-Ortaöğretim)")*($AG$49)
+COUNTIF(O18,"Eğitim Yardımı (Çocuk-Lise)")*($AG$50)
+COUNTIF(O18,"Eğitim Yardımı (Çocuk-Yükseköğretim)")*($AG$51)
+COUNTIF(O18,"Eğitim Yardımı (İşçi-Lise)")*($AG$52)
+COUNTIF(O18,"Eğitim Yardımı (İşçi-Yükseköğretim)")*($AG$53)
+COUNTIF(O18,"Evlilik Yardımı")*($AG$54)</f>
        <v>0</v>
      </c>
      <c r="AP46" s="72">
        <f>COUNTIF(M18,"Yok")*(0)
+COUNTIF(M18,"Askerlik Yardımı")*(0)
+COUNTIF(M18,"Bayram Yardımı (Kurban)")*(0)
+COUNTIF(M18,"Bayram Yardımı (Ramazan)")*(0)
+COUNTIF(M18,"Cenaze Yardımı (Anne-Baba)")*($AG$43)
+COUNTIF(M18,"Cenaze Yardımı (Eş-Çocuk)")*($AG$44)
+COUNTIF(M18,"Cenaze Yardımı (İşçi-İş Kazası Sonucu)")*($AG$45)
+COUNTIF(M18,"Cenaze Yardımı (İşçi-Tabii Sebepler Sonucu)")*($AG$46)
+COUNTIF(M18,"Doğal Afet Yardımı")*($AG$47)
+COUNTIF(M18,"Eğitim Yardımı (Çocuk-İlköğretim)")*(0)
+COUNTIF(M18,"Eğitim Yardımı (Çocuk-Ortaöğretim)")*(0)
+COUNTIF(M18,"Eğitim Yardımı (Çocuk-Lise)")*(0)
+COUNTIF(M18,"Eğitim Yardımı (Çocuk-Yükseköğretim)")*(0)
+COUNTIF(M18,"Eğitim Yardımı (İşçi-Lise)")*(0)
+COUNTIF(M18,"Eğitim Yardımı (İşçi-Yükseköğretim)")*(0)
+COUNTIF(M18,"Evlilik Yardımı")*($AG$54)
+COUNTIF(N18,"Yok")*(0)
+COUNTIF(N18,"Askerlik Yardımı")*(0)
+COUNTIF(N18,"Bayram Yardımı (Kurban)")*(0)
+COUNTIF(N18,"Bayram Yardımı (Ramazan)")*(0)
+COUNTIF(N18,"Cenaze Yardımı (Anne-Baba)")*($AG$43)
+COUNTIF(N18,"Cenaze Yardımı (Eş-Çocuk)")*($AG$44)
+COUNTIF(N18,"Cenaze Yardımı (İşçi-İş Kazası Sonucu)")*($AG$45)
+COUNTIF(N18,"Cenaze Yardımı (İşçi-Tabii Sebepler Sonucu)")*($AG$46)
+COUNTIF(N18,"Doğal Afet Yardımı")*($AG$47)
+COUNTIF(N18,"Eğitim Yardımı (Çocuk-İlköğretim)")*(0)
+COUNTIF(N18,"Eğitim Yardımı (Çocuk-Ortaöğretim)")*(0)
+COUNTIF(N18,"Eğitim Yardımı (Çocuk-Lise)")*(0)
+COUNTIF(N18,"Eğitim Yardımı (Çocuk-Yükseköğretim)")*(0)
+COUNTIF(N18,"Eğitim Yardımı (İşçi-Lise)")*(0)
+COUNTIF(N18,"Eğitim Yardımı (İşçi-Yükseköğretim)")*(0)
+COUNTIF(N18,"Evlilik Yardımı")*($AG$54)
+COUNTIF(O18,"Yok")*(0)
+COUNTIF(O18,"Askerlik Yardımı")*(0)
+COUNTIF(O18,"Bayram Yardımı (Kurban)")*(0)
+COUNTIF(O18,"Bayram Yardımı (Ramazan)")*(0)
+COUNTIF(O18,"Cenaze Yardımı (Anne-Baba)")*($AG$43)
+COUNTIF(O18,"Cenaze Yardımı (Eş-Çocuk)")*($AG$44)
+COUNTIF(O18,"Cenaze Yardımı (İşçi-İş Kazası Sonucu)")*($AG$45)
+COUNTIF(O18,"Cenaze Yardımı (İşçi-Tabii Sebepler Sonucu)")*($AG$46)
+COUNTIF(O18,"Doğal Afet Yardımı")*($AG$47)
+COUNTIF(O18,"Eğitim Yardımı (Çocuk-İlköğretim)")*(0)
+COUNTIF(O18,"Eğitim Yardımı (Çocuk-Ortaöğretim)")*(0)
+COUNTIF(O18,"Eğitim Yardımı (Çocuk-Lise)")*(0)
+COUNTIF(O18,"Eğitim Yardımı (Çocuk-Yükseköğretim)")*(0)
+COUNTIF(O18,"Eğitim Yardımı (İşçi-Lise)")*(0)
+COUNTIF(O18,"Eğitim Yardımı (İşçi-Yükseköğretim)")*(0)
+COUNTIF(O18,"Evlilik Yardımı")*($AG$54)</f>
        <v>0</v>
      </c>
      <c r="AQ46" s="72">
        <f ca="1">COUNTIF(M18,"Yok")*(0)
+COUNTIF(M18,"Askerlik Yardımı")*($AG$40*AY76)
+COUNTIF(M18,"Bayram Yardımı (Kurban)")*($AG$41*AY76)
+COUNTIF(M18,"Bayram Yardımı (Ramazan)")*($AG$42*AY76)
+COUNTIF(M18,"Cenaze Yardımı (Anne-Baba)")*($AG$43-$AG$43*0.00759)
+COUNTIF(M18,"Cenaze Yardımı (Eş-Çocuk)")*($AG$44-$AG$44*0.00759)
+COUNTIF(M18,"Cenaze Yardımı (İşçi-İş Kazası Sonucu)")*($AG$45-$AG$45*0.00759)
+COUNTIF(M18,"Cenaze Yardımı (İşçi-Tabii Sebepler Sonucu)")*($AG$46-$AG$46*0.00759)
+COUNTIF(M18,"Doğal Afet Yardımı")*($AG$47-$AG$47*0.00759)
+COUNTIF(M18,"Eğitim Yardımı (Çocuk-İlköğretim)")*($AG$48*AY76)
+COUNTIF(M18,"Eğitim Yardımı (Çocuk-Ortaöğretim)")*($AG$49*AY76)
+COUNTIF(M18,"Eğitim Yardımı (Çocuk-Lise)")*($AG$50*AY76)
+COUNTIF(M18,"Eğitim Yardımı (Çocuk-Yükseköğretim)")*($AG$51*AY76)
+COUNTIF(M18,"Eğitim Yardımı (İşçi-Lise)")*($AG$52*AY76)
+COUNTIF(M18,"Eğitim Yardımı (İşçi-Yükseköğretim)")*($AG$53*AY76)
+COUNTIF(M18,"Evlilik Yardımı")*($AG$54-$AG$54*0.00759)
+COUNTIF(N18,"Yok")*(0)
+COUNTIF(N18,"Askerlik Yardımı")*($AG$40*AY76)
+COUNTIF(N18,"Bayram Yardımı (Kurban)")*($AG$41*AY76)
+COUNTIF(N18,"Bayram Yardımı (Ramazan)")*($AG$42*AY76)
+COUNTIF(N18,"Cenaze Yardımı (Anne-Baba)")*($AG$43-$AG$43*0.00759)
+COUNTIF(N18,"Cenaze Yardımı (Eş-Çocuk)")*($AG$44-$AG$44*0.00759)
+COUNTIF(N18,"Cenaze Yardımı (İşçi-İş Kazası Sonucu)")*($AG$45-$AG$45*0.00759)
+COUNTIF(N18,"Cenaze Yardımı (İşçi-Tabii Sebepler Sonucu)")*($AG$46-$AG$46*0.00759)
+COUNTIF(N18,"Doğal Afet Yardımı")*($AG$47-$AG$47*0.00759)
+COUNTIF(N18,"Eğitim Yardımı (Çocuk-İlköğretim)")*($AG$48*AY76)
+COUNTIF(N18,"Eğitim Yardımı (Çocuk-Ortaöğretim)")*($AG$49*AY76)
+COUNTIF(N18,"Eğitim Yardımı (Çocuk-Lise)")*($AG$50*AY76)
+COUNTIF(N18,"Eğitim Yardımı (Çocuk-Yükseköğretim)")*($AG$51*AY76)
+COUNTIF(N18,"Eğitim Yardımı (İşçi-Lise)")*($AG$52*AY76)
+COUNTIF(N18,"Eğitim Yardımı (İşçi-Yükseköğretim)")*($AG$53*AY76)
+COUNTIF(N18,"Evlilik Yardımı")*($AG$54-$AG$54*0.00759)
+COUNTIF(O18,"Yok")*(0)
+COUNTIF(O18,"Askerlik Yardımı")*($AG$40*AY76)
+COUNTIF(O18,"Bayram Yardımı (Kurban)")*($AG$41*AY76)
+COUNTIF(O18,"Bayram Yardımı (Ramazan)")*($AG$42*AY76)
+COUNTIF(O18,"Cenaze Yardımı (Anne-Baba)")*($AG$43-$AG$43*0.00759)
+COUNTIF(O18,"Cenaze Yardımı (Eş-Çocuk)")*($AG$44-$AG$44*0.00759)
+COUNTIF(O18,"Cenaze Yardımı (İşçi-İş Kazası Sonucu)")*($AG$45-$AG$45*0.00759)
+COUNTIF(O18,"Cenaze Yardımı (İşçi-Tabii Sebepler Sonucu)")*($AG$46-$AG$46*0.00759)
+COUNTIF(O18,"Doğal Afet Yardımı")*($AG$47-$AG$47*0.00759)
+COUNTIF(O18,"Eğitim Yardımı (Çocuk-İlköğretim)")*($AG$48*AY76)
+COUNTIF(O18,"Eğitim Yardımı (Çocuk-Ortaöğretim)")*($AG$49*AY76)
+COUNTIF(O18,"Eğitim Yardımı (Çocuk-Lise)")*($AG$50*AY76)
+COUNTIF(O18,"Eğitim Yardımı (Çocuk-Yükseköğretim)")*($AG$51*AY76)
+COUNTIF(O18,"Eğitim Yardımı (İşçi-Lise)")*($AG$52*AY76)
+COUNTIF(O18,"Eğitim Yardımı (İşçi-Yükseköğretim)")*($AG$53*AY76)
+COUNTIF(O18,"Evlilik Yardımı")*($AG$54-$AG$54*0.00759)</f>
        <v>0</v>
      </c>
      <c r="AR46" s="73" t="s">
        <v>7</v>
      </c>
      <c r="AS46" s="52">
        <f>COUNTIF(AR46,"Var")*(AN18*-1)</f>
        <v>-2115.17</v>
      </c>
      <c r="AT46" s="52">
        <f t="shared" si="57"/>
        <v>2115.17</v>
      </c>
      <c r="AU46" s="72">
        <f ca="1">(AK76*P18+AV46)*-1</f>
        <v>0</v>
      </c>
      <c r="AV46" s="72">
        <f>(AW18+AY18+AI4+AK4+AM4-AT4)*(P18*-1)</f>
        <v>0</v>
      </c>
      <c r="AW46" s="72">
        <f t="shared" ca="1" si="58"/>
        <v>0</v>
      </c>
      <c r="AX46" s="52">
        <f>(49.52*J18)</f>
        <v>1287.52</v>
      </c>
      <c r="BE46" s="51">
        <v>44</v>
      </c>
      <c r="BF46" s="54">
        <v>22</v>
      </c>
      <c r="BG46" s="55">
        <v>0.46</v>
      </c>
    </row>
    <row r="47" spans="28:59" ht="39.950000000000003" hidden="1" customHeight="1" x14ac:dyDescent="0.25">
      <c r="AE47" s="70" t="s">
        <v>2</v>
      </c>
      <c r="AF47" s="72">
        <v>9047.91</v>
      </c>
      <c r="AG47" s="72">
        <v>9047.91</v>
      </c>
      <c r="AH47" s="52">
        <f ca="1">(AX47*AY77)</f>
        <v>865.7413231999999</v>
      </c>
      <c r="AI47" s="52">
        <f>(29.3*K19)</f>
        <v>0</v>
      </c>
      <c r="AJ47" s="52">
        <f ca="1">(AI47*AY77)</f>
        <v>0</v>
      </c>
      <c r="AK47" s="52">
        <f>(276.5*L19)</f>
        <v>0</v>
      </c>
      <c r="AL47" s="52">
        <f ca="1">AK47-(AK47*0.00759)-((AK47-AM47)*0.14)-((AK47-AM47)*0.01)-((AK47-(AK47-AM47)*0.14-(AK47-AM47)*0.01)-AN47)*AT77</f>
        <v>0</v>
      </c>
      <c r="AM47" s="52">
        <f>IF(AK47&lt;=$AG$4*2,AK47,$AG$4*2)</f>
        <v>0</v>
      </c>
      <c r="AN47" s="52">
        <f>IF(AK47&lt;=$AG$7*2,AK47,$AG$7*2)</f>
        <v>0</v>
      </c>
      <c r="AO47" s="72">
        <f>COUNTIF(M19,"Yok")*(0)
+COUNTIF(M19,"Askerlik Yardımı")*($AG$40)
+COUNTIF(M19,"Bayram Yardımı (Kurban)")*($AG$41)
+COUNTIF(M19,"Bayram Yardımı (Ramazan)")*($AG$42)
+COUNTIF(M19,"Cenaze Yardımı (Anne-Baba)")*($AG$43)
+COUNTIF(M19,"Cenaze Yardımı (Eş-Çocuk)")*($AG$44)
+COUNTIF(M19,"Cenaze Yardımı (İşçi-İş Kazası Sonucu)")*($AG$45)
+COUNTIF(M19,"Cenaze Yardımı (İşçi-Tabii Sebepler Sonucu)")*($AG$46)
+COUNTIF(M19,"Doğal Afet Yardımı")*($AG$47)
+COUNTIF(M19,"Eğitim Yardımı (Çocuk-İlköğretim)")*($AG$48)
+COUNTIF(M19,"Eğitim Yardımı (Çocuk-Ortaöğretim)")*($AG$49)
+COUNTIF(M19,"Eğitim Yardımı (Çocuk-Lise)")*($AG$50)
+COUNTIF(M19,"Eğitim Yardımı (Çocuk-Yükseköğretim)")*($AG$51)
+COUNTIF(M19,"Eğitim Yardımı (İşçi-Lise)")*($AG$52)
+COUNTIF(M19,"Eğitim Yardımı (İşçi-Yükseköğretim)")*($AG$53)
+COUNTIF(M19,"Evlilik Yardımı")*($AG$54)
+COUNTIF(N19,"Yok")*(0)
+COUNTIF(N19,"Askerlik Yardımı")*($AG$40)
+COUNTIF(N19,"Bayram Yardımı (Kurban)")*($AG$41)
+COUNTIF(N19,"Bayram Yardımı (Ramazan)")*($AG$42)
+COUNTIF(N19,"Cenaze Yardımı (Anne-Baba)")*($AG$43)
+COUNTIF(N19,"Cenaze Yardımı (Eş-Çocuk)")*($AG$44)
+COUNTIF(N19,"Cenaze Yardımı (İşçi-İş Kazası Sonucu)")*($AG$45)
+COUNTIF(N19,"Cenaze Yardımı (İşçi-Tabii Sebepler Sonucu)")*($AG$46)
+COUNTIF(N19,"Doğal Afet Yardımı")*($AG$47)
+COUNTIF(N19,"Eğitim Yardımı (Çocuk-İlköğretim)")*($AG$48)
+COUNTIF(N19,"Eğitim Yardımı (Çocuk-Ortaöğretim)")*($AG$49)
+COUNTIF(N19,"Eğitim Yardımı (Çocuk-Lise)")*($AG$50)
+COUNTIF(N19,"Eğitim Yardımı (Çocuk-Yükseköğretim)")*($AG$51)
+COUNTIF(N19,"Eğitim Yardımı (İşçi-Lise)")*($AG$52)
+COUNTIF(N19,"Eğitim Yardımı (İşçi-Yükseköğretim)")*($AG$53)
+COUNTIF(N19,"Evlilik Yardımı")*($AG$54)
+COUNTIF(O19,"Yok")*(0)
+COUNTIF(O19,"Askerlik Yardımı")*($AG$40)
+COUNTIF(O19,"Bayram Yardımı (Kurban)")*($AG$41)
+COUNTIF(O19,"Bayram Yardımı (Ramazan)")*($AG$42)
+COUNTIF(O19,"Cenaze Yardımı (Anne-Baba)")*($AG$43)
+COUNTIF(O19,"Cenaze Yardımı (Eş-Çocuk)")*($AG$44)
+COUNTIF(O19,"Cenaze Yardımı (İşçi-İş Kazası Sonucu)")*($AG$45)
+COUNTIF(O19,"Cenaze Yardımı (İşçi-Tabii Sebepler Sonucu)")*($AG$46)
+COUNTIF(O19,"Doğal Afet Yardımı")*($AG$47)
+COUNTIF(O19,"Eğitim Yardımı (Çocuk-İlköğretim)")*($AG$48)
+COUNTIF(O19,"Eğitim Yardımı (Çocuk-Ortaöğretim)")*($AG$49)
+COUNTIF(O19,"Eğitim Yardımı (Çocuk-Lise)")*($AG$50)
+COUNTIF(O19,"Eğitim Yardımı (Çocuk-Yükseköğretim)")*($AG$51)
+COUNTIF(O19,"Eğitim Yardımı (İşçi-Lise)")*($AG$52)
+COUNTIF(O19,"Eğitim Yardımı (İşçi-Yükseköğretim)")*($AG$53)
+COUNTIF(O19,"Evlilik Yardımı")*($AG$54)</f>
        <v>0</v>
      </c>
      <c r="AP47" s="72">
        <f>COUNTIF(M19,"Yok")*(0)
+COUNTIF(M19,"Askerlik Yardımı")*(0)
+COUNTIF(M19,"Bayram Yardımı (Kurban)")*(0)
+COUNTIF(M19,"Bayram Yardımı (Ramazan)")*(0)
+COUNTIF(M19,"Cenaze Yardımı (Anne-Baba)")*($AG$43)
+COUNTIF(M19,"Cenaze Yardımı (Eş-Çocuk)")*($AG$44)
+COUNTIF(M19,"Cenaze Yardımı (İşçi-İş Kazası Sonucu)")*($AG$45)
+COUNTIF(M19,"Cenaze Yardımı (İşçi-Tabii Sebepler Sonucu)")*($AG$46)
+COUNTIF(M19,"Doğal Afet Yardımı")*($AG$47)
+COUNTIF(M19,"Eğitim Yardımı (Çocuk-İlköğretim)")*(0)
+COUNTIF(M19,"Eğitim Yardımı (Çocuk-Ortaöğretim)")*(0)
+COUNTIF(M19,"Eğitim Yardımı (Çocuk-Lise)")*(0)
+COUNTIF(M19,"Eğitim Yardımı (Çocuk-Yükseköğretim)")*(0)
+COUNTIF(M19,"Eğitim Yardımı (İşçi-Lise)")*(0)
+COUNTIF(M19,"Eğitim Yardımı (İşçi-Yükseköğretim)")*(0)
+COUNTIF(M19,"Evlilik Yardımı")*($AG$54)
+COUNTIF(N19,"Yok")*(0)
+COUNTIF(N19,"Askerlik Yardımı")*(0)
+COUNTIF(N19,"Bayram Yardımı (Kurban)")*(0)
+COUNTIF(N19,"Bayram Yardımı (Ramazan)")*(0)
+COUNTIF(N19,"Cenaze Yardımı (Anne-Baba)")*($AG$43)
+COUNTIF(N19,"Cenaze Yardımı (Eş-Çocuk)")*($AG$44)
+COUNTIF(N19,"Cenaze Yardımı (İşçi-İş Kazası Sonucu)")*($AG$45)
+COUNTIF(N19,"Cenaze Yardımı (İşçi-Tabii Sebepler Sonucu)")*($AG$46)
+COUNTIF(N19,"Doğal Afet Yardımı")*($AG$47)
+COUNTIF(N19,"Eğitim Yardımı (Çocuk-İlköğretim)")*(0)
+COUNTIF(N19,"Eğitim Yardımı (Çocuk-Ortaöğretim)")*(0)
+COUNTIF(N19,"Eğitim Yardımı (Çocuk-Lise)")*(0)
+COUNTIF(N19,"Eğitim Yardımı (Çocuk-Yükseköğretim)")*(0)
+COUNTIF(N19,"Eğitim Yardımı (İşçi-Lise)")*(0)
+COUNTIF(N19,"Eğitim Yardımı (İşçi-Yükseköğretim)")*(0)
+COUNTIF(N19,"Evlilik Yardımı")*($AG$54)
+COUNTIF(O19,"Yok")*(0)
+COUNTIF(O19,"Askerlik Yardımı")*(0)
+COUNTIF(O19,"Bayram Yardımı (Kurban)")*(0)
+COUNTIF(O19,"Bayram Yardımı (Ramazan)")*(0)
+COUNTIF(O19,"Cenaze Yardımı (Anne-Baba)")*($AG$43)
+COUNTIF(O19,"Cenaze Yardımı (Eş-Çocuk)")*($AG$44)
+COUNTIF(O19,"Cenaze Yardımı (İşçi-İş Kazası Sonucu)")*($AG$45)
+COUNTIF(O19,"Cenaze Yardımı (İşçi-Tabii Sebepler Sonucu)")*($AG$46)
+COUNTIF(O19,"Doğal Afet Yardımı")*($AG$47)
+COUNTIF(O19,"Eğitim Yardımı (Çocuk-İlköğretim)")*(0)
+COUNTIF(O19,"Eğitim Yardımı (Çocuk-Ortaöğretim)")*(0)
+COUNTIF(O19,"Eğitim Yardımı (Çocuk-Lise)")*(0)
+COUNTIF(O19,"Eğitim Yardımı (Çocuk-Yükseköğretim)")*(0)
+COUNTIF(O19,"Eğitim Yardımı (İşçi-Lise)")*(0)
+COUNTIF(O19,"Eğitim Yardımı (İşçi-Yükseköğretim)")*(0)
+COUNTIF(O19,"Evlilik Yardımı")*($AG$54)</f>
        <v>0</v>
      </c>
      <c r="AQ47" s="72">
        <f ca="1">COUNTIF(M19,"Yok")*(0)
+COUNTIF(M19,"Askerlik Yardımı")*($AG$40*AY77)
+COUNTIF(M19,"Bayram Yardımı (Kurban)")*($AG$41*AY77)
+COUNTIF(M19,"Bayram Yardımı (Ramazan)")*($AG$42*AY77)
+COUNTIF(M19,"Cenaze Yardımı (Anne-Baba)")*($AG$43-$AG$43*0.00759)
+COUNTIF(M19,"Cenaze Yardımı (Eş-Çocuk)")*($AG$44-$AG$44*0.00759)
+COUNTIF(M19,"Cenaze Yardımı (İşçi-İş Kazası Sonucu)")*($AG$45-$AG$45*0.00759)
+COUNTIF(M19,"Cenaze Yardımı (İşçi-Tabii Sebepler Sonucu)")*($AG$46-$AG$46*0.00759)
+COUNTIF(M19,"Doğal Afet Yardımı")*($AG$47-$AG$47*0.00759)
+COUNTIF(M19,"Eğitim Yardımı (Çocuk-İlköğretim)")*($AG$48*AY77)
+COUNTIF(M19,"Eğitim Yardımı (Çocuk-Ortaöğretim)")*($AG$49*AY77)
+COUNTIF(M19,"Eğitim Yardımı (Çocuk-Lise)")*($AG$50*AY77)
+COUNTIF(M19,"Eğitim Yardımı (Çocuk-Yükseköğretim)")*($AG$51*AY77)
+COUNTIF(M19,"Eğitim Yardımı (İşçi-Lise)")*($AG$52*AY77)
+COUNTIF(M19,"Eğitim Yardımı (İşçi-Yükseköğretim)")*($AG$53*AY77)
+COUNTIF(M19,"Evlilik Yardımı")*($AG$54-$AG$54*0.00759)
+COUNTIF(N19,"Yok")*(0)
+COUNTIF(N19,"Askerlik Yardımı")*($AG$40*AY77)
+COUNTIF(N19,"Bayram Yardımı (Kurban)")*($AG$41*AY77)
+COUNTIF(N19,"Bayram Yardımı (Ramazan)")*($AG$42*AY77)
+COUNTIF(N19,"Cenaze Yardımı (Anne-Baba)")*($AG$43-$AG$43*0.00759)
+COUNTIF(N19,"Cenaze Yardımı (Eş-Çocuk)")*($AG$44-$AG$44*0.00759)
+COUNTIF(N19,"Cenaze Yardımı (İşçi-İş Kazası Sonucu)")*($AG$45-$AG$45*0.00759)
+COUNTIF(N19,"Cenaze Yardımı (İşçi-Tabii Sebepler Sonucu)")*($AG$46-$AG$46*0.00759)
+COUNTIF(N19,"Doğal Afet Yardımı")*($AG$47-$AG$47*0.00759)
+COUNTIF(N19,"Eğitim Yardımı (Çocuk-İlköğretim)")*($AG$48*AY77)
+COUNTIF(N19,"Eğitim Yardımı (Çocuk-Ortaöğretim)")*($AG$49*AY77)
+COUNTIF(N19,"Eğitim Yardımı (Çocuk-Lise)")*($AG$50*AY77)
+COUNTIF(N19,"Eğitim Yardımı (Çocuk-Yükseköğretim)")*($AG$51*AY77)
+COUNTIF(N19,"Eğitim Yardımı (İşçi-Lise)")*($AG$52*AY77)
+COUNTIF(N19,"Eğitim Yardımı (İşçi-Yükseköğretim)")*($AG$53*AY77)
+COUNTIF(N19,"Evlilik Yardımı")*($AG$54-$AG$54*0.00759)
+COUNTIF(O19,"Yok")*(0)
+COUNTIF(O19,"Askerlik Yardımı")*($AG$40*AY77)
+COUNTIF(O19,"Bayram Yardımı (Kurban)")*($AG$41*AY77)
+COUNTIF(O19,"Bayram Yardımı (Ramazan)")*($AG$42*AY77)
+COUNTIF(O19,"Cenaze Yardımı (Anne-Baba)")*($AG$43-$AG$43*0.00759)
+COUNTIF(O19,"Cenaze Yardımı (Eş-Çocuk)")*($AG$44-$AG$44*0.00759)
+COUNTIF(O19,"Cenaze Yardımı (İşçi-İş Kazası Sonucu)")*($AG$45-$AG$45*0.00759)
+COUNTIF(O19,"Cenaze Yardımı (İşçi-Tabii Sebepler Sonucu)")*($AG$46-$AG$46*0.00759)
+COUNTIF(O19,"Doğal Afet Yardımı")*($AG$47-$AG$47*0.00759)
+COUNTIF(O19,"Eğitim Yardımı (Çocuk-İlköğretim)")*($AG$48*AY77)
+COUNTIF(O19,"Eğitim Yardımı (Çocuk-Ortaöğretim)")*($AG$49*AY77)
+COUNTIF(O19,"Eğitim Yardımı (Çocuk-Lise)")*($AG$50*AY77)
+COUNTIF(O19,"Eğitim Yardımı (Çocuk-Yükseköğretim)")*($AG$51*AY77)
+COUNTIF(O19,"Eğitim Yardımı (İşçi-Lise)")*($AG$52*AY77)
+COUNTIF(O19,"Eğitim Yardımı (İşçi-Yükseköğretim)")*($AG$53*AY77)
+COUNTIF(O19,"Evlilik Yardımı")*($AG$54-$AG$54*0.00759)</f>
        <v>0</v>
      </c>
      <c r="AR47" s="73" t="s">
        <v>7</v>
      </c>
      <c r="AS47" s="52">
        <f>COUNTIF(AR47,"Var")*(AN19*-1)</f>
        <v>-2115.17</v>
      </c>
      <c r="AT47" s="52">
        <f t="shared" si="57"/>
        <v>2115.17</v>
      </c>
      <c r="AU47" s="72">
        <f ca="1">(AK77*P19+AV47)*-1</f>
        <v>0</v>
      </c>
      <c r="AV47" s="72">
        <f>(AW19+AY19+AI5+AK5+AM5-AT5)*(P19*-1)</f>
        <v>0</v>
      </c>
      <c r="AW47" s="72">
        <f t="shared" ca="1" si="58"/>
        <v>0</v>
      </c>
      <c r="AX47" s="52">
        <f>(49.52*J19)</f>
        <v>1287.52</v>
      </c>
      <c r="BE47" s="51">
        <v>45</v>
      </c>
      <c r="BF47" s="54">
        <v>22.5</v>
      </c>
      <c r="BG47" s="55">
        <v>0.47</v>
      </c>
    </row>
    <row r="48" spans="28:59" ht="39.950000000000003" hidden="1" customHeight="1" x14ac:dyDescent="0.25">
      <c r="AE48" s="70" t="s">
        <v>58</v>
      </c>
      <c r="AF48" s="72">
        <v>2131.62</v>
      </c>
      <c r="AG48" s="72">
        <v>2131.62</v>
      </c>
      <c r="AH48" s="52">
        <f ca="1">(AX48*AY78)</f>
        <v>857.00514117532384</v>
      </c>
      <c r="AI48" s="52">
        <f>(29.3*K20)</f>
        <v>0</v>
      </c>
      <c r="AJ48" s="52">
        <f ca="1">(AI48*AY78)</f>
        <v>0</v>
      </c>
      <c r="AK48" s="52">
        <f>(276.5*L20)</f>
        <v>0</v>
      </c>
      <c r="AL48" s="52">
        <f ca="1">AK48-(AK48*0.00759)-((AK48-AM48)*0.14)-((AK48-AM48)*0.01)-((AK48-(AK48-AM48)*0.14-(AK48-AM48)*0.01)-AN48)*AT78</f>
        <v>0</v>
      </c>
      <c r="AM48" s="52">
        <f>IF(AK48&lt;=$AG$4*2,AK48,$AG$4*2)</f>
        <v>0</v>
      </c>
      <c r="AN48" s="52">
        <f>IF(AK48&lt;=$AG$7*2,AK48,$AG$7*2)</f>
        <v>0</v>
      </c>
      <c r="AO48" s="72">
        <f>COUNTIF(M20,"Yok")*(0)
+COUNTIF(M20,"Askerlik Yardımı")*($AG$40)
+COUNTIF(M20,"Bayram Yardımı (Kurban)")*($AG$41)
+COUNTIF(M20,"Bayram Yardımı (Ramazan)")*($AG$42)
+COUNTIF(M20,"Cenaze Yardımı (Anne-Baba)")*($AG$43)
+COUNTIF(M20,"Cenaze Yardımı (Eş-Çocuk)")*($AG$44)
+COUNTIF(M20,"Cenaze Yardımı (İşçi-İş Kazası Sonucu)")*($AG$45)
+COUNTIF(M20,"Cenaze Yardımı (İşçi-Tabii Sebepler Sonucu)")*($AG$46)
+COUNTIF(M20,"Doğal Afet Yardımı")*($AG$47)
+COUNTIF(M20,"Eğitim Yardımı (Çocuk-İlköğretim)")*($AG$48)
+COUNTIF(M20,"Eğitim Yardımı (Çocuk-Ortaöğretim)")*($AG$49)
+COUNTIF(M20,"Eğitim Yardımı (Çocuk-Lise)")*($AG$50)
+COUNTIF(M20,"Eğitim Yardımı (Çocuk-Yükseköğretim)")*($AG$51)
+COUNTIF(M20,"Eğitim Yardımı (İşçi-Lise)")*($AG$52)
+COUNTIF(M20,"Eğitim Yardımı (İşçi-Yükseköğretim)")*($AG$53)
+COUNTIF(M20,"Evlilik Yardımı")*($AG$54)
+COUNTIF(N20,"Yok")*(0)
+COUNTIF(N20,"Askerlik Yardımı")*($AG$40)
+COUNTIF(N20,"Bayram Yardımı (Kurban)")*($AG$41)
+COUNTIF(N20,"Bayram Yardımı (Ramazan)")*($AG$42)
+COUNTIF(N20,"Cenaze Yardımı (Anne-Baba)")*($AG$43)
+COUNTIF(N20,"Cenaze Yardımı (Eş-Çocuk)")*($AG$44)
+COUNTIF(N20,"Cenaze Yardımı (İşçi-İş Kazası Sonucu)")*($AG$45)
+COUNTIF(N20,"Cenaze Yardımı (İşçi-Tabii Sebepler Sonucu)")*($AG$46)
+COUNTIF(N20,"Doğal Afet Yardımı")*($AG$47)
+COUNTIF(N20,"Eğitim Yardımı (Çocuk-İlköğretim)")*($AG$48)
+COUNTIF(N20,"Eğitim Yardımı (Çocuk-Ortaöğretim)")*($AG$49)
+COUNTIF(N20,"Eğitim Yardımı (Çocuk-Lise)")*($AG$50)
+COUNTIF(N20,"Eğitim Yardımı (Çocuk-Yükseköğretim)")*($AG$51)
+COUNTIF(N20,"Eğitim Yardımı (İşçi-Lise)")*($AG$52)
+COUNTIF(N20,"Eğitim Yardımı (İşçi-Yükseköğretim)")*($AG$53)
+COUNTIF(N20,"Evlilik Yardımı")*($AG$54)
+COUNTIF(O20,"Yok")*(0)
+COUNTIF(O20,"Askerlik Yardımı")*($AG$40)
+COUNTIF(O20,"Bayram Yardımı (Kurban)")*($AG$41)
+COUNTIF(O20,"Bayram Yardımı (Ramazan)")*($AG$42)
+COUNTIF(O20,"Cenaze Yardımı (Anne-Baba)")*($AG$43)
+COUNTIF(O20,"Cenaze Yardımı (Eş-Çocuk)")*($AG$44)
+COUNTIF(O20,"Cenaze Yardımı (İşçi-İş Kazası Sonucu)")*($AG$45)
+COUNTIF(O20,"Cenaze Yardımı (İşçi-Tabii Sebepler Sonucu)")*($AG$46)
+COUNTIF(O20,"Doğal Afet Yardımı")*($AG$47)
+COUNTIF(O20,"Eğitim Yardımı (Çocuk-İlköğretim)")*($AG$48)
+COUNTIF(O20,"Eğitim Yardımı (Çocuk-Ortaöğretim)")*($AG$49)
+COUNTIF(O20,"Eğitim Yardımı (Çocuk-Lise)")*($AG$50)
+COUNTIF(O20,"Eğitim Yardımı (Çocuk-Yükseköğretim)")*($AG$51)
+COUNTIF(O20,"Eğitim Yardımı (İşçi-Lise)")*($AG$52)
+COUNTIF(O20,"Eğitim Yardımı (İşçi-Yükseköğretim)")*($AG$53)
+COUNTIF(O20,"Evlilik Yardımı")*($AG$54)</f>
        <v>0</v>
      </c>
      <c r="AP48" s="72">
        <f>COUNTIF(M20,"Yok")*(0)
+COUNTIF(M20,"Askerlik Yardımı")*(0)
+COUNTIF(M20,"Bayram Yardımı (Kurban)")*(0)
+COUNTIF(M20,"Bayram Yardımı (Ramazan)")*(0)
+COUNTIF(M20,"Cenaze Yardımı (Anne-Baba)")*($AG$43)
+COUNTIF(M20,"Cenaze Yardımı (Eş-Çocuk)")*($AG$44)
+COUNTIF(M20,"Cenaze Yardımı (İşçi-İş Kazası Sonucu)")*($AG$45)
+COUNTIF(M20,"Cenaze Yardımı (İşçi-Tabii Sebepler Sonucu)")*($AG$46)
+COUNTIF(M20,"Doğal Afet Yardımı")*($AG$47)
+COUNTIF(M20,"Eğitim Yardımı (Çocuk-İlköğretim)")*(0)
+COUNTIF(M20,"Eğitim Yardımı (Çocuk-Ortaöğretim)")*(0)
+COUNTIF(M20,"Eğitim Yardımı (Çocuk-Lise)")*(0)
+COUNTIF(M20,"Eğitim Yardımı (Çocuk-Yükseköğretim)")*(0)
+COUNTIF(M20,"Eğitim Yardımı (İşçi-Lise)")*(0)
+COUNTIF(M20,"Eğitim Yardımı (İşçi-Yükseköğretim)")*(0)
+COUNTIF(M20,"Evlilik Yardımı")*($AG$54)
+COUNTIF(N20,"Yok")*(0)
+COUNTIF(N20,"Askerlik Yardımı")*(0)
+COUNTIF(N20,"Bayram Yardımı (Kurban)")*(0)
+COUNTIF(N20,"Bayram Yardımı (Ramazan)")*(0)
+COUNTIF(N20,"Cenaze Yardımı (Anne-Baba)")*($AG$43)
+COUNTIF(N20,"Cenaze Yardımı (Eş-Çocuk)")*($AG$44)
+COUNTIF(N20,"Cenaze Yardımı (İşçi-İş Kazası Sonucu)")*($AG$45)
+COUNTIF(N20,"Cenaze Yardımı (İşçi-Tabii Sebepler Sonucu)")*($AG$46)
+COUNTIF(N20,"Doğal Afet Yardımı")*($AG$47)
+COUNTIF(N20,"Eğitim Yardımı (Çocuk-İlköğretim)")*(0)
+COUNTIF(N20,"Eğitim Yardımı (Çocuk-Ortaöğretim)")*(0)
+COUNTIF(N20,"Eğitim Yardımı (Çocuk-Lise)")*(0)
+COUNTIF(N20,"Eğitim Yardımı (Çocuk-Yükseköğretim)")*(0)
+COUNTIF(N20,"Eğitim Yardımı (İşçi-Lise)")*(0)
+COUNTIF(N20,"Eğitim Yardımı (İşçi-Yükseköğretim)")*(0)
+COUNTIF(N20,"Evlilik Yardımı")*($AG$54)
+COUNTIF(O20,"Yok")*(0)
+COUNTIF(O20,"Askerlik Yardımı")*(0)
+COUNTIF(O20,"Bayram Yardımı (Kurban)")*(0)
+COUNTIF(O20,"Bayram Yardımı (Ramazan)")*(0)
+COUNTIF(O20,"Cenaze Yardımı (Anne-Baba)")*($AG$43)
+COUNTIF(O20,"Cenaze Yardımı (Eş-Çocuk)")*($AG$44)
+COUNTIF(O20,"Cenaze Yardımı (İşçi-İş Kazası Sonucu)")*($AG$45)
+COUNTIF(O20,"Cenaze Yardımı (İşçi-Tabii Sebepler Sonucu)")*($AG$46)
+COUNTIF(O20,"Doğal Afet Yardımı")*($AG$47)
+COUNTIF(O20,"Eğitim Yardımı (Çocuk-İlköğretim)")*(0)
+COUNTIF(O20,"Eğitim Yardımı (Çocuk-Ortaöğretim)")*(0)
+COUNTIF(O20,"Eğitim Yardımı (Çocuk-Lise)")*(0)
+COUNTIF(O20,"Eğitim Yardımı (Çocuk-Yükseköğretim)")*(0)
+COUNTIF(O20,"Eğitim Yardımı (İşçi-Lise)")*(0)
+COUNTIF(O20,"Eğitim Yardımı (İşçi-Yükseköğretim)")*(0)
+COUNTIF(O20,"Evlilik Yardımı")*($AG$54)</f>
        <v>0</v>
      </c>
      <c r="AQ48" s="72">
        <f ca="1">COUNTIF(M20,"Yok")*(0)
+COUNTIF(M20,"Askerlik Yardımı")*($AG$40*AY78)
+COUNTIF(M20,"Bayram Yardımı (Kurban)")*($AG$41*AY78)
+COUNTIF(M20,"Bayram Yardımı (Ramazan)")*($AG$42*AY78)
+COUNTIF(M20,"Cenaze Yardımı (Anne-Baba)")*($AG$43-$AG$43*0.00759)
+COUNTIF(M20,"Cenaze Yardımı (Eş-Çocuk)")*($AG$44-$AG$44*0.00759)
+COUNTIF(M20,"Cenaze Yardımı (İşçi-İş Kazası Sonucu)")*($AG$45-$AG$45*0.00759)
+COUNTIF(M20,"Cenaze Yardımı (İşçi-Tabii Sebepler Sonucu)")*($AG$46-$AG$46*0.00759)
+COUNTIF(M20,"Doğal Afet Yardımı")*($AG$47-$AG$47*0.00759)
+COUNTIF(M20,"Eğitim Yardımı (Çocuk-İlköğretim)")*($AG$48*AY78)
+COUNTIF(M20,"Eğitim Yardımı (Çocuk-Ortaöğretim)")*($AG$49*AY78)
+COUNTIF(M20,"Eğitim Yardımı (Çocuk-Lise)")*($AG$50*AY78)
+COUNTIF(M20,"Eğitim Yardımı (Çocuk-Yükseköğretim)")*($AG$51*AY78)
+COUNTIF(M20,"Eğitim Yardımı (İşçi-Lise)")*($AG$52*AY78)
+COUNTIF(M20,"Eğitim Yardımı (İşçi-Yükseköğretim)")*($AG$53*AY78)
+COUNTIF(M20,"Evlilik Yardımı")*($AG$54-$AG$54*0.00759)
+COUNTIF(N20,"Yok")*(0)
+COUNTIF(N20,"Askerlik Yardımı")*($AG$40*AY78)
+COUNTIF(N20,"Bayram Yardımı (Kurban)")*($AG$41*AY78)
+COUNTIF(N20,"Bayram Yardımı (Ramazan)")*($AG$42*AY78)
+COUNTIF(N20,"Cenaze Yardımı (Anne-Baba)")*($AG$43-$AG$43*0.00759)
+COUNTIF(N20,"Cenaze Yardımı (Eş-Çocuk)")*($AG$44-$AG$44*0.00759)
+COUNTIF(N20,"Cenaze Yardımı (İşçi-İş Kazası Sonucu)")*($AG$45-$AG$45*0.00759)
+COUNTIF(N20,"Cenaze Yardımı (İşçi-Tabii Sebepler Sonucu)")*($AG$46-$AG$46*0.00759)
+COUNTIF(N20,"Doğal Afet Yardımı")*($AG$47-$AG$47*0.00759)
+COUNTIF(N20,"Eğitim Yardımı (Çocuk-İlköğretim)")*($AG$48*AY78)
+COUNTIF(N20,"Eğitim Yardımı (Çocuk-Ortaöğretim)")*($AG$49*AY78)
+COUNTIF(N20,"Eğitim Yardımı (Çocuk-Lise)")*($AG$50*AY78)
+COUNTIF(N20,"Eğitim Yardımı (Çocuk-Yükseköğretim)")*($AG$51*AY78)
+COUNTIF(N20,"Eğitim Yardımı (İşçi-Lise)")*($AG$52*AY78)
+COUNTIF(N20,"Eğitim Yardımı (İşçi-Yükseköğretim)")*($AG$53*AY78)
+COUNTIF(N20,"Evlilik Yardımı")*($AG$54-$AG$54*0.00759)
+COUNTIF(O20,"Yok")*(0)
+COUNTIF(O20,"Askerlik Yardımı")*($AG$40*AY78)
+COUNTIF(O20,"Bayram Yardımı (Kurban)")*($AG$41*AY78)
+COUNTIF(O20,"Bayram Yardımı (Ramazan)")*($AG$42*AY78)
+COUNTIF(O20,"Cenaze Yardımı (Anne-Baba)")*($AG$43-$AG$43*0.00759)
+COUNTIF(O20,"Cenaze Yardımı (Eş-Çocuk)")*($AG$44-$AG$44*0.00759)
+COUNTIF(O20,"Cenaze Yardımı (İşçi-İş Kazası Sonucu)")*($AG$45-$AG$45*0.00759)
+COUNTIF(O20,"Cenaze Yardımı (İşçi-Tabii Sebepler Sonucu)")*($AG$46-$AG$46*0.00759)
+COUNTIF(O20,"Doğal Afet Yardımı")*($AG$47-$AG$47*0.00759)
+COUNTIF(O20,"Eğitim Yardımı (Çocuk-İlköğretim)")*($AG$48*AY78)
+COUNTIF(O20,"Eğitim Yardımı (Çocuk-Ortaöğretim)")*($AG$49*AY78)
+COUNTIF(O20,"Eğitim Yardımı (Çocuk-Lise)")*($AG$50*AY78)
+COUNTIF(O20,"Eğitim Yardımı (Çocuk-Yükseköğretim)")*($AG$51*AY78)
+COUNTIF(O20,"Eğitim Yardımı (İşçi-Lise)")*($AG$52*AY78)
+COUNTIF(O20,"Eğitim Yardımı (İşçi-Yükseköğretim)")*($AG$53*AY78)
+COUNTIF(O20,"Evlilik Yardımı")*($AG$54-$AG$54*0.00759)</f>
        <v>0</v>
      </c>
      <c r="AR48" s="73" t="s">
        <v>7</v>
      </c>
      <c r="AS48" s="52">
        <f>COUNTIF(AR48,"Var")*(AN20*-1)</f>
        <v>-2115.17</v>
      </c>
      <c r="AT48" s="52">
        <f t="shared" si="57"/>
        <v>2115.17</v>
      </c>
      <c r="AU48" s="72">
        <f ca="1">(AK78*P20+AV48)*-1</f>
        <v>0</v>
      </c>
      <c r="AV48" s="72">
        <f>(AW20+AY20+AI6+AK6+AM6-AT6)*(P20*-1)</f>
        <v>0</v>
      </c>
      <c r="AW48" s="72">
        <f t="shared" ca="1" si="58"/>
        <v>0</v>
      </c>
      <c r="AX48" s="52">
        <f>(49.52*J20)</f>
        <v>1287.52</v>
      </c>
      <c r="BE48" s="51">
        <v>46</v>
      </c>
      <c r="BF48" s="54">
        <v>23</v>
      </c>
      <c r="BG48" s="55">
        <v>0.48</v>
      </c>
    </row>
    <row r="49" spans="31:59" ht="39.950000000000003" hidden="1" customHeight="1" x14ac:dyDescent="0.25">
      <c r="AE49" s="70" t="s">
        <v>59</v>
      </c>
      <c r="AF49" s="72">
        <v>2131.62</v>
      </c>
      <c r="AG49" s="72">
        <v>2131.62</v>
      </c>
      <c r="AH49" s="52">
        <f ca="1">(AX49*AY79)</f>
        <v>789.1338831999999</v>
      </c>
      <c r="AI49" s="52">
        <f>(29.3*K21)</f>
        <v>0</v>
      </c>
      <c r="AJ49" s="52">
        <f ca="1">(AI49*AY79)</f>
        <v>0</v>
      </c>
      <c r="AK49" s="52">
        <f>(276.5*L21)</f>
        <v>0</v>
      </c>
      <c r="AL49" s="52">
        <f ca="1">AK49-(AK49*0.00759)-((AK49-AM49)*0.14)-((AK49-AM49)*0.01)-((AK49-(AK49-AM49)*0.14-(AK49-AM49)*0.01)-AN49)*AT79</f>
        <v>0</v>
      </c>
      <c r="AM49" s="52">
        <f>IF(AK49&lt;=$AG$4*2,AK49,$AG$4*2)</f>
        <v>0</v>
      </c>
      <c r="AN49" s="52">
        <f>IF(AK49&lt;=$AG$7*2,AK49,$AG$7*2)</f>
        <v>0</v>
      </c>
      <c r="AO49" s="72">
        <f>COUNTIF(M21,"Yok")*(0)
+COUNTIF(M21,"Askerlik Yardımı")*($AG$40)
+COUNTIF(M21,"Bayram Yardımı (Kurban)")*($AG$41)
+COUNTIF(M21,"Bayram Yardımı (Ramazan)")*($AG$42)
+COUNTIF(M21,"Cenaze Yardımı (Anne-Baba)")*($AG$43)
+COUNTIF(M21,"Cenaze Yardımı (Eş-Çocuk)")*($AG$44)
+COUNTIF(M21,"Cenaze Yardımı (İşçi-İş Kazası Sonucu)")*($AG$45)
+COUNTIF(M21,"Cenaze Yardımı (İşçi-Tabii Sebepler Sonucu)")*($AG$46)
+COUNTIF(M21,"Doğal Afet Yardımı")*($AG$47)
+COUNTIF(M21,"Eğitim Yardımı (Çocuk-İlköğretim)")*($AG$48)
+COUNTIF(M21,"Eğitim Yardımı (Çocuk-Ortaöğretim)")*($AG$49)
+COUNTIF(M21,"Eğitim Yardımı (Çocuk-Lise)")*($AG$50)
+COUNTIF(M21,"Eğitim Yardımı (Çocuk-Yükseköğretim)")*($AG$51)
+COUNTIF(M21,"Eğitim Yardımı (İşçi-Lise)")*($AG$52)
+COUNTIF(M21,"Eğitim Yardımı (İşçi-Yükseköğretim)")*($AG$53)
+COUNTIF(M21,"Evlilik Yardımı")*($AG$54)
+COUNTIF(N21,"Yok")*(0)
+COUNTIF(N21,"Askerlik Yardımı")*($AG$40)
+COUNTIF(N21,"Bayram Yardımı (Kurban)")*($AG$41)
+COUNTIF(N21,"Bayram Yardımı (Ramazan)")*($AG$42)
+COUNTIF(N21,"Cenaze Yardımı (Anne-Baba)")*($AG$43)
+COUNTIF(N21,"Cenaze Yardımı (Eş-Çocuk)")*($AG$44)
+COUNTIF(N21,"Cenaze Yardımı (İşçi-İş Kazası Sonucu)")*($AG$45)
+COUNTIF(N21,"Cenaze Yardımı (İşçi-Tabii Sebepler Sonucu)")*($AG$46)
+COUNTIF(N21,"Doğal Afet Yardımı")*($AG$47)
+COUNTIF(N21,"Eğitim Yardımı (Çocuk-İlköğretim)")*($AG$48)
+COUNTIF(N21,"Eğitim Yardımı (Çocuk-Ortaöğretim)")*($AG$49)
+COUNTIF(N21,"Eğitim Yardımı (Çocuk-Lise)")*($AG$50)
+COUNTIF(N21,"Eğitim Yardımı (Çocuk-Yükseköğretim)")*($AG$51)
+COUNTIF(N21,"Eğitim Yardımı (İşçi-Lise)")*($AG$52)
+COUNTIF(N21,"Eğitim Yardımı (İşçi-Yükseköğretim)")*($AG$53)
+COUNTIF(N21,"Evlilik Yardımı")*($AG$54)
+COUNTIF(O21,"Yok")*(0)
+COUNTIF(O21,"Askerlik Yardımı")*($AG$40)
+COUNTIF(O21,"Bayram Yardımı (Kurban)")*($AG$41)
+COUNTIF(O21,"Bayram Yardımı (Ramazan)")*($AG$42)
+COUNTIF(O21,"Cenaze Yardımı (Anne-Baba)")*($AG$43)
+COUNTIF(O21,"Cenaze Yardımı (Eş-Çocuk)")*($AG$44)
+COUNTIF(O21,"Cenaze Yardımı (İşçi-İş Kazası Sonucu)")*($AG$45)
+COUNTIF(O21,"Cenaze Yardımı (İşçi-Tabii Sebepler Sonucu)")*($AG$46)
+COUNTIF(O21,"Doğal Afet Yardımı")*($AG$47)
+COUNTIF(O21,"Eğitim Yardımı (Çocuk-İlköğretim)")*($AG$48)
+COUNTIF(O21,"Eğitim Yardımı (Çocuk-Ortaöğretim)")*($AG$49)
+COUNTIF(O21,"Eğitim Yardımı (Çocuk-Lise)")*($AG$50)
+COUNTIF(O21,"Eğitim Yardımı (Çocuk-Yükseköğretim)")*($AG$51)
+COUNTIF(O21,"Eğitim Yardımı (İşçi-Lise)")*($AG$52)
+COUNTIF(O21,"Eğitim Yardımı (İşçi-Yükseköğretim)")*($AG$53)
+COUNTIF(O21,"Evlilik Yardımı")*($AG$54)</f>
        <v>0</v>
      </c>
      <c r="AP49" s="72">
        <f>COUNTIF(M21,"Yok")*(0)
+COUNTIF(M21,"Askerlik Yardımı")*(0)
+COUNTIF(M21,"Bayram Yardımı (Kurban)")*(0)
+COUNTIF(M21,"Bayram Yardımı (Ramazan)")*(0)
+COUNTIF(M21,"Cenaze Yardımı (Anne-Baba)")*($AG$43)
+COUNTIF(M21,"Cenaze Yardımı (Eş-Çocuk)")*($AG$44)
+COUNTIF(M21,"Cenaze Yardımı (İşçi-İş Kazası Sonucu)")*($AG$45)
+COUNTIF(M21,"Cenaze Yardımı (İşçi-Tabii Sebepler Sonucu)")*($AG$46)
+COUNTIF(M21,"Doğal Afet Yardımı")*($AG$47)
+COUNTIF(M21,"Eğitim Yardımı (Çocuk-İlköğretim)")*(0)
+COUNTIF(M21,"Eğitim Yardımı (Çocuk-Ortaöğretim)")*(0)
+COUNTIF(M21,"Eğitim Yardımı (Çocuk-Lise)")*(0)
+COUNTIF(M21,"Eğitim Yardımı (Çocuk-Yükseköğretim)")*(0)
+COUNTIF(M21,"Eğitim Yardımı (İşçi-Lise)")*(0)
+COUNTIF(M21,"Eğitim Yardımı (İşçi-Yükseköğretim)")*(0)
+COUNTIF(M21,"Evlilik Yardımı")*($AG$54)
+COUNTIF(N21,"Yok")*(0)
+COUNTIF(N21,"Askerlik Yardımı")*(0)
+COUNTIF(N21,"Bayram Yardımı (Kurban)")*(0)
+COUNTIF(N21,"Bayram Yardımı (Ramazan)")*(0)
+COUNTIF(N21,"Cenaze Yardımı (Anne-Baba)")*($AG$43)
+COUNTIF(N21,"Cenaze Yardımı (Eş-Çocuk)")*($AG$44)
+COUNTIF(N21,"Cenaze Yardımı (İşçi-İş Kazası Sonucu)")*($AG$45)
+COUNTIF(N21,"Cenaze Yardımı (İşçi-Tabii Sebepler Sonucu)")*($AG$46)
+COUNTIF(N21,"Doğal Afet Yardımı")*($AG$47)
+COUNTIF(N21,"Eğitim Yardımı (Çocuk-İlköğretim)")*(0)
+COUNTIF(N21,"Eğitim Yardımı (Çocuk-Ortaöğretim)")*(0)
+COUNTIF(N21,"Eğitim Yardımı (Çocuk-Lise)")*(0)
+COUNTIF(N21,"Eğitim Yardımı (Çocuk-Yükseköğretim)")*(0)
+COUNTIF(N21,"Eğitim Yardımı (İşçi-Lise)")*(0)
+COUNTIF(N21,"Eğitim Yardımı (İşçi-Yükseköğretim)")*(0)
+COUNTIF(N21,"Evlilik Yardımı")*($AG$54)
+COUNTIF(O21,"Yok")*(0)
+COUNTIF(O21,"Askerlik Yardımı")*(0)
+COUNTIF(O21,"Bayram Yardımı (Kurban)")*(0)
+COUNTIF(O21,"Bayram Yardımı (Ramazan)")*(0)
+COUNTIF(O21,"Cenaze Yardımı (Anne-Baba)")*($AG$43)
+COUNTIF(O21,"Cenaze Yardımı (Eş-Çocuk)")*($AG$44)
+COUNTIF(O21,"Cenaze Yardımı (İşçi-İş Kazası Sonucu)")*($AG$45)
+COUNTIF(O21,"Cenaze Yardımı (İşçi-Tabii Sebepler Sonucu)")*($AG$46)
+COUNTIF(O21,"Doğal Afet Yardımı")*($AG$47)
+COUNTIF(O21,"Eğitim Yardımı (Çocuk-İlköğretim)")*(0)
+COUNTIF(O21,"Eğitim Yardımı (Çocuk-Ortaöğretim)")*(0)
+COUNTIF(O21,"Eğitim Yardımı (Çocuk-Lise)")*(0)
+COUNTIF(O21,"Eğitim Yardımı (Çocuk-Yükseköğretim)")*(0)
+COUNTIF(O21,"Eğitim Yardımı (İşçi-Lise)")*(0)
+COUNTIF(O21,"Eğitim Yardımı (İşçi-Yükseköğretim)")*(0)
+COUNTIF(O21,"Evlilik Yardımı")*($AG$54)</f>
        <v>0</v>
      </c>
      <c r="AQ49" s="72">
        <f ca="1">COUNTIF(M21,"Yok")*(0)
+COUNTIF(M21,"Askerlik Yardımı")*($AG$40*AY79)
+COUNTIF(M21,"Bayram Yardımı (Kurban)")*($AG$41*AY79)
+COUNTIF(M21,"Bayram Yardımı (Ramazan)")*($AG$42*AY79)
+COUNTIF(M21,"Cenaze Yardımı (Anne-Baba)")*($AG$43-$AG$43*0.00759)
+COUNTIF(M21,"Cenaze Yardımı (Eş-Çocuk)")*($AG$44-$AG$44*0.00759)
+COUNTIF(M21,"Cenaze Yardımı (İşçi-İş Kazası Sonucu)")*($AG$45-$AG$45*0.00759)
+COUNTIF(M21,"Cenaze Yardımı (İşçi-Tabii Sebepler Sonucu)")*($AG$46-$AG$46*0.00759)
+COUNTIF(M21,"Doğal Afet Yardımı")*($AG$47-$AG$47*0.00759)
+COUNTIF(M21,"Eğitim Yardımı (Çocuk-İlköğretim)")*($AG$48*AY79)
+COUNTIF(M21,"Eğitim Yardımı (Çocuk-Ortaöğretim)")*($AG$49*AY79)
+COUNTIF(M21,"Eğitim Yardımı (Çocuk-Lise)")*($AG$50*AY79)
+COUNTIF(M21,"Eğitim Yardımı (Çocuk-Yükseköğretim)")*($AG$51*AY79)
+COUNTIF(M21,"Eğitim Yardımı (İşçi-Lise)")*($AG$52*AY79)
+COUNTIF(M21,"Eğitim Yardımı (İşçi-Yükseköğretim)")*($AG$53*AY79)
+COUNTIF(M21,"Evlilik Yardımı")*($AG$54-$AG$54*0.00759)
+COUNTIF(N21,"Yok")*(0)
+COUNTIF(N21,"Askerlik Yardımı")*($AG$40*AY79)
+COUNTIF(N21,"Bayram Yardımı (Kurban)")*($AG$41*AY79)
+COUNTIF(N21,"Bayram Yardımı (Ramazan)")*($AG$42*AY79)
+COUNTIF(N21,"Cenaze Yardımı (Anne-Baba)")*($AG$43-$AG$43*0.00759)
+COUNTIF(N21,"Cenaze Yardımı (Eş-Çocuk)")*($AG$44-$AG$44*0.00759)
+COUNTIF(N21,"Cenaze Yardımı (İşçi-İş Kazası Sonucu)")*($AG$45-$AG$45*0.00759)
+COUNTIF(N21,"Cenaze Yardımı (İşçi-Tabii Sebepler Sonucu)")*($AG$46-$AG$46*0.00759)
+COUNTIF(N21,"Doğal Afet Yardımı")*($AG$47-$AG$47*0.00759)
+COUNTIF(N21,"Eğitim Yardımı (Çocuk-İlköğretim)")*($AG$48*AY79)
+COUNTIF(N21,"Eğitim Yardımı (Çocuk-Ortaöğretim)")*($AG$49*AY79)
+COUNTIF(N21,"Eğitim Yardımı (Çocuk-Lise)")*($AG$50*AY79)
+COUNTIF(N21,"Eğitim Yardımı (Çocuk-Yükseköğretim)")*($AG$51*AY79)
+COUNTIF(N21,"Eğitim Yardımı (İşçi-Lise)")*($AG$52*AY79)
+COUNTIF(N21,"Eğitim Yardımı (İşçi-Yükseköğretim)")*($AG$53*AY79)
+COUNTIF(N21,"Evlilik Yardımı")*($AG$54-$AG$54*0.00759)
+COUNTIF(O21,"Yok")*(0)
+COUNTIF(O21,"Askerlik Yardımı")*($AG$40*AY79)
+COUNTIF(O21,"Bayram Yardımı (Kurban)")*($AG$41*AY79)
+COUNTIF(O21,"Bayram Yardımı (Ramazan)")*($AG$42*AY79)
+COUNTIF(O21,"Cenaze Yardımı (Anne-Baba)")*($AG$43-$AG$43*0.00759)
+COUNTIF(O21,"Cenaze Yardımı (Eş-Çocuk)")*($AG$44-$AG$44*0.00759)
+COUNTIF(O21,"Cenaze Yardımı (İşçi-İş Kazası Sonucu)")*($AG$45-$AG$45*0.00759)
+COUNTIF(O21,"Cenaze Yardımı (İşçi-Tabii Sebepler Sonucu)")*($AG$46-$AG$46*0.00759)
+COUNTIF(O21,"Doğal Afet Yardımı")*($AG$47-$AG$47*0.00759)
+COUNTIF(O21,"Eğitim Yardımı (Çocuk-İlköğretim)")*($AG$48*AY79)
+COUNTIF(O21,"Eğitim Yardımı (Çocuk-Ortaöğretim)")*($AG$49*AY79)
+COUNTIF(O21,"Eğitim Yardımı (Çocuk-Lise)")*($AG$50*AY79)
+COUNTIF(O21,"Eğitim Yardımı (Çocuk-Yükseköğretim)")*($AG$51*AY79)
+COUNTIF(O21,"Eğitim Yardımı (İşçi-Lise)")*($AG$52*AY79)
+COUNTIF(O21,"Eğitim Yardımı (İşçi-Yükseköğretim)")*($AG$53*AY79)
+COUNTIF(O21,"Evlilik Yardımı")*($AG$54-$AG$54*0.00759)</f>
        <v>0</v>
      </c>
      <c r="AR49" s="73" t="s">
        <v>7</v>
      </c>
      <c r="AS49" s="52">
        <f>COUNTIF(AR49,"Var")*(AN21*-1)</f>
        <v>-2115.17</v>
      </c>
      <c r="AT49" s="52">
        <f t="shared" si="57"/>
        <v>2115.17</v>
      </c>
      <c r="AU49" s="72">
        <f ca="1">(AK79*P21+AV49)*-1</f>
        <v>0</v>
      </c>
      <c r="AV49" s="72">
        <f>(AW21+AY21+AI7+AK7+AM7-AT7)*(P21*-1)</f>
        <v>0</v>
      </c>
      <c r="AW49" s="72">
        <f t="shared" ca="1" si="58"/>
        <v>0</v>
      </c>
      <c r="AX49" s="52">
        <f>(49.52*J21)</f>
        <v>1287.52</v>
      </c>
      <c r="BE49" s="51">
        <v>47</v>
      </c>
      <c r="BF49" s="54">
        <v>23.5</v>
      </c>
      <c r="BG49" s="55">
        <v>0.49</v>
      </c>
    </row>
    <row r="50" spans="31:59" ht="39.950000000000003" hidden="1" customHeight="1" x14ac:dyDescent="0.25">
      <c r="AE50" s="70" t="s">
        <v>60</v>
      </c>
      <c r="AF50" s="72">
        <v>2415.84</v>
      </c>
      <c r="AG50" s="72">
        <v>2415.84</v>
      </c>
      <c r="AH50" s="52">
        <f ca="1">(AX50*AY80)</f>
        <v>789.1338831999999</v>
      </c>
      <c r="AI50" s="52">
        <f>(29.3*K22)</f>
        <v>0</v>
      </c>
      <c r="AJ50" s="52">
        <f ca="1">(AI50*AY80)</f>
        <v>0</v>
      </c>
      <c r="AK50" s="52">
        <f>(276.5*L22)</f>
        <v>0</v>
      </c>
      <c r="AL50" s="52">
        <f ca="1">AK50-(AK50*0.00759)-((AK50-AM50)*0.14)-((AK50-AM50)*0.01)-((AK50-(AK50-AM50)*0.14-(AK50-AM50)*0.01)-AN50)*AT80</f>
        <v>0</v>
      </c>
      <c r="AM50" s="52">
        <f>IF(AK50&lt;=$AG$4*2,AK50,$AG$4*2)</f>
        <v>0</v>
      </c>
      <c r="AN50" s="52">
        <f>IF(AK50&lt;=$AG$7*2,AK50,$AG$7*2)</f>
        <v>0</v>
      </c>
      <c r="AO50" s="72">
        <f>COUNTIF(M22,"Yok")*(0)
+COUNTIF(M22,"Askerlik Yardımı")*($AG$40)
+COUNTIF(M22,"Bayram Yardımı (Kurban)")*($AG$41)
+COUNTIF(M22,"Bayram Yardımı (Ramazan)")*($AG$42)
+COUNTIF(M22,"Cenaze Yardımı (Anne-Baba)")*($AG$43)
+COUNTIF(M22,"Cenaze Yardımı (Eş-Çocuk)")*($AG$44)
+COUNTIF(M22,"Cenaze Yardımı (İşçi-İş Kazası Sonucu)")*($AG$45)
+COUNTIF(M22,"Cenaze Yardımı (İşçi-Tabii Sebepler Sonucu)")*($AG$46)
+COUNTIF(M22,"Doğal Afet Yardımı")*($AG$47)
+COUNTIF(M22,"Eğitim Yardımı (Çocuk-İlköğretim)")*($AG$48)
+COUNTIF(M22,"Eğitim Yardımı (Çocuk-Ortaöğretim)")*($AG$49)
+COUNTIF(M22,"Eğitim Yardımı (Çocuk-Lise)")*($AG$50)
+COUNTIF(M22,"Eğitim Yardımı (Çocuk-Yükseköğretim)")*($AG$51)
+COUNTIF(M22,"Eğitim Yardımı (İşçi-Lise)")*($AG$52)
+COUNTIF(M22,"Eğitim Yardımı (İşçi-Yükseköğretim)")*($AG$53)
+COUNTIF(M22,"Evlilik Yardımı")*($AG$54)
+COUNTIF(N22,"Yok")*(0)
+COUNTIF(N22,"Askerlik Yardımı")*($AG$40)
+COUNTIF(N22,"Bayram Yardımı (Kurban)")*($AG$41)
+COUNTIF(N22,"Bayram Yardımı (Ramazan)")*($AG$42)
+COUNTIF(N22,"Cenaze Yardımı (Anne-Baba)")*($AG$43)
+COUNTIF(N22,"Cenaze Yardımı (Eş-Çocuk)")*($AG$44)
+COUNTIF(N22,"Cenaze Yardımı (İşçi-İş Kazası Sonucu)")*($AG$45)
+COUNTIF(N22,"Cenaze Yardımı (İşçi-Tabii Sebepler Sonucu)")*($AG$46)
+COUNTIF(N22,"Doğal Afet Yardımı")*($AG$47)
+COUNTIF(N22,"Eğitim Yardımı (Çocuk-İlköğretim)")*($AG$48)
+COUNTIF(N22,"Eğitim Yardımı (Çocuk-Ortaöğretim)")*($AG$49)
+COUNTIF(N22,"Eğitim Yardımı (Çocuk-Lise)")*($AG$50)
+COUNTIF(N22,"Eğitim Yardımı (Çocuk-Yükseköğretim)")*($AG$51)
+COUNTIF(N22,"Eğitim Yardımı (İşçi-Lise)")*($AG$52)
+COUNTIF(N22,"Eğitim Yardımı (İşçi-Yükseköğretim)")*($AG$53)
+COUNTIF(N22,"Evlilik Yardımı")*($AG$54)
+COUNTIF(O22,"Yok")*(0)
+COUNTIF(O22,"Askerlik Yardımı")*($AG$40)
+COUNTIF(O22,"Bayram Yardımı (Kurban)")*($AG$41)
+COUNTIF(O22,"Bayram Yardımı (Ramazan)")*($AG$42)
+COUNTIF(O22,"Cenaze Yardımı (Anne-Baba)")*($AG$43)
+COUNTIF(O22,"Cenaze Yardımı (Eş-Çocuk)")*($AG$44)
+COUNTIF(O22,"Cenaze Yardımı (İşçi-İş Kazası Sonucu)")*($AG$45)
+COUNTIF(O22,"Cenaze Yardımı (İşçi-Tabii Sebepler Sonucu)")*($AG$46)
+COUNTIF(O22,"Doğal Afet Yardımı")*($AG$47)
+COUNTIF(O22,"Eğitim Yardımı (Çocuk-İlköğretim)")*($AG$48)
+COUNTIF(O22,"Eğitim Yardımı (Çocuk-Ortaöğretim)")*($AG$49)
+COUNTIF(O22,"Eğitim Yardımı (Çocuk-Lise)")*($AG$50)
+COUNTIF(O22,"Eğitim Yardımı (Çocuk-Yükseköğretim)")*($AG$51)
+COUNTIF(O22,"Eğitim Yardımı (İşçi-Lise)")*($AG$52)
+COUNTIF(O22,"Eğitim Yardımı (İşçi-Yükseköğretim)")*($AG$53)
+COUNTIF(O22,"Evlilik Yardımı")*($AG$54)</f>
        <v>0</v>
      </c>
      <c r="AP50" s="72">
        <f>COUNTIF(M22,"Yok")*(0)
+COUNTIF(M22,"Askerlik Yardımı")*(0)
+COUNTIF(M22,"Bayram Yardımı (Kurban)")*(0)
+COUNTIF(M22,"Bayram Yardımı (Ramazan)")*(0)
+COUNTIF(M22,"Cenaze Yardımı (Anne-Baba)")*($AG$43)
+COUNTIF(M22,"Cenaze Yardımı (Eş-Çocuk)")*($AG$44)
+COUNTIF(M22,"Cenaze Yardımı (İşçi-İş Kazası Sonucu)")*($AG$45)
+COUNTIF(M22,"Cenaze Yardımı (İşçi-Tabii Sebepler Sonucu)")*($AG$46)
+COUNTIF(M22,"Doğal Afet Yardımı")*($AG$47)
+COUNTIF(M22,"Eğitim Yardımı (Çocuk-İlköğretim)")*(0)
+COUNTIF(M22,"Eğitim Yardımı (Çocuk-Ortaöğretim)")*(0)
+COUNTIF(M22,"Eğitim Yardımı (Çocuk-Lise)")*(0)
+COUNTIF(M22,"Eğitim Yardımı (Çocuk-Yükseköğretim)")*(0)
+COUNTIF(M22,"Eğitim Yardımı (İşçi-Lise)")*(0)
+COUNTIF(M22,"Eğitim Yardımı (İşçi-Yükseköğretim)")*(0)
+COUNTIF(M22,"Evlilik Yardımı")*($AG$54)
+COUNTIF(N22,"Yok")*(0)
+COUNTIF(N22,"Askerlik Yardımı")*(0)
+COUNTIF(N22,"Bayram Yardımı (Kurban)")*(0)
+COUNTIF(N22,"Bayram Yardımı (Ramazan)")*(0)
+COUNTIF(N22,"Cenaze Yardımı (Anne-Baba)")*($AG$43)
+COUNTIF(N22,"Cenaze Yardımı (Eş-Çocuk)")*($AG$44)
+COUNTIF(N22,"Cenaze Yardımı (İşçi-İş Kazası Sonucu)")*($AG$45)
+COUNTIF(N22,"Cenaze Yardımı (İşçi-Tabii Sebepler Sonucu)")*($AG$46)
+COUNTIF(N22,"Doğal Afet Yardımı")*($AG$47)
+COUNTIF(N22,"Eğitim Yardımı (Çocuk-İlköğretim)")*(0)
+COUNTIF(N22,"Eğitim Yardımı (Çocuk-Ortaöğretim)")*(0)
+COUNTIF(N22,"Eğitim Yardımı (Çocuk-Lise)")*(0)
+COUNTIF(N22,"Eğitim Yardımı (Çocuk-Yükseköğretim)")*(0)
+COUNTIF(N22,"Eğitim Yardımı (İşçi-Lise)")*(0)
+COUNTIF(N22,"Eğitim Yardımı (İşçi-Yükseköğretim)")*(0)
+COUNTIF(N22,"Evlilik Yardımı")*($AG$54)
+COUNTIF(O22,"Yok")*(0)
+COUNTIF(O22,"Askerlik Yardımı")*(0)
+COUNTIF(O22,"Bayram Yardımı (Kurban)")*(0)
+COUNTIF(O22,"Bayram Yardımı (Ramazan)")*(0)
+COUNTIF(O22,"Cenaze Yardımı (Anne-Baba)")*($AG$43)
+COUNTIF(O22,"Cenaze Yardımı (Eş-Çocuk)")*($AG$44)
+COUNTIF(O22,"Cenaze Yardımı (İşçi-İş Kazası Sonucu)")*($AG$45)
+COUNTIF(O22,"Cenaze Yardımı (İşçi-Tabii Sebepler Sonucu)")*($AG$46)
+COUNTIF(O22,"Doğal Afet Yardımı")*($AG$47)
+COUNTIF(O22,"Eğitim Yardımı (Çocuk-İlköğretim)")*(0)
+COUNTIF(O22,"Eğitim Yardımı (Çocuk-Ortaöğretim)")*(0)
+COUNTIF(O22,"Eğitim Yardımı (Çocuk-Lise)")*(0)
+COUNTIF(O22,"Eğitim Yardımı (Çocuk-Yükseköğretim)")*(0)
+COUNTIF(O22,"Eğitim Yardımı (İşçi-Lise)")*(0)
+COUNTIF(O22,"Eğitim Yardımı (İşçi-Yükseköğretim)")*(0)
+COUNTIF(O22,"Evlilik Yardımı")*($AG$54)</f>
        <v>0</v>
      </c>
      <c r="AQ50" s="72">
        <f ca="1">COUNTIF(M22,"Yok")*(0)
+COUNTIF(M22,"Askerlik Yardımı")*($AG$40*AY80)
+COUNTIF(M22,"Bayram Yardımı (Kurban)")*($AG$41*AY80)
+COUNTIF(M22,"Bayram Yardımı (Ramazan)")*($AG$42*AY80)
+COUNTIF(M22,"Cenaze Yardımı (Anne-Baba)")*($AG$43-$AG$43*0.00759)
+COUNTIF(M22,"Cenaze Yardımı (Eş-Çocuk)")*($AG$44-$AG$44*0.00759)
+COUNTIF(M22,"Cenaze Yardımı (İşçi-İş Kazası Sonucu)")*($AG$45-$AG$45*0.00759)
+COUNTIF(M22,"Cenaze Yardımı (İşçi-Tabii Sebepler Sonucu)")*($AG$46-$AG$46*0.00759)
+COUNTIF(M22,"Doğal Afet Yardımı")*($AG$47-$AG$47*0.00759)
+COUNTIF(M22,"Eğitim Yardımı (Çocuk-İlköğretim)")*($AG$48*AY80)
+COUNTIF(M22,"Eğitim Yardımı (Çocuk-Ortaöğretim)")*($AG$49*AY80)
+COUNTIF(M22,"Eğitim Yardımı (Çocuk-Lise)")*($AG$50*AY80)
+COUNTIF(M22,"Eğitim Yardımı (Çocuk-Yükseköğretim)")*($AG$51*AY80)
+COUNTIF(M22,"Eğitim Yardımı (İşçi-Lise)")*($AG$52*AY80)
+COUNTIF(M22,"Eğitim Yardımı (İşçi-Yükseköğretim)")*($AG$53*AY80)
+COUNTIF(M22,"Evlilik Yardımı")*($AG$54-$AG$54*0.00759)
+COUNTIF(N22,"Yok")*(0)
+COUNTIF(N22,"Askerlik Yardımı")*($AG$40*AY80)
+COUNTIF(N22,"Bayram Yardımı (Kurban)")*($AG$41*AY80)
+COUNTIF(N22,"Bayram Yardımı (Ramazan)")*($AG$42*AY80)
+COUNTIF(N22,"Cenaze Yardımı (Anne-Baba)")*($AG$43-$AG$43*0.00759)
+COUNTIF(N22,"Cenaze Yardımı (Eş-Çocuk)")*($AG$44-$AG$44*0.00759)
+COUNTIF(N22,"Cenaze Yardımı (İşçi-İş Kazası Sonucu)")*($AG$45-$AG$45*0.00759)
+COUNTIF(N22,"Cenaze Yardımı (İşçi-Tabii Sebepler Sonucu)")*($AG$46-$AG$46*0.00759)
+COUNTIF(N22,"Doğal Afet Yardımı")*($AG$47-$AG$47*0.00759)
+COUNTIF(N22,"Eğitim Yardımı (Çocuk-İlköğretim)")*($AG$48*AY80)
+COUNTIF(N22,"Eğitim Yardımı (Çocuk-Ortaöğretim)")*($AG$49*AY80)
+COUNTIF(N22,"Eğitim Yardımı (Çocuk-Lise)")*($AG$50*AY80)
+COUNTIF(N22,"Eğitim Yardımı (Çocuk-Yükseköğretim)")*($AG$51*AY80)
+COUNTIF(N22,"Eğitim Yardımı (İşçi-Lise)")*($AG$52*AY80)
+COUNTIF(N22,"Eğitim Yardımı (İşçi-Yükseköğretim)")*($AG$53*AY80)
+COUNTIF(N22,"Evlilik Yardımı")*($AG$54-$AG$54*0.00759)
+COUNTIF(O22,"Yok")*(0)
+COUNTIF(O22,"Askerlik Yardımı")*($AG$40*AY80)
+COUNTIF(O22,"Bayram Yardımı (Kurban)")*($AG$41*AY80)
+COUNTIF(O22,"Bayram Yardımı (Ramazan)")*($AG$42*AY80)
+COUNTIF(O22,"Cenaze Yardımı (Anne-Baba)")*($AG$43-$AG$43*0.00759)
+COUNTIF(O22,"Cenaze Yardımı (Eş-Çocuk)")*($AG$44-$AG$44*0.00759)
+COUNTIF(O22,"Cenaze Yardımı (İşçi-İş Kazası Sonucu)")*($AG$45-$AG$45*0.00759)
+COUNTIF(O22,"Cenaze Yardımı (İşçi-Tabii Sebepler Sonucu)")*($AG$46-$AG$46*0.00759)
+COUNTIF(O22,"Doğal Afet Yardımı")*($AG$47-$AG$47*0.00759)
+COUNTIF(O22,"Eğitim Yardımı (Çocuk-İlköğretim)")*($AG$48*AY80)
+COUNTIF(O22,"Eğitim Yardımı (Çocuk-Ortaöğretim)")*($AG$49*AY80)
+COUNTIF(O22,"Eğitim Yardımı (Çocuk-Lise)")*($AG$50*AY80)
+COUNTIF(O22,"Eğitim Yardımı (Çocuk-Yükseköğretim)")*($AG$51*AY80)
+COUNTIF(O22,"Eğitim Yardımı (İşçi-Lise)")*($AG$52*AY80)
+COUNTIF(O22,"Eğitim Yardımı (İşçi-Yükseköğretim)")*($AG$53*AY80)
+COUNTIF(O22,"Evlilik Yardımı")*($AG$54-$AG$54*0.00759)</f>
        <v>0</v>
      </c>
      <c r="AR50" s="73" t="s">
        <v>7</v>
      </c>
      <c r="AS50" s="52">
        <f>COUNTIF(AR50,"Var")*(AN22*-1)</f>
        <v>-2115.17</v>
      </c>
      <c r="AT50" s="52">
        <f t="shared" si="57"/>
        <v>2115.17</v>
      </c>
      <c r="AU50" s="72">
        <f ca="1">(AK80*P22+AV50)*-1</f>
        <v>0</v>
      </c>
      <c r="AV50" s="72">
        <f>(AW22+AY22+AI8+AK8+AM8-AT8)*(P22*-1)</f>
        <v>0</v>
      </c>
      <c r="AW50" s="72">
        <f t="shared" ca="1" si="58"/>
        <v>0</v>
      </c>
      <c r="AX50" s="52">
        <f>(49.52*J22)</f>
        <v>1287.52</v>
      </c>
      <c r="BE50" s="51">
        <v>48</v>
      </c>
      <c r="BF50" s="54">
        <v>24</v>
      </c>
      <c r="BG50" s="55">
        <v>0.5</v>
      </c>
    </row>
    <row r="51" spans="31:59" ht="39.950000000000003" hidden="1" customHeight="1" x14ac:dyDescent="0.25">
      <c r="AE51" s="70" t="s">
        <v>61</v>
      </c>
      <c r="AF51" s="72">
        <v>2842.16</v>
      </c>
      <c r="AG51" s="72">
        <v>2842.16</v>
      </c>
      <c r="AH51" s="52">
        <f ca="1">(AX51*AY81)</f>
        <v>789.1338831999999</v>
      </c>
      <c r="AI51" s="52">
        <f>(29.3*K23)</f>
        <v>0</v>
      </c>
      <c r="AJ51" s="52">
        <f ca="1">(AI51*AY81)</f>
        <v>0</v>
      </c>
      <c r="AK51" s="52">
        <f>(276.5*L23)</f>
        <v>0</v>
      </c>
      <c r="AL51" s="52">
        <f ca="1">AK51-(AK51*0.00759)-((AK51-AM51)*0.14)-((AK51-AM51)*0.01)-((AK51-(AK51-AM51)*0.14-(AK51-AM51)*0.01)-AN51)*AT81</f>
        <v>0</v>
      </c>
      <c r="AM51" s="52">
        <f>IF(AK51&lt;=$AG$4*2,AK51,$AG$4*2)</f>
        <v>0</v>
      </c>
      <c r="AN51" s="52">
        <f>IF(AK51&lt;=$AG$7*2,AK51,$AG$7*2)</f>
        <v>0</v>
      </c>
      <c r="AO51" s="72">
        <f>COUNTIF(M23,"Yok")*(0)
+COUNTIF(M23,"Askerlik Yardımı")*($AG$40)
+COUNTIF(M23,"Bayram Yardımı (Kurban)")*($AG$41)
+COUNTIF(M23,"Bayram Yardımı (Ramazan)")*($AG$42)
+COUNTIF(M23,"Cenaze Yardımı (Anne-Baba)")*($AG$43)
+COUNTIF(M23,"Cenaze Yardımı (Eş-Çocuk)")*($AG$44)
+COUNTIF(M23,"Cenaze Yardımı (İşçi-İş Kazası Sonucu)")*($AG$45)
+COUNTIF(M23,"Cenaze Yardımı (İşçi-Tabii Sebepler Sonucu)")*($AG$46)
+COUNTIF(M23,"Doğal Afet Yardımı")*($AG$47)
+COUNTIF(M23,"Eğitim Yardımı (Çocuk-İlköğretim)")*($AG$48)
+COUNTIF(M23,"Eğitim Yardımı (Çocuk-Ortaöğretim)")*($AG$49)
+COUNTIF(M23,"Eğitim Yardımı (Çocuk-Lise)")*($AG$50)
+COUNTIF(M23,"Eğitim Yardımı (Çocuk-Yükseköğretim)")*($AG$51)
+COUNTIF(M23,"Eğitim Yardımı (İşçi-Lise)")*($AG$52)
+COUNTIF(M23,"Eğitim Yardımı (İşçi-Yükseköğretim)")*($AG$53)
+COUNTIF(M23,"Evlilik Yardımı")*($AG$54)
+COUNTIF(N23,"Yok")*(0)
+COUNTIF(N23,"Askerlik Yardımı")*($AG$40)
+COUNTIF(N23,"Bayram Yardımı (Kurban)")*($AG$41)
+COUNTIF(N23,"Bayram Yardımı (Ramazan)")*($AG$42)
+COUNTIF(N23,"Cenaze Yardımı (Anne-Baba)")*($AG$43)
+COUNTIF(N23,"Cenaze Yardımı (Eş-Çocuk)")*($AG$44)
+COUNTIF(N23,"Cenaze Yardımı (İşçi-İş Kazası Sonucu)")*($AG$45)
+COUNTIF(N23,"Cenaze Yardımı (İşçi-Tabii Sebepler Sonucu)")*($AG$46)
+COUNTIF(N23,"Doğal Afet Yardımı")*($AG$47)
+COUNTIF(N23,"Eğitim Yardımı (Çocuk-İlköğretim)")*($AG$48)
+COUNTIF(N23,"Eğitim Yardımı (Çocuk-Ortaöğretim)")*($AG$49)
+COUNTIF(N23,"Eğitim Yardımı (Çocuk-Lise)")*($AG$50)
+COUNTIF(N23,"Eğitim Yardımı (Çocuk-Yükseköğretim)")*($AG$51)
+COUNTIF(N23,"Eğitim Yardımı (İşçi-Lise)")*($AG$52)
+COUNTIF(N23,"Eğitim Yardımı (İşçi-Yükseköğretim)")*($AG$53)
+COUNTIF(N23,"Evlilik Yardımı")*($AG$54)
+COUNTIF(O23,"Yok")*(0)
+COUNTIF(O23,"Askerlik Yardımı")*($AG$40)
+COUNTIF(O23,"Bayram Yardımı (Kurban)")*($AG$41)
+COUNTIF(O23,"Bayram Yardımı (Ramazan)")*($AG$42)
+COUNTIF(O23,"Cenaze Yardımı (Anne-Baba)")*($AG$43)
+COUNTIF(O23,"Cenaze Yardımı (Eş-Çocuk)")*($AG$44)
+COUNTIF(O23,"Cenaze Yardımı (İşçi-İş Kazası Sonucu)")*($AG$45)
+COUNTIF(O23,"Cenaze Yardımı (İşçi-Tabii Sebepler Sonucu)")*($AG$46)
+COUNTIF(O23,"Doğal Afet Yardımı")*($AG$47)
+COUNTIF(O23,"Eğitim Yardımı (Çocuk-İlköğretim)")*($AG$48)
+COUNTIF(O23,"Eğitim Yardımı (Çocuk-Ortaöğretim)")*($AG$49)
+COUNTIF(O23,"Eğitim Yardımı (Çocuk-Lise)")*($AG$50)
+COUNTIF(O23,"Eğitim Yardımı (Çocuk-Yükseköğretim)")*($AG$51)
+COUNTIF(O23,"Eğitim Yardımı (İşçi-Lise)")*($AG$52)
+COUNTIF(O23,"Eğitim Yardımı (İşçi-Yükseköğretim)")*($AG$53)
+COUNTIF(O23,"Evlilik Yardımı")*($AG$54)</f>
        <v>0</v>
      </c>
      <c r="AP51" s="72">
        <f>COUNTIF(M23,"Yok")*(0)
+COUNTIF(M23,"Askerlik Yardımı")*(0)
+COUNTIF(M23,"Bayram Yardımı (Kurban)")*(0)
+COUNTIF(M23,"Bayram Yardımı (Ramazan)")*(0)
+COUNTIF(M23,"Cenaze Yardımı (Anne-Baba)")*($AG$43)
+COUNTIF(M23,"Cenaze Yardımı (Eş-Çocuk)")*($AG$44)
+COUNTIF(M23,"Cenaze Yardımı (İşçi-İş Kazası Sonucu)")*($AG$45)
+COUNTIF(M23,"Cenaze Yardımı (İşçi-Tabii Sebepler Sonucu)")*($AG$46)
+COUNTIF(M23,"Doğal Afet Yardımı")*($AG$47)
+COUNTIF(M23,"Eğitim Yardımı (Çocuk-İlköğretim)")*(0)
+COUNTIF(M23,"Eğitim Yardımı (Çocuk-Ortaöğretim)")*(0)
+COUNTIF(M23,"Eğitim Yardımı (Çocuk-Lise)")*(0)
+COUNTIF(M23,"Eğitim Yardımı (Çocuk-Yükseköğretim)")*(0)
+COUNTIF(M23,"Eğitim Yardımı (İşçi-Lise)")*(0)
+COUNTIF(M23,"Eğitim Yardımı (İşçi-Yükseköğretim)")*(0)
+COUNTIF(M23,"Evlilik Yardımı")*($AG$54)
+COUNTIF(N23,"Yok")*(0)
+COUNTIF(N23,"Askerlik Yardımı")*(0)
+COUNTIF(N23,"Bayram Yardımı (Kurban)")*(0)
+COUNTIF(N23,"Bayram Yardımı (Ramazan)")*(0)
+COUNTIF(N23,"Cenaze Yardımı (Anne-Baba)")*($AG$43)
+COUNTIF(N23,"Cenaze Yardımı (Eş-Çocuk)")*($AG$44)
+COUNTIF(N23,"Cenaze Yardımı (İşçi-İş Kazası Sonucu)")*($AG$45)
+COUNTIF(N23,"Cenaze Yardımı (İşçi-Tabii Sebepler Sonucu)")*($AG$46)
+COUNTIF(N23,"Doğal Afet Yardımı")*($AG$47)
+COUNTIF(N23,"Eğitim Yardımı (Çocuk-İlköğretim)")*(0)
+COUNTIF(N23,"Eğitim Yardımı (Çocuk-Ortaöğretim)")*(0)
+COUNTIF(N23,"Eğitim Yardımı (Çocuk-Lise)")*(0)
+COUNTIF(N23,"Eğitim Yardımı (Çocuk-Yükseköğretim)")*(0)
+COUNTIF(N23,"Eğitim Yardımı (İşçi-Lise)")*(0)
+COUNTIF(N23,"Eğitim Yardımı (İşçi-Yükseköğretim)")*(0)
+COUNTIF(N23,"Evlilik Yardımı")*($AG$54)
+COUNTIF(O23,"Yok")*(0)
+COUNTIF(O23,"Askerlik Yardımı")*(0)
+COUNTIF(O23,"Bayram Yardımı (Kurban)")*(0)
+COUNTIF(O23,"Bayram Yardımı (Ramazan)")*(0)
+COUNTIF(O23,"Cenaze Yardımı (Anne-Baba)")*($AG$43)
+COUNTIF(O23,"Cenaze Yardımı (Eş-Çocuk)")*($AG$44)
+COUNTIF(O23,"Cenaze Yardımı (İşçi-İş Kazası Sonucu)")*($AG$45)
+COUNTIF(O23,"Cenaze Yardımı (İşçi-Tabii Sebepler Sonucu)")*($AG$46)
+COUNTIF(O23,"Doğal Afet Yardımı")*($AG$47)
+COUNTIF(O23,"Eğitim Yardımı (Çocuk-İlköğretim)")*(0)
+COUNTIF(O23,"Eğitim Yardımı (Çocuk-Ortaöğretim)")*(0)
+COUNTIF(O23,"Eğitim Yardımı (Çocuk-Lise)")*(0)
+COUNTIF(O23,"Eğitim Yardımı (Çocuk-Yükseköğretim)")*(0)
+COUNTIF(O23,"Eğitim Yardımı (İşçi-Lise)")*(0)
+COUNTIF(O23,"Eğitim Yardımı (İşçi-Yükseköğretim)")*(0)
+COUNTIF(O23,"Evlilik Yardımı")*($AG$54)</f>
        <v>0</v>
      </c>
      <c r="AQ51" s="72">
        <f ca="1">COUNTIF(M23,"Yok")*(0)
+COUNTIF(M23,"Askerlik Yardımı")*($AG$40*AY81)
+COUNTIF(M23,"Bayram Yardımı (Kurban)")*($AG$41*AY81)
+COUNTIF(M23,"Bayram Yardımı (Ramazan)")*($AG$42*AY81)
+COUNTIF(M23,"Cenaze Yardımı (Anne-Baba)")*($AG$43-$AG$43*0.00759)
+COUNTIF(M23,"Cenaze Yardımı (Eş-Çocuk)")*($AG$44-$AG$44*0.00759)
+COUNTIF(M23,"Cenaze Yardımı (İşçi-İş Kazası Sonucu)")*($AG$45-$AG$45*0.00759)
+COUNTIF(M23,"Cenaze Yardımı (İşçi-Tabii Sebepler Sonucu)")*($AG$46-$AG$46*0.00759)
+COUNTIF(M23,"Doğal Afet Yardımı")*($AG$47-$AG$47*0.00759)
+COUNTIF(M23,"Eğitim Yardımı (Çocuk-İlköğretim)")*($AG$48*AY81)
+COUNTIF(M23,"Eğitim Yardımı (Çocuk-Ortaöğretim)")*($AG$49*AY81)
+COUNTIF(M23,"Eğitim Yardımı (Çocuk-Lise)")*($AG$50*AY81)
+COUNTIF(M23,"Eğitim Yardımı (Çocuk-Yükseköğretim)")*($AG$51*AY81)
+COUNTIF(M23,"Eğitim Yardımı (İşçi-Lise)")*($AG$52*AY81)
+COUNTIF(M23,"Eğitim Yardımı (İşçi-Yükseköğretim)")*($AG$53*AY81)
+COUNTIF(M23,"Evlilik Yardımı")*($AG$54-$AG$54*0.00759)
+COUNTIF(N23,"Yok")*(0)
+COUNTIF(N23,"Askerlik Yardımı")*($AG$40*AY81)
+COUNTIF(N23,"Bayram Yardımı (Kurban)")*($AG$41*AY81)
+COUNTIF(N23,"Bayram Yardımı (Ramazan)")*($AG$42*AY81)
+COUNTIF(N23,"Cenaze Yardımı (Anne-Baba)")*($AG$43-$AG$43*0.00759)
+COUNTIF(N23,"Cenaze Yardımı (Eş-Çocuk)")*($AG$44-$AG$44*0.00759)
+COUNTIF(N23,"Cenaze Yardımı (İşçi-İş Kazası Sonucu)")*($AG$45-$AG$45*0.00759)
+COUNTIF(N23,"Cenaze Yardımı (İşçi-Tabii Sebepler Sonucu)")*($AG$46-$AG$46*0.00759)
+COUNTIF(N23,"Doğal Afet Yardımı")*($AG$47-$AG$47*0.00759)
+COUNTIF(N23,"Eğitim Yardımı (Çocuk-İlköğretim)")*($AG$48*AY81)
+COUNTIF(N23,"Eğitim Yardımı (Çocuk-Ortaöğretim)")*($AG$49*AY81)
+COUNTIF(N23,"Eğitim Yardımı (Çocuk-Lise)")*($AG$50*AY81)
+COUNTIF(N23,"Eğitim Yardımı (Çocuk-Yükseköğretim)")*($AG$51*AY81)
+COUNTIF(N23,"Eğitim Yardımı (İşçi-Lise)")*($AG$52*AY81)
+COUNTIF(N23,"Eğitim Yardımı (İşçi-Yükseköğretim)")*($AG$53*AY81)
+COUNTIF(N23,"Evlilik Yardımı")*($AG$54-$AG$54*0.00759)
+COUNTIF(O23,"Yok")*(0)
+COUNTIF(O23,"Askerlik Yardımı")*($AG$40*AY81)
+COUNTIF(O23,"Bayram Yardımı (Kurban)")*($AG$41*AY81)
+COUNTIF(O23,"Bayram Yardımı (Ramazan)")*($AG$42*AY81)
+COUNTIF(O23,"Cenaze Yardımı (Anne-Baba)")*($AG$43-$AG$43*0.00759)
+COUNTIF(O23,"Cenaze Yardımı (Eş-Çocuk)")*($AG$44-$AG$44*0.00759)
+COUNTIF(O23,"Cenaze Yardımı (İşçi-İş Kazası Sonucu)")*($AG$45-$AG$45*0.00759)
+COUNTIF(O23,"Cenaze Yardımı (İşçi-Tabii Sebepler Sonucu)")*($AG$46-$AG$46*0.00759)
+COUNTIF(O23,"Doğal Afet Yardımı")*($AG$47-$AG$47*0.00759)
+COUNTIF(O23,"Eğitim Yardımı (Çocuk-İlköğretim)")*($AG$48*AY81)
+COUNTIF(O23,"Eğitim Yardımı (Çocuk-Ortaöğretim)")*($AG$49*AY81)
+COUNTIF(O23,"Eğitim Yardımı (Çocuk-Lise)")*($AG$50*AY81)
+COUNTIF(O23,"Eğitim Yardımı (Çocuk-Yükseköğretim)")*($AG$51*AY81)
+COUNTIF(O23,"Eğitim Yardımı (İşçi-Lise)")*($AG$52*AY81)
+COUNTIF(O23,"Eğitim Yardımı (İşçi-Yükseköğretim)")*($AG$53*AY81)
+COUNTIF(O23,"Evlilik Yardımı")*($AG$54-$AG$54*0.00759)</f>
        <v>0</v>
      </c>
      <c r="AR51" s="73" t="s">
        <v>7</v>
      </c>
      <c r="AS51" s="52">
        <f>COUNTIF(AR51,"Var")*(AN23*-1)</f>
        <v>-2115.17</v>
      </c>
      <c r="AT51" s="52">
        <f t="shared" si="57"/>
        <v>2115.17</v>
      </c>
      <c r="AU51" s="72">
        <f ca="1">(AK81*P23+AV51)*-1</f>
        <v>0</v>
      </c>
      <c r="AV51" s="72">
        <f>(AW23+AY23+AI9+AK9+AM9-AT9)*(P23*-1)</f>
        <v>0</v>
      </c>
      <c r="AW51" s="72">
        <f t="shared" ca="1" si="58"/>
        <v>0</v>
      </c>
      <c r="AX51" s="52">
        <f>(49.52*J23)</f>
        <v>1287.52</v>
      </c>
      <c r="BE51" s="51">
        <v>49</v>
      </c>
      <c r="BF51" s="54">
        <v>24.5</v>
      </c>
      <c r="BG51" s="74" t="s">
        <v>0</v>
      </c>
    </row>
    <row r="52" spans="31:59" ht="39.950000000000003" hidden="1" customHeight="1" x14ac:dyDescent="0.25">
      <c r="AE52" s="70" t="s">
        <v>56</v>
      </c>
      <c r="AF52" s="72">
        <v>2415.84</v>
      </c>
      <c r="AG52" s="72">
        <v>2415.84</v>
      </c>
      <c r="AH52" s="52">
        <f ca="1">(AX52*AY82)</f>
        <v>789.1338831999999</v>
      </c>
      <c r="AI52" s="52">
        <f>(29.3*K24)</f>
        <v>0</v>
      </c>
      <c r="AJ52" s="52">
        <f ca="1">(AI52*AY82)</f>
        <v>0</v>
      </c>
      <c r="AK52" s="52">
        <f>(276.5*L24)</f>
        <v>0</v>
      </c>
      <c r="AL52" s="52">
        <f ca="1">AK52-(AK52*0.00759)-((AK52-AM52)*0.14)-((AK52-AM52)*0.01)-((AK52-(AK52-AM52)*0.14-(AK52-AM52)*0.01)-AN52)*AT82</f>
        <v>0</v>
      </c>
      <c r="AM52" s="52">
        <f>IF(AK52&lt;=$AG$4*2,AK52,$AG$4*2)</f>
        <v>0</v>
      </c>
      <c r="AN52" s="52">
        <f>IF(AK52&lt;=$AG$7*2,AK52,$AG$7*2)</f>
        <v>0</v>
      </c>
      <c r="AO52" s="72">
        <f>COUNTIF(M24,"Yok")*(0)
+COUNTIF(M24,"Askerlik Yardımı")*($AG$40)
+COUNTIF(M24,"Bayram Yardımı (Kurban)")*($AG$41)
+COUNTIF(M24,"Bayram Yardımı (Ramazan)")*($AG$42)
+COUNTIF(M24,"Cenaze Yardımı (Anne-Baba)")*($AG$43)
+COUNTIF(M24,"Cenaze Yardımı (Eş-Çocuk)")*($AG$44)
+COUNTIF(M24,"Cenaze Yardımı (İşçi-İş Kazası Sonucu)")*($AG$45)
+COUNTIF(M24,"Cenaze Yardımı (İşçi-Tabii Sebepler Sonucu)")*($AG$46)
+COUNTIF(M24,"Doğal Afet Yardımı")*($AG$47)
+COUNTIF(M24,"Eğitim Yardımı (Çocuk-İlköğretim)")*($AG$48)
+COUNTIF(M24,"Eğitim Yardımı (Çocuk-Ortaöğretim)")*($AG$49)
+COUNTIF(M24,"Eğitim Yardımı (Çocuk-Lise)")*($AG$50)
+COUNTIF(M24,"Eğitim Yardımı (Çocuk-Yükseköğretim)")*($AG$51)
+COUNTIF(M24,"Eğitim Yardımı (İşçi-Lise)")*($AG$52)
+COUNTIF(M24,"Eğitim Yardımı (İşçi-Yükseköğretim)")*($AG$53)
+COUNTIF(M24,"Evlilik Yardımı")*($AG$54)
+COUNTIF(N24,"Yok")*(0)
+COUNTIF(N24,"Askerlik Yardımı")*($AG$40)
+COUNTIF(N24,"Bayram Yardımı (Kurban)")*($AG$41)
+COUNTIF(N24,"Bayram Yardımı (Ramazan)")*($AG$42)
+COUNTIF(N24,"Cenaze Yardımı (Anne-Baba)")*($AG$43)
+COUNTIF(N24,"Cenaze Yardımı (Eş-Çocuk)")*($AG$44)
+COUNTIF(N24,"Cenaze Yardımı (İşçi-İş Kazası Sonucu)")*($AG$45)
+COUNTIF(N24,"Cenaze Yardımı (İşçi-Tabii Sebepler Sonucu)")*($AG$46)
+COUNTIF(N24,"Doğal Afet Yardımı")*($AG$47)
+COUNTIF(N24,"Eğitim Yardımı (Çocuk-İlköğretim)")*($AG$48)
+COUNTIF(N24,"Eğitim Yardımı (Çocuk-Ortaöğretim)")*($AG$49)
+COUNTIF(N24,"Eğitim Yardımı (Çocuk-Lise)")*($AG$50)
+COUNTIF(N24,"Eğitim Yardımı (Çocuk-Yükseköğretim)")*($AG$51)
+COUNTIF(N24,"Eğitim Yardımı (İşçi-Lise)")*($AG$52)
+COUNTIF(N24,"Eğitim Yardımı (İşçi-Yükseköğretim)")*($AG$53)
+COUNTIF(N24,"Evlilik Yardımı")*($AG$54)
+COUNTIF(O24,"Yok")*(0)
+COUNTIF(O24,"Askerlik Yardımı")*($AG$40)
+COUNTIF(O24,"Bayram Yardımı (Kurban)")*($AG$41)
+COUNTIF(O24,"Bayram Yardımı (Ramazan)")*($AG$42)
+COUNTIF(O24,"Cenaze Yardımı (Anne-Baba)")*($AG$43)
+COUNTIF(O24,"Cenaze Yardımı (Eş-Çocuk)")*($AG$44)
+COUNTIF(O24,"Cenaze Yardımı (İşçi-İş Kazası Sonucu)")*($AG$45)
+COUNTIF(O24,"Cenaze Yardımı (İşçi-Tabii Sebepler Sonucu)")*($AG$46)
+COUNTIF(O24,"Doğal Afet Yardımı")*($AG$47)
+COUNTIF(O24,"Eğitim Yardımı (Çocuk-İlköğretim)")*($AG$48)
+COUNTIF(O24,"Eğitim Yardımı (Çocuk-Ortaöğretim)")*($AG$49)
+COUNTIF(O24,"Eğitim Yardımı (Çocuk-Lise)")*($AG$50)
+COUNTIF(O24,"Eğitim Yardımı (Çocuk-Yükseköğretim)")*($AG$51)
+COUNTIF(O24,"Eğitim Yardımı (İşçi-Lise)")*($AG$52)
+COUNTIF(O24,"Eğitim Yardımı (İşçi-Yükseköğretim)")*($AG$53)
+COUNTIF(O24,"Evlilik Yardımı")*($AG$54)</f>
        <v>0</v>
      </c>
      <c r="AP52" s="72">
        <f>COUNTIF(M24,"Yok")*(0)
+COUNTIF(M24,"Askerlik Yardımı")*(0)
+COUNTIF(M24,"Bayram Yardımı (Kurban)")*(0)
+COUNTIF(M24,"Bayram Yardımı (Ramazan)")*(0)
+COUNTIF(M24,"Cenaze Yardımı (Anne-Baba)")*($AG$43)
+COUNTIF(M24,"Cenaze Yardımı (Eş-Çocuk)")*($AG$44)
+COUNTIF(M24,"Cenaze Yardımı (İşçi-İş Kazası Sonucu)")*($AG$45)
+COUNTIF(M24,"Cenaze Yardımı (İşçi-Tabii Sebepler Sonucu)")*($AG$46)
+COUNTIF(M24,"Doğal Afet Yardımı")*($AG$47)
+COUNTIF(M24,"Eğitim Yardımı (Çocuk-İlköğretim)")*(0)
+COUNTIF(M24,"Eğitim Yardımı (Çocuk-Ortaöğretim)")*(0)
+COUNTIF(M24,"Eğitim Yardımı (Çocuk-Lise)")*(0)
+COUNTIF(M24,"Eğitim Yardımı (Çocuk-Yükseköğretim)")*(0)
+COUNTIF(M24,"Eğitim Yardımı (İşçi-Lise)")*(0)
+COUNTIF(M24,"Eğitim Yardımı (İşçi-Yükseköğretim)")*(0)
+COUNTIF(M24,"Evlilik Yardımı")*($AG$54)
+COUNTIF(N24,"Yok")*(0)
+COUNTIF(N24,"Askerlik Yardımı")*(0)
+COUNTIF(N24,"Bayram Yardımı (Kurban)")*(0)
+COUNTIF(N24,"Bayram Yardımı (Ramazan)")*(0)
+COUNTIF(N24,"Cenaze Yardımı (Anne-Baba)")*($AG$43)
+COUNTIF(N24,"Cenaze Yardımı (Eş-Çocuk)")*($AG$44)
+COUNTIF(N24,"Cenaze Yardımı (İşçi-İş Kazası Sonucu)")*($AG$45)
+COUNTIF(N24,"Cenaze Yardımı (İşçi-Tabii Sebepler Sonucu)")*($AG$46)
+COUNTIF(N24,"Doğal Afet Yardımı")*($AG$47)
+COUNTIF(N24,"Eğitim Yardımı (Çocuk-İlköğretim)")*(0)
+COUNTIF(N24,"Eğitim Yardımı (Çocuk-Ortaöğretim)")*(0)
+COUNTIF(N24,"Eğitim Yardımı (Çocuk-Lise)")*(0)
+COUNTIF(N24,"Eğitim Yardımı (Çocuk-Yükseköğretim)")*(0)
+COUNTIF(N24,"Eğitim Yardımı (İşçi-Lise)")*(0)
+COUNTIF(N24,"Eğitim Yardımı (İşçi-Yükseköğretim)")*(0)
+COUNTIF(N24,"Evlilik Yardımı")*($AG$54)
+COUNTIF(O24,"Yok")*(0)
+COUNTIF(O24,"Askerlik Yardımı")*(0)
+COUNTIF(O24,"Bayram Yardımı (Kurban)")*(0)
+COUNTIF(O24,"Bayram Yardımı (Ramazan)")*(0)
+COUNTIF(O24,"Cenaze Yardımı (Anne-Baba)")*($AG$43)
+COUNTIF(O24,"Cenaze Yardımı (Eş-Çocuk)")*($AG$44)
+COUNTIF(O24,"Cenaze Yardımı (İşçi-İş Kazası Sonucu)")*($AG$45)
+COUNTIF(O24,"Cenaze Yardımı (İşçi-Tabii Sebepler Sonucu)")*($AG$46)
+COUNTIF(O24,"Doğal Afet Yardımı")*($AG$47)
+COUNTIF(O24,"Eğitim Yardımı (Çocuk-İlköğretim)")*(0)
+COUNTIF(O24,"Eğitim Yardımı (Çocuk-Ortaöğretim)")*(0)
+COUNTIF(O24,"Eğitim Yardımı (Çocuk-Lise)")*(0)
+COUNTIF(O24,"Eğitim Yardımı (Çocuk-Yükseköğretim)")*(0)
+COUNTIF(O24,"Eğitim Yardımı (İşçi-Lise)")*(0)
+COUNTIF(O24,"Eğitim Yardımı (İşçi-Yükseköğretim)")*(0)
+COUNTIF(O24,"Evlilik Yardımı")*($AG$54)</f>
        <v>0</v>
      </c>
      <c r="AQ52" s="72">
        <f ca="1">COUNTIF(M24,"Yok")*(0)
+COUNTIF(M24,"Askerlik Yardımı")*($AG$40*AY82)
+COUNTIF(M24,"Bayram Yardımı (Kurban)")*($AG$41*AY82)
+COUNTIF(M24,"Bayram Yardımı (Ramazan)")*($AG$42*AY82)
+COUNTIF(M24,"Cenaze Yardımı (Anne-Baba)")*($AG$43-$AG$43*0.00759)
+COUNTIF(M24,"Cenaze Yardımı (Eş-Çocuk)")*($AG$44-$AG$44*0.00759)
+COUNTIF(M24,"Cenaze Yardımı (İşçi-İş Kazası Sonucu)")*($AG$45-$AG$45*0.00759)
+COUNTIF(M24,"Cenaze Yardımı (İşçi-Tabii Sebepler Sonucu)")*($AG$46-$AG$46*0.00759)
+COUNTIF(M24,"Doğal Afet Yardımı")*($AG$47-$AG$47*0.00759)
+COUNTIF(M24,"Eğitim Yardımı (Çocuk-İlköğretim)")*($AG$48*AY82)
+COUNTIF(M24,"Eğitim Yardımı (Çocuk-Ortaöğretim)")*($AG$49*AY82)
+COUNTIF(M24,"Eğitim Yardımı (Çocuk-Lise)")*($AG$50*AY82)
+COUNTIF(M24,"Eğitim Yardımı (Çocuk-Yükseköğretim)")*($AG$51*AY82)
+COUNTIF(M24,"Eğitim Yardımı (İşçi-Lise)")*($AG$52*AY82)
+COUNTIF(M24,"Eğitim Yardımı (İşçi-Yükseköğretim)")*($AG$53*AY82)
+COUNTIF(M24,"Evlilik Yardımı")*($AG$54-$AG$54*0.00759)
+COUNTIF(N24,"Yok")*(0)
+COUNTIF(N24,"Askerlik Yardımı")*($AG$40*AY82)
+COUNTIF(N24,"Bayram Yardımı (Kurban)")*($AG$41*AY82)
+COUNTIF(N24,"Bayram Yardımı (Ramazan)")*($AG$42*AY82)
+COUNTIF(N24,"Cenaze Yardımı (Anne-Baba)")*($AG$43-$AG$43*0.00759)
+COUNTIF(N24,"Cenaze Yardımı (Eş-Çocuk)")*($AG$44-$AG$44*0.00759)
+COUNTIF(N24,"Cenaze Yardımı (İşçi-İş Kazası Sonucu)")*($AG$45-$AG$45*0.00759)
+COUNTIF(N24,"Cenaze Yardımı (İşçi-Tabii Sebepler Sonucu)")*($AG$46-$AG$46*0.00759)
+COUNTIF(N24,"Doğal Afet Yardımı")*($AG$47-$AG$47*0.00759)
+COUNTIF(N24,"Eğitim Yardımı (Çocuk-İlköğretim)")*($AG$48*AY82)
+COUNTIF(N24,"Eğitim Yardımı (Çocuk-Ortaöğretim)")*($AG$49*AY82)
+COUNTIF(N24,"Eğitim Yardımı (Çocuk-Lise)")*($AG$50*AY82)
+COUNTIF(N24,"Eğitim Yardımı (Çocuk-Yükseköğretim)")*($AG$51*AY82)
+COUNTIF(N24,"Eğitim Yardımı (İşçi-Lise)")*($AG$52*AY82)
+COUNTIF(N24,"Eğitim Yardımı (İşçi-Yükseköğretim)")*($AG$53*AY82)
+COUNTIF(N24,"Evlilik Yardımı")*($AG$54-$AG$54*0.00759)
+COUNTIF(O24,"Yok")*(0)
+COUNTIF(O24,"Askerlik Yardımı")*($AG$40*AY82)
+COUNTIF(O24,"Bayram Yardımı (Kurban)")*($AG$41*AY82)
+COUNTIF(O24,"Bayram Yardımı (Ramazan)")*($AG$42*AY82)
+COUNTIF(O24,"Cenaze Yardımı (Anne-Baba)")*($AG$43-$AG$43*0.00759)
+COUNTIF(O24,"Cenaze Yardımı (Eş-Çocuk)")*($AG$44-$AG$44*0.00759)
+COUNTIF(O24,"Cenaze Yardımı (İşçi-İş Kazası Sonucu)")*($AG$45-$AG$45*0.00759)
+COUNTIF(O24,"Cenaze Yardımı (İşçi-Tabii Sebepler Sonucu)")*($AG$46-$AG$46*0.00759)
+COUNTIF(O24,"Doğal Afet Yardımı")*($AG$47-$AG$47*0.00759)
+COUNTIF(O24,"Eğitim Yardımı (Çocuk-İlköğretim)")*($AG$48*AY82)
+COUNTIF(O24,"Eğitim Yardımı (Çocuk-Ortaöğretim)")*($AG$49*AY82)
+COUNTIF(O24,"Eğitim Yardımı (Çocuk-Lise)")*($AG$50*AY82)
+COUNTIF(O24,"Eğitim Yardımı (Çocuk-Yükseköğretim)")*($AG$51*AY82)
+COUNTIF(O24,"Eğitim Yardımı (İşçi-Lise)")*($AG$52*AY82)
+COUNTIF(O24,"Eğitim Yardımı (İşçi-Yükseköğretim)")*($AG$53*AY82)
+COUNTIF(O24,"Evlilik Yardımı")*($AG$54-$AG$54*0.00759)</f>
        <v>0</v>
      </c>
      <c r="AR52" s="73" t="s">
        <v>7</v>
      </c>
      <c r="AS52" s="52">
        <f>COUNTIF(AR52,"Var")*(AN24*-1)</f>
        <v>-2115.17</v>
      </c>
      <c r="AT52" s="52">
        <f t="shared" si="57"/>
        <v>2115.17</v>
      </c>
      <c r="AU52" s="72">
        <f ca="1">(AK82*P24+AV52)*-1</f>
        <v>0</v>
      </c>
      <c r="AV52" s="72">
        <f>(AW24+AY24+AI10+AK10+AM10-AT10)*(P24*-1)</f>
        <v>0</v>
      </c>
      <c r="AW52" s="72">
        <f t="shared" ca="1" si="58"/>
        <v>0</v>
      </c>
      <c r="AX52" s="52">
        <f>(49.52*J24)</f>
        <v>1287.52</v>
      </c>
      <c r="BE52" s="51">
        <v>50</v>
      </c>
      <c r="BF52" s="54">
        <v>25</v>
      </c>
      <c r="BG52" s="74" t="s">
        <v>0</v>
      </c>
    </row>
    <row r="53" spans="31:59" ht="39.950000000000003" hidden="1" customHeight="1" x14ac:dyDescent="0.25">
      <c r="AE53" s="70" t="s">
        <v>57</v>
      </c>
      <c r="AF53" s="72">
        <v>2842.16</v>
      </c>
      <c r="AG53" s="72">
        <v>2842.16</v>
      </c>
      <c r="AH53" s="52">
        <f ca="1">(AX53*AY83)</f>
        <v>789.1338831999999</v>
      </c>
      <c r="AI53" s="52">
        <f>(29.3*K25)</f>
        <v>0</v>
      </c>
      <c r="AJ53" s="52">
        <f ca="1">(AI53*AY83)</f>
        <v>0</v>
      </c>
      <c r="AK53" s="52">
        <f>(276.5*L25)</f>
        <v>0</v>
      </c>
      <c r="AL53" s="52">
        <f ca="1">AK53-(AK53*0.00759)-((AK53-AM53)*0.14)-((AK53-AM53)*0.01)-((AK53-(AK53-AM53)*0.14-(AK53-AM53)*0.01)-AN53)*AT83</f>
        <v>0</v>
      </c>
      <c r="AM53" s="52">
        <f>IF(AK53&lt;=$AG$4*2,AK53,$AG$4*2)</f>
        <v>0</v>
      </c>
      <c r="AN53" s="52">
        <f>IF(AK53&lt;=$AG$7*2,AK53,$AG$7*2)</f>
        <v>0</v>
      </c>
      <c r="AO53" s="72">
        <f>COUNTIF(M25,"Yok")*(0)
+COUNTIF(M25,"Askerlik Yardımı")*($AG$40)
+COUNTIF(M25,"Bayram Yardımı (Kurban)")*($AG$41)
+COUNTIF(M25,"Bayram Yardımı (Ramazan)")*($AG$42)
+COUNTIF(M25,"Cenaze Yardımı (Anne-Baba)")*($AG$43)
+COUNTIF(M25,"Cenaze Yardımı (Eş-Çocuk)")*($AG$44)
+COUNTIF(M25,"Cenaze Yardımı (İşçi-İş Kazası Sonucu)")*($AG$45)
+COUNTIF(M25,"Cenaze Yardımı (İşçi-Tabii Sebepler Sonucu)")*($AG$46)
+COUNTIF(M25,"Doğal Afet Yardımı")*($AG$47)
+COUNTIF(M25,"Eğitim Yardımı (Çocuk-İlköğretim)")*($AG$48)
+COUNTIF(M25,"Eğitim Yardımı (Çocuk-Ortaöğretim)")*($AG$49)
+COUNTIF(M25,"Eğitim Yardımı (Çocuk-Lise)")*($AG$50)
+COUNTIF(M25,"Eğitim Yardımı (Çocuk-Yükseköğretim)")*($AG$51)
+COUNTIF(M25,"Eğitim Yardımı (İşçi-Lise)")*($AG$52)
+COUNTIF(M25,"Eğitim Yardımı (İşçi-Yükseköğretim)")*($AG$53)
+COUNTIF(M25,"Evlilik Yardımı")*($AG$54)
+COUNTIF(N25,"Yok")*(0)
+COUNTIF(N25,"Askerlik Yardımı")*($AG$40)
+COUNTIF(N25,"Bayram Yardımı (Kurban)")*($AG$41)
+COUNTIF(N25,"Bayram Yardımı (Ramazan)")*($AG$42)
+COUNTIF(N25,"Cenaze Yardımı (Anne-Baba)")*($AG$43)
+COUNTIF(N25,"Cenaze Yardımı (Eş-Çocuk)")*($AG$44)
+COUNTIF(N25,"Cenaze Yardımı (İşçi-İş Kazası Sonucu)")*($AG$45)
+COUNTIF(N25,"Cenaze Yardımı (İşçi-Tabii Sebepler Sonucu)")*($AG$46)
+COUNTIF(N25,"Doğal Afet Yardımı")*($AG$47)
+COUNTIF(N25,"Eğitim Yardımı (Çocuk-İlköğretim)")*($AG$48)
+COUNTIF(N25,"Eğitim Yardımı (Çocuk-Ortaöğretim)")*($AG$49)
+COUNTIF(N25,"Eğitim Yardımı (Çocuk-Lise)")*($AG$50)
+COUNTIF(N25,"Eğitim Yardımı (Çocuk-Yükseköğretim)")*($AG$51)
+COUNTIF(N25,"Eğitim Yardımı (İşçi-Lise)")*($AG$52)
+COUNTIF(N25,"Eğitim Yardımı (İşçi-Yükseköğretim)")*($AG$53)
+COUNTIF(N25,"Evlilik Yardımı")*($AG$54)
+COUNTIF(O25,"Yok")*(0)
+COUNTIF(O25,"Askerlik Yardımı")*($AG$40)
+COUNTIF(O25,"Bayram Yardımı (Kurban)")*($AG$41)
+COUNTIF(O25,"Bayram Yardımı (Ramazan)")*($AG$42)
+COUNTIF(O25,"Cenaze Yardımı (Anne-Baba)")*($AG$43)
+COUNTIF(O25,"Cenaze Yardımı (Eş-Çocuk)")*($AG$44)
+COUNTIF(O25,"Cenaze Yardımı (İşçi-İş Kazası Sonucu)")*($AG$45)
+COUNTIF(O25,"Cenaze Yardımı (İşçi-Tabii Sebepler Sonucu)")*($AG$46)
+COUNTIF(O25,"Doğal Afet Yardımı")*($AG$47)
+COUNTIF(O25,"Eğitim Yardımı (Çocuk-İlköğretim)")*($AG$48)
+COUNTIF(O25,"Eğitim Yardımı (Çocuk-Ortaöğretim)")*($AG$49)
+COUNTIF(O25,"Eğitim Yardımı (Çocuk-Lise)")*($AG$50)
+COUNTIF(O25,"Eğitim Yardımı (Çocuk-Yükseköğretim)")*($AG$51)
+COUNTIF(O25,"Eğitim Yardımı (İşçi-Lise)")*($AG$52)
+COUNTIF(O25,"Eğitim Yardımı (İşçi-Yükseköğretim)")*($AG$53)
+COUNTIF(O25,"Evlilik Yardımı")*($AG$54)</f>
        <v>0</v>
      </c>
      <c r="AP53" s="72">
        <f>COUNTIF(M25,"Yok")*(0)
+COUNTIF(M25,"Askerlik Yardımı")*(0)
+COUNTIF(M25,"Bayram Yardımı (Kurban)")*(0)
+COUNTIF(M25,"Bayram Yardımı (Ramazan)")*(0)
+COUNTIF(M25,"Cenaze Yardımı (Anne-Baba)")*($AG$43)
+COUNTIF(M25,"Cenaze Yardımı (Eş-Çocuk)")*($AG$44)
+COUNTIF(M25,"Cenaze Yardımı (İşçi-İş Kazası Sonucu)")*($AG$45)
+COUNTIF(M25,"Cenaze Yardımı (İşçi-Tabii Sebepler Sonucu)")*($AG$46)
+COUNTIF(M25,"Doğal Afet Yardımı")*($AG$47)
+COUNTIF(M25,"Eğitim Yardımı (Çocuk-İlköğretim)")*(0)
+COUNTIF(M25,"Eğitim Yardımı (Çocuk-Ortaöğretim)")*(0)
+COUNTIF(M25,"Eğitim Yardımı (Çocuk-Lise)")*(0)
+COUNTIF(M25,"Eğitim Yardımı (Çocuk-Yükseköğretim)")*(0)
+COUNTIF(M25,"Eğitim Yardımı (İşçi-Lise)")*(0)
+COUNTIF(M25,"Eğitim Yardımı (İşçi-Yükseköğretim)")*(0)
+COUNTIF(M25,"Evlilik Yardımı")*($AG$54)
+COUNTIF(N25,"Yok")*(0)
+COUNTIF(N25,"Askerlik Yardımı")*(0)
+COUNTIF(N25,"Bayram Yardımı (Kurban)")*(0)
+COUNTIF(N25,"Bayram Yardımı (Ramazan)")*(0)
+COUNTIF(N25,"Cenaze Yardımı (Anne-Baba)")*($AG$43)
+COUNTIF(N25,"Cenaze Yardımı (Eş-Çocuk)")*($AG$44)
+COUNTIF(N25,"Cenaze Yardımı (İşçi-İş Kazası Sonucu)")*($AG$45)
+COUNTIF(N25,"Cenaze Yardımı (İşçi-Tabii Sebepler Sonucu)")*($AG$46)
+COUNTIF(N25,"Doğal Afet Yardımı")*($AG$47)
+COUNTIF(N25,"Eğitim Yardımı (Çocuk-İlköğretim)")*(0)
+COUNTIF(N25,"Eğitim Yardımı (Çocuk-Ortaöğretim)")*(0)
+COUNTIF(N25,"Eğitim Yardımı (Çocuk-Lise)")*(0)
+COUNTIF(N25,"Eğitim Yardımı (Çocuk-Yükseköğretim)")*(0)
+COUNTIF(N25,"Eğitim Yardımı (İşçi-Lise)")*(0)
+COUNTIF(N25,"Eğitim Yardımı (İşçi-Yükseköğretim)")*(0)
+COUNTIF(N25,"Evlilik Yardımı")*($AG$54)
+COUNTIF(O25,"Yok")*(0)
+COUNTIF(O25,"Askerlik Yardımı")*(0)
+COUNTIF(O25,"Bayram Yardımı (Kurban)")*(0)
+COUNTIF(O25,"Bayram Yardımı (Ramazan)")*(0)
+COUNTIF(O25,"Cenaze Yardımı (Anne-Baba)")*($AG$43)
+COUNTIF(O25,"Cenaze Yardımı (Eş-Çocuk)")*($AG$44)
+COUNTIF(O25,"Cenaze Yardımı (İşçi-İş Kazası Sonucu)")*($AG$45)
+COUNTIF(O25,"Cenaze Yardımı (İşçi-Tabii Sebepler Sonucu)")*($AG$46)
+COUNTIF(O25,"Doğal Afet Yardımı")*($AG$47)
+COUNTIF(O25,"Eğitim Yardımı (Çocuk-İlköğretim)")*(0)
+COUNTIF(O25,"Eğitim Yardımı (Çocuk-Ortaöğretim)")*(0)
+COUNTIF(O25,"Eğitim Yardımı (Çocuk-Lise)")*(0)
+COUNTIF(O25,"Eğitim Yardımı (Çocuk-Yükseköğretim)")*(0)
+COUNTIF(O25,"Eğitim Yardımı (İşçi-Lise)")*(0)
+COUNTIF(O25,"Eğitim Yardımı (İşçi-Yükseköğretim)")*(0)
+COUNTIF(O25,"Evlilik Yardımı")*($AG$54)</f>
        <v>0</v>
      </c>
      <c r="AQ53" s="72">
        <f ca="1">COUNTIF(M25,"Yok")*(0)
+COUNTIF(M25,"Askerlik Yardımı")*($AG$40*AY83)
+COUNTIF(M25,"Bayram Yardımı (Kurban)")*($AG$41*AY83)
+COUNTIF(M25,"Bayram Yardımı (Ramazan)")*($AG$42*AY83)
+COUNTIF(M25,"Cenaze Yardımı (Anne-Baba)")*($AG$43-$AG$43*0.00759)
+COUNTIF(M25,"Cenaze Yardımı (Eş-Çocuk)")*($AG$44-$AG$44*0.00759)
+COUNTIF(M25,"Cenaze Yardımı (İşçi-İş Kazası Sonucu)")*($AG$45-$AG$45*0.00759)
+COUNTIF(M25,"Cenaze Yardımı (İşçi-Tabii Sebepler Sonucu)")*($AG$46-$AG$46*0.00759)
+COUNTIF(M25,"Doğal Afet Yardımı")*($AG$47-$AG$47*0.00759)
+COUNTIF(M25,"Eğitim Yardımı (Çocuk-İlköğretim)")*($AG$48*AY83)
+COUNTIF(M25,"Eğitim Yardımı (Çocuk-Ortaöğretim)")*($AG$49*AY83)
+COUNTIF(M25,"Eğitim Yardımı (Çocuk-Lise)")*($AG$50*AY83)
+COUNTIF(M25,"Eğitim Yardımı (Çocuk-Yükseköğretim)")*($AG$51*AY83)
+COUNTIF(M25,"Eğitim Yardımı (İşçi-Lise)")*($AG$52*AY83)
+COUNTIF(M25,"Eğitim Yardımı (İşçi-Yükseköğretim)")*($AG$53*AY83)
+COUNTIF(M25,"Evlilik Yardımı")*($AG$54-$AG$54*0.00759)
+COUNTIF(N25,"Yok")*(0)
+COUNTIF(N25,"Askerlik Yardımı")*($AG$40*AY83)
+COUNTIF(N25,"Bayram Yardımı (Kurban)")*($AG$41*AY83)
+COUNTIF(N25,"Bayram Yardımı (Ramazan)")*($AG$42*AY83)
+COUNTIF(N25,"Cenaze Yardımı (Anne-Baba)")*($AG$43-$AG$43*0.00759)
+COUNTIF(N25,"Cenaze Yardımı (Eş-Çocuk)")*($AG$44-$AG$44*0.00759)
+COUNTIF(N25,"Cenaze Yardımı (İşçi-İş Kazası Sonucu)")*($AG$45-$AG$45*0.00759)
+COUNTIF(N25,"Cenaze Yardımı (İşçi-Tabii Sebepler Sonucu)")*($AG$46-$AG$46*0.00759)
+COUNTIF(N25,"Doğal Afet Yardımı")*($AG$47-$AG$47*0.00759)
+COUNTIF(N25,"Eğitim Yardımı (Çocuk-İlköğretim)")*($AG$48*AY83)
+COUNTIF(N25,"Eğitim Yardımı (Çocuk-Ortaöğretim)")*($AG$49*AY83)
+COUNTIF(N25,"Eğitim Yardımı (Çocuk-Lise)")*($AG$50*AY83)
+COUNTIF(N25,"Eğitim Yardımı (Çocuk-Yükseköğretim)")*($AG$51*AY83)
+COUNTIF(N25,"Eğitim Yardımı (İşçi-Lise)")*($AG$52*AY83)
+COUNTIF(N25,"Eğitim Yardımı (İşçi-Yükseköğretim)")*($AG$53*AY83)
+COUNTIF(N25,"Evlilik Yardımı")*($AG$54-$AG$54*0.00759)
+COUNTIF(O25,"Yok")*(0)
+COUNTIF(O25,"Askerlik Yardımı")*($AG$40*AY83)
+COUNTIF(O25,"Bayram Yardımı (Kurban)")*($AG$41*AY83)
+COUNTIF(O25,"Bayram Yardımı (Ramazan)")*($AG$42*AY83)
+COUNTIF(O25,"Cenaze Yardımı (Anne-Baba)")*($AG$43-$AG$43*0.00759)
+COUNTIF(O25,"Cenaze Yardımı (Eş-Çocuk)")*($AG$44-$AG$44*0.00759)
+COUNTIF(O25,"Cenaze Yardımı (İşçi-İş Kazası Sonucu)")*($AG$45-$AG$45*0.00759)
+COUNTIF(O25,"Cenaze Yardımı (İşçi-Tabii Sebepler Sonucu)")*($AG$46-$AG$46*0.00759)
+COUNTIF(O25,"Doğal Afet Yardımı")*($AG$47-$AG$47*0.00759)
+COUNTIF(O25,"Eğitim Yardımı (Çocuk-İlköğretim)")*($AG$48*AY83)
+COUNTIF(O25,"Eğitim Yardımı (Çocuk-Ortaöğretim)")*($AG$49*AY83)
+COUNTIF(O25,"Eğitim Yardımı (Çocuk-Lise)")*($AG$50*AY83)
+COUNTIF(O25,"Eğitim Yardımı (Çocuk-Yükseköğretim)")*($AG$51*AY83)
+COUNTIF(O25,"Eğitim Yardımı (İşçi-Lise)")*($AG$52*AY83)
+COUNTIF(O25,"Eğitim Yardımı (İşçi-Yükseköğretim)")*($AG$53*AY83)
+COUNTIF(O25,"Evlilik Yardımı")*($AG$54-$AG$54*0.00759)</f>
        <v>0</v>
      </c>
      <c r="AR53" s="73" t="s">
        <v>7</v>
      </c>
      <c r="AS53" s="52">
        <f>COUNTIF(AR53,"Var")*(AN25*-1)</f>
        <v>-2115.17</v>
      </c>
      <c r="AT53" s="52">
        <f t="shared" si="57"/>
        <v>2115.17</v>
      </c>
      <c r="AU53" s="72">
        <f ca="1">(AK83*P25+AV53)*-1</f>
        <v>0</v>
      </c>
      <c r="AV53" s="72">
        <f>(AW25+AY25+AI11+AK11+AM11-AT11)*(P25*-1)</f>
        <v>0</v>
      </c>
      <c r="AW53" s="72">
        <f t="shared" ca="1" si="58"/>
        <v>0</v>
      </c>
      <c r="AX53" s="52">
        <f>(49.52*J25)</f>
        <v>1287.52</v>
      </c>
      <c r="BE53" s="51">
        <v>51</v>
      </c>
      <c r="BF53" s="54">
        <v>25.5</v>
      </c>
      <c r="BG53" s="74" t="s">
        <v>0</v>
      </c>
    </row>
    <row r="54" spans="31:59" ht="39.950000000000003" hidden="1" customHeight="1" x14ac:dyDescent="0.25">
      <c r="AE54" s="70" t="s">
        <v>6</v>
      </c>
      <c r="AF54" s="72">
        <v>1368.71</v>
      </c>
      <c r="AG54" s="72">
        <v>1368.71</v>
      </c>
      <c r="AH54" s="52">
        <f ca="1">(AX54*AY84)</f>
        <v>789.1338831999999</v>
      </c>
      <c r="AI54" s="52">
        <f>(29.3*K26)</f>
        <v>0</v>
      </c>
      <c r="AJ54" s="52">
        <f ca="1">(AI54*AY84)</f>
        <v>0</v>
      </c>
      <c r="AK54" s="52">
        <f>(276.5*L26)</f>
        <v>0</v>
      </c>
      <c r="AL54" s="52">
        <f ca="1">AK54-(AK54*0.00759)-((AK54-AM54)*0.14)-((AK54-AM54)*0.01)-((AK54-(AK54-AM54)*0.14-(AK54-AM54)*0.01)-AN54)*AT84</f>
        <v>0</v>
      </c>
      <c r="AM54" s="52">
        <f>IF(AK54&lt;=$AG$4*2,AK54,$AG$4*2)</f>
        <v>0</v>
      </c>
      <c r="AN54" s="52">
        <f>IF(AK54&lt;=$AG$7*2,AK54,$AG$7*2)</f>
        <v>0</v>
      </c>
      <c r="AO54" s="72">
        <f>COUNTIF(M26,"Yok")*(0)
+COUNTIF(M26,"Askerlik Yardımı")*($AG$40)
+COUNTIF(M26,"Bayram Yardımı (Kurban)")*($AG$41)
+COUNTIF(M26,"Bayram Yardımı (Ramazan)")*($AG$42)
+COUNTIF(M26,"Cenaze Yardımı (Anne-Baba)")*($AG$43)
+COUNTIF(M26,"Cenaze Yardımı (Eş-Çocuk)")*($AG$44)
+COUNTIF(M26,"Cenaze Yardımı (İşçi-İş Kazası Sonucu)")*($AG$45)
+COUNTIF(M26,"Cenaze Yardımı (İşçi-Tabii Sebepler Sonucu)")*($AG$46)
+COUNTIF(M26,"Doğal Afet Yardımı")*($AG$47)
+COUNTIF(M26,"Eğitim Yardımı (Çocuk-İlköğretim)")*($AG$48)
+COUNTIF(M26,"Eğitim Yardımı (Çocuk-Ortaöğretim)")*($AG$49)
+COUNTIF(M26,"Eğitim Yardımı (Çocuk-Lise)")*($AG$50)
+COUNTIF(M26,"Eğitim Yardımı (Çocuk-Yükseköğretim)")*($AG$51)
+COUNTIF(M26,"Eğitim Yardımı (İşçi-Lise)")*($AG$52)
+COUNTIF(M26,"Eğitim Yardımı (İşçi-Yükseköğretim)")*($AG$53)
+COUNTIF(M26,"Evlilik Yardımı")*($AG$54)
+COUNTIF(N26,"Yok")*(0)
+COUNTIF(N26,"Askerlik Yardımı")*($AG$40)
+COUNTIF(N26,"Bayram Yardımı (Kurban)")*($AG$41)
+COUNTIF(N26,"Bayram Yardımı (Ramazan)")*($AG$42)
+COUNTIF(N26,"Cenaze Yardımı (Anne-Baba)")*($AG$43)
+COUNTIF(N26,"Cenaze Yardımı (Eş-Çocuk)")*($AG$44)
+COUNTIF(N26,"Cenaze Yardımı (İşçi-İş Kazası Sonucu)")*($AG$45)
+COUNTIF(N26,"Cenaze Yardımı (İşçi-Tabii Sebepler Sonucu)")*($AG$46)
+COUNTIF(N26,"Doğal Afet Yardımı")*($AG$47)
+COUNTIF(N26,"Eğitim Yardımı (Çocuk-İlköğretim)")*($AG$48)
+COUNTIF(N26,"Eğitim Yardımı (Çocuk-Ortaöğretim)")*($AG$49)
+COUNTIF(N26,"Eğitim Yardımı (Çocuk-Lise)")*($AG$50)
+COUNTIF(N26,"Eğitim Yardımı (Çocuk-Yükseköğretim)")*($AG$51)
+COUNTIF(N26,"Eğitim Yardımı (İşçi-Lise)")*($AG$52)
+COUNTIF(N26,"Eğitim Yardımı (İşçi-Yükseköğretim)")*($AG$53)
+COUNTIF(N26,"Evlilik Yardımı")*($AG$54)
+COUNTIF(O26,"Yok")*(0)
+COUNTIF(O26,"Askerlik Yardımı")*($AG$40)
+COUNTIF(O26,"Bayram Yardımı (Kurban)")*($AG$41)
+COUNTIF(O26,"Bayram Yardımı (Ramazan)")*($AG$42)
+COUNTIF(O26,"Cenaze Yardımı (Anne-Baba)")*($AG$43)
+COUNTIF(O26,"Cenaze Yardımı (Eş-Çocuk)")*($AG$44)
+COUNTIF(O26,"Cenaze Yardımı (İşçi-İş Kazası Sonucu)")*($AG$45)
+COUNTIF(O26,"Cenaze Yardımı (İşçi-Tabii Sebepler Sonucu)")*($AG$46)
+COUNTIF(O26,"Doğal Afet Yardımı")*($AG$47)
+COUNTIF(O26,"Eğitim Yardımı (Çocuk-İlköğretim)")*($AG$48)
+COUNTIF(O26,"Eğitim Yardımı (Çocuk-Ortaöğretim)")*($AG$49)
+COUNTIF(O26,"Eğitim Yardımı (Çocuk-Lise)")*($AG$50)
+COUNTIF(O26,"Eğitim Yardımı (Çocuk-Yükseköğretim)")*($AG$51)
+COUNTIF(O26,"Eğitim Yardımı (İşçi-Lise)")*($AG$52)
+COUNTIF(O26,"Eğitim Yardımı (İşçi-Yükseköğretim)")*($AG$53)
+COUNTIF(O26,"Evlilik Yardımı")*($AG$54)</f>
        <v>0</v>
      </c>
      <c r="AP54" s="72">
        <f>COUNTIF(M26,"Yok")*(0)
+COUNTIF(M26,"Askerlik Yardımı")*(0)
+COUNTIF(M26,"Bayram Yardımı (Kurban)")*(0)
+COUNTIF(M26,"Bayram Yardımı (Ramazan)")*(0)
+COUNTIF(M26,"Cenaze Yardımı (Anne-Baba)")*($AG$43)
+COUNTIF(M26,"Cenaze Yardımı (Eş-Çocuk)")*($AG$44)
+COUNTIF(M26,"Cenaze Yardımı (İşçi-İş Kazası Sonucu)")*($AG$45)
+COUNTIF(M26,"Cenaze Yardımı (İşçi-Tabii Sebepler Sonucu)")*($AG$46)
+COUNTIF(M26,"Doğal Afet Yardımı")*($AG$47)
+COUNTIF(M26,"Eğitim Yardımı (Çocuk-İlköğretim)")*(0)
+COUNTIF(M26,"Eğitim Yardımı (Çocuk-Ortaöğretim)")*(0)
+COUNTIF(M26,"Eğitim Yardımı (Çocuk-Lise)")*(0)
+COUNTIF(M26,"Eğitim Yardımı (Çocuk-Yükseköğretim)")*(0)
+COUNTIF(M26,"Eğitim Yardımı (İşçi-Lise)")*(0)
+COUNTIF(M26,"Eğitim Yardımı (İşçi-Yükseköğretim)")*(0)
+COUNTIF(M26,"Evlilik Yardımı")*($AG$54)
+COUNTIF(N26,"Yok")*(0)
+COUNTIF(N26,"Askerlik Yardımı")*(0)
+COUNTIF(N26,"Bayram Yardımı (Kurban)")*(0)
+COUNTIF(N26,"Bayram Yardımı (Ramazan)")*(0)
+COUNTIF(N26,"Cenaze Yardımı (Anne-Baba)")*($AG$43)
+COUNTIF(N26,"Cenaze Yardımı (Eş-Çocuk)")*($AG$44)
+COUNTIF(N26,"Cenaze Yardımı (İşçi-İş Kazası Sonucu)")*($AG$45)
+COUNTIF(N26,"Cenaze Yardımı (İşçi-Tabii Sebepler Sonucu)")*($AG$46)
+COUNTIF(N26,"Doğal Afet Yardımı")*($AG$47)
+COUNTIF(N26,"Eğitim Yardımı (Çocuk-İlköğretim)")*(0)
+COUNTIF(N26,"Eğitim Yardımı (Çocuk-Ortaöğretim)")*(0)
+COUNTIF(N26,"Eğitim Yardımı (Çocuk-Lise)")*(0)
+COUNTIF(N26,"Eğitim Yardımı (Çocuk-Yükseköğretim)")*(0)
+COUNTIF(N26,"Eğitim Yardımı (İşçi-Lise)")*(0)
+COUNTIF(N26,"Eğitim Yardımı (İşçi-Yükseköğretim)")*(0)
+COUNTIF(N26,"Evlilik Yardımı")*($AG$54)
+COUNTIF(O26,"Yok")*(0)
+COUNTIF(O26,"Askerlik Yardımı")*(0)
+COUNTIF(O26,"Bayram Yardımı (Kurban)")*(0)
+COUNTIF(O26,"Bayram Yardımı (Ramazan)")*(0)
+COUNTIF(O26,"Cenaze Yardımı (Anne-Baba)")*($AG$43)
+COUNTIF(O26,"Cenaze Yardımı (Eş-Çocuk)")*($AG$44)
+COUNTIF(O26,"Cenaze Yardımı (İşçi-İş Kazası Sonucu)")*($AG$45)
+COUNTIF(O26,"Cenaze Yardımı (İşçi-Tabii Sebepler Sonucu)")*($AG$46)
+COUNTIF(O26,"Doğal Afet Yardımı")*($AG$47)
+COUNTIF(O26,"Eğitim Yardımı (Çocuk-İlköğretim)")*(0)
+COUNTIF(O26,"Eğitim Yardımı (Çocuk-Ortaöğretim)")*(0)
+COUNTIF(O26,"Eğitim Yardımı (Çocuk-Lise)")*(0)
+COUNTIF(O26,"Eğitim Yardımı (Çocuk-Yükseköğretim)")*(0)
+COUNTIF(O26,"Eğitim Yardımı (İşçi-Lise)")*(0)
+COUNTIF(O26,"Eğitim Yardımı (İşçi-Yükseköğretim)")*(0)
+COUNTIF(O26,"Evlilik Yardımı")*($AG$54)</f>
        <v>0</v>
      </c>
      <c r="AQ54" s="72">
        <f ca="1">COUNTIF(M26,"Yok")*(0)
+COUNTIF(M26,"Askerlik Yardımı")*($AG$40*AY84)
+COUNTIF(M26,"Bayram Yardımı (Kurban)")*($AG$41*AY84)
+COUNTIF(M26,"Bayram Yardımı (Ramazan)")*($AG$42*AY84)
+COUNTIF(M26,"Cenaze Yardımı (Anne-Baba)")*($AG$43-$AG$43*0.00759)
+COUNTIF(M26,"Cenaze Yardımı (Eş-Çocuk)")*($AG$44-$AG$44*0.00759)
+COUNTIF(M26,"Cenaze Yardımı (İşçi-İş Kazası Sonucu)")*($AG$45-$AG$45*0.00759)
+COUNTIF(M26,"Cenaze Yardımı (İşçi-Tabii Sebepler Sonucu)")*($AG$46-$AG$46*0.00759)
+COUNTIF(M26,"Doğal Afet Yardımı")*($AG$47-$AG$47*0.00759)
+COUNTIF(M26,"Eğitim Yardımı (Çocuk-İlköğretim)")*($AG$48*AY84)
+COUNTIF(M26,"Eğitim Yardımı (Çocuk-Ortaöğretim)")*($AG$49*AY84)
+COUNTIF(M26,"Eğitim Yardımı (Çocuk-Lise)")*($AG$50*AY84)
+COUNTIF(M26,"Eğitim Yardımı (Çocuk-Yükseköğretim)")*($AG$51*AY84)
+COUNTIF(M26,"Eğitim Yardımı (İşçi-Lise)")*($AG$52*AY84)
+COUNTIF(M26,"Eğitim Yardımı (İşçi-Yükseköğretim)")*($AG$53*AY84)
+COUNTIF(M26,"Evlilik Yardımı")*($AG$54-$AG$54*0.00759)
+COUNTIF(N26,"Yok")*(0)
+COUNTIF(N26,"Askerlik Yardımı")*($AG$40*AY84)
+COUNTIF(N26,"Bayram Yardımı (Kurban)")*($AG$41*AY84)
+COUNTIF(N26,"Bayram Yardımı (Ramazan)")*($AG$42*AY84)
+COUNTIF(N26,"Cenaze Yardımı (Anne-Baba)")*($AG$43-$AG$43*0.00759)
+COUNTIF(N26,"Cenaze Yardımı (Eş-Çocuk)")*($AG$44-$AG$44*0.00759)
+COUNTIF(N26,"Cenaze Yardımı (İşçi-İş Kazası Sonucu)")*($AG$45-$AG$45*0.00759)
+COUNTIF(N26,"Cenaze Yardımı (İşçi-Tabii Sebepler Sonucu)")*($AG$46-$AG$46*0.00759)
+COUNTIF(N26,"Doğal Afet Yardımı")*($AG$47-$AG$47*0.00759)
+COUNTIF(N26,"Eğitim Yardımı (Çocuk-İlköğretim)")*($AG$48*AY84)
+COUNTIF(N26,"Eğitim Yardımı (Çocuk-Ortaöğretim)")*($AG$49*AY84)
+COUNTIF(N26,"Eğitim Yardımı (Çocuk-Lise)")*($AG$50*AY84)
+COUNTIF(N26,"Eğitim Yardımı (Çocuk-Yükseköğretim)")*($AG$51*AY84)
+COUNTIF(N26,"Eğitim Yardımı (İşçi-Lise)")*($AG$52*AY84)
+COUNTIF(N26,"Eğitim Yardımı (İşçi-Yükseköğretim)")*($AG$53*AY84)
+COUNTIF(N26,"Evlilik Yardımı")*($AG$54-$AG$54*0.00759)
+COUNTIF(O26,"Yok")*(0)
+COUNTIF(O26,"Askerlik Yardımı")*($AG$40*AY84)
+COUNTIF(O26,"Bayram Yardımı (Kurban)")*($AG$41*AY84)
+COUNTIF(O26,"Bayram Yardımı (Ramazan)")*($AG$42*AY84)
+COUNTIF(O26,"Cenaze Yardımı (Anne-Baba)")*($AG$43-$AG$43*0.00759)
+COUNTIF(O26,"Cenaze Yardımı (Eş-Çocuk)")*($AG$44-$AG$44*0.00759)
+COUNTIF(O26,"Cenaze Yardımı (İşçi-İş Kazası Sonucu)")*($AG$45-$AG$45*0.00759)
+COUNTIF(O26,"Cenaze Yardımı (İşçi-Tabii Sebepler Sonucu)")*($AG$46-$AG$46*0.00759)
+COUNTIF(O26,"Doğal Afet Yardımı")*($AG$47-$AG$47*0.00759)
+COUNTIF(O26,"Eğitim Yardımı (Çocuk-İlköğretim)")*($AG$48*AY84)
+COUNTIF(O26,"Eğitim Yardımı (Çocuk-Ortaöğretim)")*($AG$49*AY84)
+COUNTIF(O26,"Eğitim Yardımı (Çocuk-Lise)")*($AG$50*AY84)
+COUNTIF(O26,"Eğitim Yardımı (Çocuk-Yükseköğretim)")*($AG$51*AY84)
+COUNTIF(O26,"Eğitim Yardımı (İşçi-Lise)")*($AG$52*AY84)
+COUNTIF(O26,"Eğitim Yardımı (İşçi-Yükseköğretim)")*($AG$53*AY84)
+COUNTIF(O26,"Evlilik Yardımı")*($AG$54-$AG$54*0.00759)</f>
        <v>0</v>
      </c>
      <c r="AR54" s="73" t="s">
        <v>7</v>
      </c>
      <c r="AS54" s="52">
        <f>COUNTIF(AR54,"Var")*(AN26*-1)</f>
        <v>-2115.17</v>
      </c>
      <c r="AT54" s="52">
        <f t="shared" si="57"/>
        <v>2115.17</v>
      </c>
      <c r="AU54" s="72">
        <f ca="1">(AK84*P26+AV54)*-1</f>
        <v>0</v>
      </c>
      <c r="AV54" s="72">
        <f>(AW26+AY26+AI12+AK12+AM12-AT12)*(P26*-1)</f>
        <v>0</v>
      </c>
      <c r="AW54" s="72">
        <f t="shared" ca="1" si="58"/>
        <v>0</v>
      </c>
      <c r="AX54" s="52">
        <f>(49.52*J26)</f>
        <v>1287.52</v>
      </c>
      <c r="BE54" s="51">
        <v>52</v>
      </c>
      <c r="BF54" s="54">
        <v>26</v>
      </c>
      <c r="BG54" s="74" t="s">
        <v>0</v>
      </c>
    </row>
    <row r="55" spans="31:59" ht="39.950000000000003" hidden="1" customHeight="1" x14ac:dyDescent="0.25">
      <c r="AE55" s="75" t="s">
        <v>79</v>
      </c>
      <c r="AF55" s="50">
        <v>2115.17</v>
      </c>
      <c r="AG55" s="50">
        <v>2115.17</v>
      </c>
      <c r="AH55" s="52">
        <f t="shared" ref="AH55" ca="1" si="59">(AH43+AH44+AH45+AH46+AH47+AH48+AH49+AH50+AH51+AH52+AH53+AH54)</f>
        <v>10076.169522310704</v>
      </c>
      <c r="AI55" s="52">
        <f t="shared" ref="AI55:AJ55" si="60">(AI43+AI44+AI45+AI46+AI47+AI48+AI49+AI50+AI51+AI52+AI53+AI54)</f>
        <v>0</v>
      </c>
      <c r="AJ55" s="52">
        <f t="shared" ca="1" si="60"/>
        <v>0</v>
      </c>
      <c r="AK55" s="52">
        <f t="shared" ref="AK55:AL55" si="61">(AK43+AK44+AK45+AK46+AK47+AK48+AK49+AK50+AK51+AK52+AK53+AK54)</f>
        <v>0</v>
      </c>
      <c r="AL55" s="52">
        <f t="shared" ca="1" si="61"/>
        <v>0</v>
      </c>
      <c r="AM55" s="52">
        <f t="shared" ref="AM55:AN55" si="62">(AM43+AM44+AM45+AM46+AM47+AM48+AM49+AM50+AM51+AM52+AM53+AM54)</f>
        <v>0</v>
      </c>
      <c r="AN55" s="52">
        <f t="shared" si="62"/>
        <v>0</v>
      </c>
      <c r="AO55" s="52">
        <f t="shared" ref="AO55" si="63">(AO43+AO44+AO45+AO46+AO47+AO48+AO49+AO50+AO51+AO52+AO53+AO54)</f>
        <v>0</v>
      </c>
      <c r="AP55" s="52">
        <f t="shared" ref="AP55" si="64">(AP43+AP44+AP45+AP46+AP47+AP48+AP49+AP50+AP51+AP52+AP53+AP54)</f>
        <v>0</v>
      </c>
      <c r="AQ55" s="52">
        <f t="shared" ref="AQ55" ca="1" si="65">(AQ43+AQ44+AQ45+AQ46+AQ47+AQ48+AQ49+AQ50+AQ51+AQ52+AQ53+AQ54)</f>
        <v>0</v>
      </c>
      <c r="AR55" s="59" t="s">
        <v>0</v>
      </c>
      <c r="AS55" s="52">
        <f t="shared" ref="AS55:AT55" si="66">(AS43+AS44+AS45+AS46+AS47+AS48+AS49+AS50+AS51+AS52+AS53+AS54)</f>
        <v>-25382.039999999994</v>
      </c>
      <c r="AT55" s="52">
        <f t="shared" si="66"/>
        <v>25382.039999999994</v>
      </c>
      <c r="AU55" s="52">
        <f t="shared" ref="AU55:AW55" ca="1" si="67">(AU43+AU44+AU45+AU46+AU47+AU48+AU49+AU50+AU51+AU52+AU53+AU54)</f>
        <v>0</v>
      </c>
      <c r="AV55" s="52">
        <f t="shared" si="67"/>
        <v>0</v>
      </c>
      <c r="AW55" s="52">
        <f t="shared" ca="1" si="67"/>
        <v>0</v>
      </c>
      <c r="AX55" s="52">
        <f>(AX43+AX44+AX45+AX46+AX47+AX48+AX49+AX50+AX51+AX52+AX53+AX54)</f>
        <v>15450.240000000003</v>
      </c>
      <c r="BE55" s="51">
        <v>53</v>
      </c>
      <c r="BF55" s="54">
        <v>26.5</v>
      </c>
      <c r="BG55" s="74" t="s">
        <v>0</v>
      </c>
    </row>
    <row r="56" spans="31:59" ht="39.950000000000003" hidden="1" customHeight="1" x14ac:dyDescent="0.25">
      <c r="AE56" s="75" t="s">
        <v>80</v>
      </c>
      <c r="AF56" s="50">
        <v>2115.17</v>
      </c>
      <c r="AG56" s="50">
        <v>2115.17</v>
      </c>
      <c r="AH56" s="52">
        <f t="shared" ref="AH56" ca="1" si="68">(AH55/12)</f>
        <v>839.680793525892</v>
      </c>
      <c r="AI56" s="52">
        <f t="shared" ref="AI56:AJ56" si="69">(AI55/12)</f>
        <v>0</v>
      </c>
      <c r="AJ56" s="52">
        <f t="shared" ca="1" si="69"/>
        <v>0</v>
      </c>
      <c r="AK56" s="52">
        <f t="shared" ref="AK56:AL56" si="70">(AK55/12)</f>
        <v>0</v>
      </c>
      <c r="AL56" s="52">
        <f t="shared" ca="1" si="70"/>
        <v>0</v>
      </c>
      <c r="AM56" s="52">
        <f t="shared" ref="AM56:AN56" si="71">(AM55/12)</f>
        <v>0</v>
      </c>
      <c r="AN56" s="52">
        <f t="shared" si="71"/>
        <v>0</v>
      </c>
      <c r="AO56" s="52">
        <f t="shared" ref="AO56" si="72">AO55/12</f>
        <v>0</v>
      </c>
      <c r="AP56" s="52">
        <f t="shared" ref="AP56" si="73">AP55/12</f>
        <v>0</v>
      </c>
      <c r="AQ56" s="52">
        <f t="shared" ref="AQ56" ca="1" si="74">AQ55/12</f>
        <v>0</v>
      </c>
      <c r="AR56" s="59" t="s">
        <v>0</v>
      </c>
      <c r="AS56" s="52">
        <f t="shared" ref="AS56:AT56" si="75">(AS55/12)</f>
        <v>-2115.1699999999996</v>
      </c>
      <c r="AT56" s="52">
        <f t="shared" si="75"/>
        <v>2115.1699999999996</v>
      </c>
      <c r="AU56" s="52">
        <f t="shared" ref="AU56:AW56" ca="1" si="76">(AU55/12)</f>
        <v>0</v>
      </c>
      <c r="AV56" s="52">
        <f t="shared" si="76"/>
        <v>0</v>
      </c>
      <c r="AW56" s="52">
        <f t="shared" ca="1" si="76"/>
        <v>0</v>
      </c>
      <c r="AX56" s="52">
        <f>(AX55/12)</f>
        <v>1287.5200000000002</v>
      </c>
      <c r="BE56" s="51">
        <v>54</v>
      </c>
      <c r="BF56" s="54">
        <v>27</v>
      </c>
      <c r="BG56" s="74" t="s">
        <v>0</v>
      </c>
    </row>
    <row r="57" spans="31:59" ht="39.950000000000003" hidden="1" customHeight="1" x14ac:dyDescent="0.25">
      <c r="AV57" s="52">
        <f>(0)</f>
        <v>0</v>
      </c>
      <c r="AW57" s="76">
        <f>(0%)</f>
        <v>0</v>
      </c>
      <c r="BE57" s="51">
        <v>55</v>
      </c>
      <c r="BF57" s="54">
        <v>27.5</v>
      </c>
      <c r="BG57" s="74" t="s">
        <v>0</v>
      </c>
    </row>
    <row r="58" spans="31:59" ht="39.950000000000003" hidden="1" customHeight="1" x14ac:dyDescent="0.25">
      <c r="AE58" s="50">
        <f>($AF$8)</f>
        <v>33030</v>
      </c>
      <c r="AF58" s="52">
        <f>($AF$8)</f>
        <v>33030</v>
      </c>
      <c r="AG58" s="52">
        <f t="shared" ref="AG58:AG69" si="77">(AE58-AF58)</f>
        <v>0</v>
      </c>
      <c r="AH58" s="52">
        <f>(AG58*0.00759*-1)</f>
        <v>0</v>
      </c>
      <c r="AI58" s="52">
        <f>(AE58*0.00759)</f>
        <v>250.69770000000003</v>
      </c>
      <c r="AJ58" s="52">
        <f>(AE58)</f>
        <v>33030</v>
      </c>
      <c r="AK58" s="52">
        <f>(0)</f>
        <v>0</v>
      </c>
      <c r="AL58" s="52">
        <f>(AJ58-AK58)</f>
        <v>33030</v>
      </c>
      <c r="AM58" s="52">
        <f>(AL58*0.14*-1)</f>
        <v>-4624.2000000000007</v>
      </c>
      <c r="AN58" s="52">
        <f>(AL58*0.01*-1)</f>
        <v>-330.3</v>
      </c>
      <c r="AO58" s="77">
        <v>0.15</v>
      </c>
      <c r="AP58" s="50">
        <v>0</v>
      </c>
      <c r="AQ58" s="50">
        <v>190000</v>
      </c>
      <c r="AR58" s="52">
        <v>0</v>
      </c>
      <c r="AS58" s="52">
        <f>(AE58+AM58+AN58-AT58)</f>
        <v>28075.5</v>
      </c>
      <c r="AT58" s="52">
        <f>(0)</f>
        <v>0</v>
      </c>
      <c r="AU58" s="52">
        <f>(AS58-AT58)</f>
        <v>28075.5</v>
      </c>
      <c r="AV58" s="52">
        <f>SUM(AU$58:$AU58)</f>
        <v>28075.5</v>
      </c>
      <c r="AW58" s="76">
        <f>IF(AV58&lt;=$AQ$58,$AO$58,
IF(AV58&gt;$AQ$60,
IF(AV58&gt;$AQ$61,$AO$62,$AO$61),
IF(AV58&lt;$AQ$59,$AO$59,$AO$60)))</f>
        <v>0.15</v>
      </c>
      <c r="AX58" s="73">
        <f>IF(AW58-AW57=0,0,1)</f>
        <v>1</v>
      </c>
      <c r="AY58" s="78">
        <f>IF(AX58=0,AW58,(VLOOKUP($AW58,$AO$58:$AR$62,2,0)-AV57)/AU58*AW57+(AV58-VLOOKUP($AW58,$AO$58:$AR$62,2,0))/AU58*AW58)</f>
        <v>0.15</v>
      </c>
      <c r="AZ58" s="52">
        <f>(ROUND(AU58*AY58,2)+VLOOKUP(AW58,$AO$58:$AR$62,4,0))</f>
        <v>4211.33</v>
      </c>
      <c r="BA58" s="78">
        <f>(100+(100*0.00759*-1)+(100*0.01*-1)+(100*0.01*-1)+(100+100*0.14*-1+100*0.01*-1)*AY58*-1)/100</f>
        <v>0.84491000000000005</v>
      </c>
      <c r="BB58" s="52">
        <f t="shared" ref="BB58:BB69" si="78">AE58</f>
        <v>33030</v>
      </c>
      <c r="BC58" s="52">
        <f t="shared" ref="BC58:BC69" si="79">AE58+AH58+AM58+AN58</f>
        <v>28075.5</v>
      </c>
      <c r="BE58" s="51">
        <v>56</v>
      </c>
      <c r="BF58" s="54">
        <v>28</v>
      </c>
      <c r="BG58" s="74" t="s">
        <v>0</v>
      </c>
    </row>
    <row r="59" spans="31:59" ht="39.950000000000003" hidden="1" customHeight="1" x14ac:dyDescent="0.25">
      <c r="AE59" s="50">
        <f>($AF$8)</f>
        <v>33030</v>
      </c>
      <c r="AF59" s="52">
        <f>($AF$8)</f>
        <v>33030</v>
      </c>
      <c r="AG59" s="52">
        <f t="shared" si="77"/>
        <v>0</v>
      </c>
      <c r="AH59" s="52">
        <f t="shared" ref="AH59:AH69" si="80">(AG59*0.00759*-1)</f>
        <v>0</v>
      </c>
      <c r="AI59" s="52">
        <f t="shared" ref="AI59:AI69" si="81">(AE59*0.00759)</f>
        <v>250.69770000000003</v>
      </c>
      <c r="AJ59" s="52">
        <f t="shared" ref="AJ59:AJ69" si="82">(AE59)</f>
        <v>33030</v>
      </c>
      <c r="AK59" s="52">
        <f>(0)</f>
        <v>0</v>
      </c>
      <c r="AL59" s="52">
        <f t="shared" ref="AL59:AL69" si="83">(AJ59-AK59)</f>
        <v>33030</v>
      </c>
      <c r="AM59" s="52">
        <f t="shared" ref="AM59:AM69" si="84">(AL59*0.14*-1)</f>
        <v>-4624.2000000000007</v>
      </c>
      <c r="AN59" s="52">
        <f t="shared" ref="AN59:AN69" si="85">(AL59*0.01*-1)</f>
        <v>-330.3</v>
      </c>
      <c r="AO59" s="77">
        <v>0.2</v>
      </c>
      <c r="AP59" s="52">
        <f>$AQ$58</f>
        <v>190000</v>
      </c>
      <c r="AQ59" s="50">
        <v>400000</v>
      </c>
      <c r="AR59" s="52">
        <f>(AQ58-AP58)*AO58+AR58</f>
        <v>28500</v>
      </c>
      <c r="AS59" s="52">
        <f t="shared" ref="AS59:AS69" si="86">(AE59+AM59+AN59-AT59)</f>
        <v>28075.5</v>
      </c>
      <c r="AT59" s="52">
        <f>(0)</f>
        <v>0</v>
      </c>
      <c r="AU59" s="52">
        <f t="shared" ref="AU59:AU69" si="87">(AS59-AT59)</f>
        <v>28075.5</v>
      </c>
      <c r="AV59" s="52">
        <f>SUM(AU$58:$AU59)</f>
        <v>56151</v>
      </c>
      <c r="AW59" s="76">
        <f>IF(AV59&lt;=$AQ$58,$AO$58,
IF(AV59&gt;$AQ$60,
IF(AV59&gt;$AQ$61,$AO$62,$AO$61),
IF(AV59&lt;$AQ$59,$AO$59,$AO$60)))</f>
        <v>0.15</v>
      </c>
      <c r="AX59" s="73">
        <f t="shared" ref="AX59:AX69" si="88">IF(AW59-AW58=0,0,1)</f>
        <v>0</v>
      </c>
      <c r="AY59" s="78">
        <f>IF(AX59=0,AW59,(VLOOKUP($AW59,$AO$58:$AR$62,2,0)-AV58)/AU59*AW58+(AV59-VLOOKUP($AW59,$AO$58:$AR$62,2,0))/AU59*AW59)</f>
        <v>0.15</v>
      </c>
      <c r="AZ59" s="52">
        <f>(ROUND(AU59*AY59,2))</f>
        <v>4211.33</v>
      </c>
      <c r="BA59" s="78">
        <f t="shared" ref="BA59:BA69" si="89">(100+(100*0.00759*-1)+(100*0.01*-1)+(100*0.01*-1)+(100+100*0.14*-1+100*0.01*-1)*AY59*-1)/100</f>
        <v>0.84491000000000005</v>
      </c>
      <c r="BB59" s="52">
        <f t="shared" si="78"/>
        <v>33030</v>
      </c>
      <c r="BC59" s="52">
        <f t="shared" si="79"/>
        <v>28075.5</v>
      </c>
      <c r="BE59" s="51">
        <v>57</v>
      </c>
      <c r="BF59" s="54">
        <v>28.5</v>
      </c>
      <c r="BG59" s="74" t="s">
        <v>0</v>
      </c>
    </row>
    <row r="60" spans="31:59" ht="39.950000000000003" hidden="1" customHeight="1" x14ac:dyDescent="0.25">
      <c r="AE60" s="50">
        <f>($AF$8)</f>
        <v>33030</v>
      </c>
      <c r="AF60" s="52">
        <f>($AF$8)</f>
        <v>33030</v>
      </c>
      <c r="AG60" s="52">
        <f t="shared" si="77"/>
        <v>0</v>
      </c>
      <c r="AH60" s="52">
        <f t="shared" si="80"/>
        <v>0</v>
      </c>
      <c r="AI60" s="52">
        <f t="shared" si="81"/>
        <v>250.69770000000003</v>
      </c>
      <c r="AJ60" s="52">
        <f t="shared" si="82"/>
        <v>33030</v>
      </c>
      <c r="AK60" s="52">
        <f>(0)</f>
        <v>0</v>
      </c>
      <c r="AL60" s="52">
        <f t="shared" si="83"/>
        <v>33030</v>
      </c>
      <c r="AM60" s="52">
        <f t="shared" si="84"/>
        <v>-4624.2000000000007</v>
      </c>
      <c r="AN60" s="52">
        <f t="shared" si="85"/>
        <v>-330.3</v>
      </c>
      <c r="AO60" s="77">
        <v>0.27</v>
      </c>
      <c r="AP60" s="52">
        <f>$AQ$59</f>
        <v>400000</v>
      </c>
      <c r="AQ60" s="50">
        <v>1500000</v>
      </c>
      <c r="AR60" s="52">
        <f>(AQ59-AP59)*AO59+AR59</f>
        <v>70500</v>
      </c>
      <c r="AS60" s="52">
        <f t="shared" si="86"/>
        <v>28075.5</v>
      </c>
      <c r="AT60" s="52">
        <f>(0)</f>
        <v>0</v>
      </c>
      <c r="AU60" s="52">
        <f t="shared" si="87"/>
        <v>28075.5</v>
      </c>
      <c r="AV60" s="52">
        <f>SUM(AU$58:$AU60)</f>
        <v>84226.5</v>
      </c>
      <c r="AW60" s="76">
        <f>IF(AV60&lt;=$AQ$58,$AO$58,
IF(AV60&gt;$AQ$60,
IF(AV60&gt;$AQ$61,$AO$62,$AO$61),
IF(AV60&lt;$AQ$59,$AO$59,$AO$60)))</f>
        <v>0.15</v>
      </c>
      <c r="AX60" s="73">
        <f t="shared" si="88"/>
        <v>0</v>
      </c>
      <c r="AY60" s="78">
        <f>IF(AX60=0,AW60,(VLOOKUP($AW60,$AO$58:$AR$62,2,0)-AV59)/AU60*AW59+(AV60-VLOOKUP($AW60,$AO$58:$AR$62,2,0))/AU60*AW60)</f>
        <v>0.15</v>
      </c>
      <c r="AZ60" s="52">
        <f t="shared" ref="AZ60:AZ69" si="90">(ROUND(AU60*AY60,2))</f>
        <v>4211.33</v>
      </c>
      <c r="BA60" s="78">
        <f t="shared" si="89"/>
        <v>0.84491000000000005</v>
      </c>
      <c r="BB60" s="52">
        <f t="shared" si="78"/>
        <v>33030</v>
      </c>
      <c r="BC60" s="52">
        <f t="shared" si="79"/>
        <v>28075.5</v>
      </c>
      <c r="BE60" s="51">
        <v>58</v>
      </c>
      <c r="BF60" s="54">
        <v>29</v>
      </c>
      <c r="BG60" s="74" t="s">
        <v>0</v>
      </c>
    </row>
    <row r="61" spans="31:59" ht="39.950000000000003" hidden="1" customHeight="1" x14ac:dyDescent="0.25">
      <c r="AE61" s="50">
        <f>($AF$8)</f>
        <v>33030</v>
      </c>
      <c r="AF61" s="52">
        <f>($AF$8)</f>
        <v>33030</v>
      </c>
      <c r="AG61" s="52">
        <f t="shared" si="77"/>
        <v>0</v>
      </c>
      <c r="AH61" s="52">
        <f t="shared" si="80"/>
        <v>0</v>
      </c>
      <c r="AI61" s="52">
        <f t="shared" si="81"/>
        <v>250.69770000000003</v>
      </c>
      <c r="AJ61" s="52">
        <f t="shared" si="82"/>
        <v>33030</v>
      </c>
      <c r="AK61" s="52">
        <f>(0)</f>
        <v>0</v>
      </c>
      <c r="AL61" s="52">
        <f t="shared" si="83"/>
        <v>33030</v>
      </c>
      <c r="AM61" s="52">
        <f t="shared" si="84"/>
        <v>-4624.2000000000007</v>
      </c>
      <c r="AN61" s="52">
        <f t="shared" si="85"/>
        <v>-330.3</v>
      </c>
      <c r="AO61" s="77">
        <v>0.35</v>
      </c>
      <c r="AP61" s="52">
        <f>$AQ$60</f>
        <v>1500000</v>
      </c>
      <c r="AQ61" s="50">
        <v>5300000</v>
      </c>
      <c r="AR61" s="52">
        <f>(AQ60-AP60)*AO60+AR60</f>
        <v>367500</v>
      </c>
      <c r="AS61" s="52">
        <f t="shared" si="86"/>
        <v>28075.5</v>
      </c>
      <c r="AT61" s="52">
        <f>(0)</f>
        <v>0</v>
      </c>
      <c r="AU61" s="52">
        <f t="shared" si="87"/>
        <v>28075.5</v>
      </c>
      <c r="AV61" s="52">
        <f>SUM(AU$58:$AU61)</f>
        <v>112302</v>
      </c>
      <c r="AW61" s="76">
        <f>IF(AV61&lt;=$AQ$58,$AO$58,
IF(AV61&gt;$AQ$60,
IF(AV61&gt;$AQ$61,$AO$62,$AO$61),
IF(AV61&lt;$AQ$59,$AO$59,$AO$60)))</f>
        <v>0.15</v>
      </c>
      <c r="AX61" s="73">
        <f t="shared" si="88"/>
        <v>0</v>
      </c>
      <c r="AY61" s="78">
        <f>IF(AX61=0,AW61,(VLOOKUP($AW61,$AO$58:$AR$62,2,0)-AV60)/AU61*AW60+(AV61-VLOOKUP($AW61,$AO$58:$AR$62,2,0))/AU61*AW61)</f>
        <v>0.15</v>
      </c>
      <c r="AZ61" s="52">
        <f t="shared" si="90"/>
        <v>4211.33</v>
      </c>
      <c r="BA61" s="78">
        <f t="shared" si="89"/>
        <v>0.84491000000000005</v>
      </c>
      <c r="BB61" s="52">
        <f t="shared" si="78"/>
        <v>33030</v>
      </c>
      <c r="BC61" s="52">
        <f t="shared" si="79"/>
        <v>28075.5</v>
      </c>
      <c r="BE61" s="51">
        <v>59</v>
      </c>
      <c r="BF61" s="54">
        <v>29.5</v>
      </c>
      <c r="BG61" s="74" t="s">
        <v>0</v>
      </c>
    </row>
    <row r="62" spans="31:59" ht="39.950000000000003" hidden="1" customHeight="1" x14ac:dyDescent="0.25">
      <c r="AE62" s="50">
        <f>($AF$8)</f>
        <v>33030</v>
      </c>
      <c r="AF62" s="52">
        <f>($AF$8)</f>
        <v>33030</v>
      </c>
      <c r="AG62" s="52">
        <f t="shared" si="77"/>
        <v>0</v>
      </c>
      <c r="AH62" s="52">
        <f t="shared" si="80"/>
        <v>0</v>
      </c>
      <c r="AI62" s="52">
        <f t="shared" si="81"/>
        <v>250.69770000000003</v>
      </c>
      <c r="AJ62" s="52">
        <f t="shared" si="82"/>
        <v>33030</v>
      </c>
      <c r="AK62" s="52">
        <f>(0)</f>
        <v>0</v>
      </c>
      <c r="AL62" s="52">
        <f t="shared" si="83"/>
        <v>33030</v>
      </c>
      <c r="AM62" s="52">
        <f t="shared" si="84"/>
        <v>-4624.2000000000007</v>
      </c>
      <c r="AN62" s="52">
        <f t="shared" si="85"/>
        <v>-330.3</v>
      </c>
      <c r="AO62" s="77">
        <v>0.4</v>
      </c>
      <c r="AP62" s="79">
        <f>$AQ$61</f>
        <v>5300000</v>
      </c>
      <c r="AQ62" s="52">
        <v>999999999</v>
      </c>
      <c r="AR62" s="52">
        <f>(AQ61-AP61)*AO61+AR61</f>
        <v>1697500</v>
      </c>
      <c r="AS62" s="52">
        <f t="shared" si="86"/>
        <v>28075.5</v>
      </c>
      <c r="AT62" s="52">
        <f>(0)</f>
        <v>0</v>
      </c>
      <c r="AU62" s="52">
        <f t="shared" si="87"/>
        <v>28075.5</v>
      </c>
      <c r="AV62" s="52">
        <f>SUM(AU$58:$AU62)</f>
        <v>140377.5</v>
      </c>
      <c r="AW62" s="76">
        <f>IF(AV62&lt;=$AQ$58,$AO$58,
IF(AV62&gt;$AQ$60,
IF(AV62&gt;$AQ$61,$AO$62,$AO$61),
IF(AV62&lt;$AQ$59,$AO$59,$AO$60)))</f>
        <v>0.15</v>
      </c>
      <c r="AX62" s="73">
        <f t="shared" si="88"/>
        <v>0</v>
      </c>
      <c r="AY62" s="78">
        <f>IF(AX62=0,AW62,(VLOOKUP($AW62,$AO$58:$AR$62,2,0)-AV61)/AU62*AW61+(AV62-VLOOKUP($AW62,$AO$58:$AR$62,2,0))/AU62*AW62)</f>
        <v>0.15</v>
      </c>
      <c r="AZ62" s="52">
        <f t="shared" si="90"/>
        <v>4211.33</v>
      </c>
      <c r="BA62" s="78">
        <f t="shared" si="89"/>
        <v>0.84491000000000005</v>
      </c>
      <c r="BB62" s="52">
        <f t="shared" si="78"/>
        <v>33030</v>
      </c>
      <c r="BC62" s="52">
        <f t="shared" si="79"/>
        <v>28075.5</v>
      </c>
      <c r="BE62" s="51">
        <v>60</v>
      </c>
      <c r="BF62" s="54">
        <v>30</v>
      </c>
      <c r="BG62" s="74" t="s">
        <v>0</v>
      </c>
    </row>
    <row r="63" spans="31:59" ht="39.950000000000003" hidden="1" customHeight="1" x14ac:dyDescent="0.25">
      <c r="AE63" s="50">
        <f>($AF$8)</f>
        <v>33030</v>
      </c>
      <c r="AF63" s="52">
        <f>($AF$8)</f>
        <v>33030</v>
      </c>
      <c r="AG63" s="52">
        <f t="shared" si="77"/>
        <v>0</v>
      </c>
      <c r="AH63" s="52">
        <f t="shared" si="80"/>
        <v>0</v>
      </c>
      <c r="AI63" s="52">
        <f t="shared" si="81"/>
        <v>250.69770000000003</v>
      </c>
      <c r="AJ63" s="52">
        <f t="shared" si="82"/>
        <v>33030</v>
      </c>
      <c r="AK63" s="52">
        <f>(0)</f>
        <v>0</v>
      </c>
      <c r="AL63" s="52">
        <f t="shared" si="83"/>
        <v>33030</v>
      </c>
      <c r="AM63" s="52">
        <f t="shared" si="84"/>
        <v>-4624.2000000000007</v>
      </c>
      <c r="AN63" s="52">
        <f t="shared" si="85"/>
        <v>-330.3</v>
      </c>
      <c r="AO63" s="52" t="s">
        <v>0</v>
      </c>
      <c r="AP63" s="52" t="s">
        <v>0</v>
      </c>
      <c r="AQ63" s="52" t="s">
        <v>0</v>
      </c>
      <c r="AR63" s="52" t="s">
        <v>0</v>
      </c>
      <c r="AS63" s="52">
        <f t="shared" si="86"/>
        <v>28075.5</v>
      </c>
      <c r="AT63" s="52">
        <f>(0)</f>
        <v>0</v>
      </c>
      <c r="AU63" s="52">
        <f t="shared" si="87"/>
        <v>28075.5</v>
      </c>
      <c r="AV63" s="52">
        <f>SUM(AU$58:$AU63)</f>
        <v>168453</v>
      </c>
      <c r="AW63" s="76">
        <f>IF(AV63&lt;=$AQ$58,$AO$58,
IF(AV63&gt;$AQ$60,
IF(AV63&gt;$AQ$61,$AO$62,$AO$61),
IF(AV63&lt;$AQ$59,$AO$59,$AO$60)))</f>
        <v>0.15</v>
      </c>
      <c r="AX63" s="73">
        <f t="shared" si="88"/>
        <v>0</v>
      </c>
      <c r="AY63" s="78">
        <f>IF(AX63=0,AW63,(VLOOKUP($AW63,$AO$58:$AR$62,2,0)-AV62)/AU63*AW62+(AV63-VLOOKUP($AW63,$AO$58:$AR$62,2,0))/AU63*AW63)</f>
        <v>0.15</v>
      </c>
      <c r="AZ63" s="52">
        <f t="shared" si="90"/>
        <v>4211.33</v>
      </c>
      <c r="BA63" s="78">
        <f t="shared" si="89"/>
        <v>0.84491000000000005</v>
      </c>
      <c r="BB63" s="52">
        <f t="shared" si="78"/>
        <v>33030</v>
      </c>
      <c r="BC63" s="52">
        <f t="shared" si="79"/>
        <v>28075.5</v>
      </c>
      <c r="BE63" s="51">
        <v>61</v>
      </c>
      <c r="BF63" s="54">
        <v>30.5</v>
      </c>
      <c r="BG63" s="74" t="s">
        <v>0</v>
      </c>
    </row>
    <row r="64" spans="31:59" ht="39.950000000000003" hidden="1" customHeight="1" x14ac:dyDescent="0.25">
      <c r="AE64" s="50">
        <f>($AG$8)</f>
        <v>33030</v>
      </c>
      <c r="AF64" s="52">
        <f>($AG$8)</f>
        <v>33030</v>
      </c>
      <c r="AG64" s="52">
        <f t="shared" si="77"/>
        <v>0</v>
      </c>
      <c r="AH64" s="52">
        <f t="shared" si="80"/>
        <v>0</v>
      </c>
      <c r="AI64" s="52">
        <f t="shared" si="81"/>
        <v>250.69770000000003</v>
      </c>
      <c r="AJ64" s="52">
        <f t="shared" si="82"/>
        <v>33030</v>
      </c>
      <c r="AK64" s="52">
        <f>(0)</f>
        <v>0</v>
      </c>
      <c r="AL64" s="52">
        <f t="shared" si="83"/>
        <v>33030</v>
      </c>
      <c r="AM64" s="52">
        <f t="shared" si="84"/>
        <v>-4624.2000000000007</v>
      </c>
      <c r="AN64" s="52">
        <f t="shared" si="85"/>
        <v>-330.3</v>
      </c>
      <c r="AO64" s="52" t="s">
        <v>0</v>
      </c>
      <c r="AP64" s="52" t="s">
        <v>0</v>
      </c>
      <c r="AQ64" s="52" t="s">
        <v>0</v>
      </c>
      <c r="AR64" s="52" t="s">
        <v>0</v>
      </c>
      <c r="AS64" s="52">
        <f t="shared" si="86"/>
        <v>28075.5</v>
      </c>
      <c r="AT64" s="52">
        <f>(0)</f>
        <v>0</v>
      </c>
      <c r="AU64" s="52">
        <f t="shared" si="87"/>
        <v>28075.5</v>
      </c>
      <c r="AV64" s="52">
        <f>SUM(AU$58:$AU64)</f>
        <v>196528.5</v>
      </c>
      <c r="AW64" s="76">
        <f>IF(AV64&lt;=$AQ$58,$AO$58,
IF(AV64&gt;$AQ$60,
IF(AV64&gt;$AQ$61,$AO$62,$AO$61),
IF(AV64&lt;$AQ$59,$AO$59,$AO$60)))</f>
        <v>0.2</v>
      </c>
      <c r="AX64" s="73">
        <f t="shared" si="88"/>
        <v>1</v>
      </c>
      <c r="AY64" s="78">
        <f>IF(AX64=0,AW64,(VLOOKUP($AW64,$AO$58:$AR$62,2,0)-AV63)/AU64*AW63+(AV64-VLOOKUP($AW64,$AO$58:$AR$62,2,0))/AU64*AW64)</f>
        <v>0.16162668518815337</v>
      </c>
      <c r="AZ64" s="52">
        <f t="shared" si="90"/>
        <v>4537.75</v>
      </c>
      <c r="BA64" s="78">
        <f t="shared" si="89"/>
        <v>0.83502731759006965</v>
      </c>
      <c r="BB64" s="52">
        <f t="shared" si="78"/>
        <v>33030</v>
      </c>
      <c r="BC64" s="52">
        <f t="shared" si="79"/>
        <v>28075.5</v>
      </c>
      <c r="BE64" s="51">
        <v>62</v>
      </c>
      <c r="BF64" s="54">
        <v>31</v>
      </c>
      <c r="BG64" s="74" t="s">
        <v>0</v>
      </c>
    </row>
    <row r="65" spans="31:59" ht="39.950000000000003" hidden="1" customHeight="1" x14ac:dyDescent="0.25">
      <c r="AE65" s="50">
        <f>($AG$8)</f>
        <v>33030</v>
      </c>
      <c r="AF65" s="52">
        <f>($AG$8)</f>
        <v>33030</v>
      </c>
      <c r="AG65" s="52">
        <f t="shared" si="77"/>
        <v>0</v>
      </c>
      <c r="AH65" s="52">
        <f t="shared" si="80"/>
        <v>0</v>
      </c>
      <c r="AI65" s="52">
        <f t="shared" si="81"/>
        <v>250.69770000000003</v>
      </c>
      <c r="AJ65" s="52">
        <f t="shared" si="82"/>
        <v>33030</v>
      </c>
      <c r="AK65" s="52">
        <f>(0)</f>
        <v>0</v>
      </c>
      <c r="AL65" s="52">
        <f t="shared" si="83"/>
        <v>33030</v>
      </c>
      <c r="AM65" s="52">
        <f t="shared" si="84"/>
        <v>-4624.2000000000007</v>
      </c>
      <c r="AN65" s="52">
        <f t="shared" si="85"/>
        <v>-330.3</v>
      </c>
      <c r="AO65" s="52" t="s">
        <v>0</v>
      </c>
      <c r="AP65" s="52" t="s">
        <v>0</v>
      </c>
      <c r="AQ65" s="52" t="s">
        <v>0</v>
      </c>
      <c r="AR65" s="52" t="s">
        <v>0</v>
      </c>
      <c r="AS65" s="52">
        <f t="shared" si="86"/>
        <v>28075.5</v>
      </c>
      <c r="AT65" s="52">
        <f>(0)</f>
        <v>0</v>
      </c>
      <c r="AU65" s="52">
        <f t="shared" si="87"/>
        <v>28075.5</v>
      </c>
      <c r="AV65" s="52">
        <f>SUM(AU$58:$AU65)</f>
        <v>224604</v>
      </c>
      <c r="AW65" s="76">
        <f>IF(AV65&lt;=$AQ$58,$AO$58,
IF(AV65&gt;$AQ$60,
IF(AV65&gt;$AQ$61,$AO$62,$AO$61),
IF(AV65&lt;$AQ$59,$AO$59,$AO$60)))</f>
        <v>0.2</v>
      </c>
      <c r="AX65" s="73">
        <f t="shared" si="88"/>
        <v>0</v>
      </c>
      <c r="AY65" s="78">
        <f>IF(AX65=0,AW65,(VLOOKUP($AW65,$AO$58:$AR$62,2,0)-AV64)/AU65*AW64+(AV65-VLOOKUP($AW65,$AO$58:$AR$62,2,0))/AU65*AW65)</f>
        <v>0.2</v>
      </c>
      <c r="AZ65" s="52">
        <f t="shared" si="90"/>
        <v>5615.1</v>
      </c>
      <c r="BA65" s="78">
        <f t="shared" si="89"/>
        <v>0.80240999999999996</v>
      </c>
      <c r="BB65" s="52">
        <f t="shared" si="78"/>
        <v>33030</v>
      </c>
      <c r="BC65" s="52">
        <f t="shared" si="79"/>
        <v>28075.5</v>
      </c>
      <c r="BE65" s="51">
        <v>63</v>
      </c>
      <c r="BF65" s="54">
        <v>31.5</v>
      </c>
      <c r="BG65" s="74" t="s">
        <v>0</v>
      </c>
    </row>
    <row r="66" spans="31:59" ht="39.950000000000003" hidden="1" customHeight="1" x14ac:dyDescent="0.25">
      <c r="AE66" s="50">
        <f>($AG$8)</f>
        <v>33030</v>
      </c>
      <c r="AF66" s="52">
        <f>($AG$8)</f>
        <v>33030</v>
      </c>
      <c r="AG66" s="52">
        <f t="shared" si="77"/>
        <v>0</v>
      </c>
      <c r="AH66" s="52">
        <f t="shared" si="80"/>
        <v>0</v>
      </c>
      <c r="AI66" s="52">
        <f t="shared" si="81"/>
        <v>250.69770000000003</v>
      </c>
      <c r="AJ66" s="52">
        <f t="shared" si="82"/>
        <v>33030</v>
      </c>
      <c r="AK66" s="52">
        <f>(0)</f>
        <v>0</v>
      </c>
      <c r="AL66" s="52">
        <f t="shared" si="83"/>
        <v>33030</v>
      </c>
      <c r="AM66" s="52">
        <f t="shared" si="84"/>
        <v>-4624.2000000000007</v>
      </c>
      <c r="AN66" s="52">
        <f t="shared" si="85"/>
        <v>-330.3</v>
      </c>
      <c r="AO66" s="52" t="s">
        <v>0</v>
      </c>
      <c r="AP66" s="52" t="s">
        <v>0</v>
      </c>
      <c r="AQ66" s="52" t="s">
        <v>0</v>
      </c>
      <c r="AR66" s="52" t="s">
        <v>0</v>
      </c>
      <c r="AS66" s="52">
        <f t="shared" si="86"/>
        <v>28075.5</v>
      </c>
      <c r="AT66" s="52">
        <f>(0)</f>
        <v>0</v>
      </c>
      <c r="AU66" s="52">
        <f t="shared" si="87"/>
        <v>28075.5</v>
      </c>
      <c r="AV66" s="52">
        <f>SUM(AU$58:$AU66)</f>
        <v>252679.5</v>
      </c>
      <c r="AW66" s="76">
        <f>IF(AV66&lt;=$AQ$58,$AO$58,
IF(AV66&gt;$AQ$60,
IF(AV66&gt;$AQ$61,$AO$62,$AO$61),
IF(AV66&lt;$AQ$59,$AO$59,$AO$60)))</f>
        <v>0.2</v>
      </c>
      <c r="AX66" s="73">
        <f t="shared" si="88"/>
        <v>0</v>
      </c>
      <c r="AY66" s="78">
        <f>IF(AX66=0,AW66,(VLOOKUP($AW66,$AO$58:$AR$62,2,0)-AV65)/AU66*AW65+(AV66-VLOOKUP($AW66,$AO$58:$AR$62,2,0))/AU66*AW66)</f>
        <v>0.2</v>
      </c>
      <c r="AZ66" s="52">
        <f t="shared" si="90"/>
        <v>5615.1</v>
      </c>
      <c r="BA66" s="78">
        <f t="shared" si="89"/>
        <v>0.80240999999999996</v>
      </c>
      <c r="BB66" s="52">
        <f t="shared" si="78"/>
        <v>33030</v>
      </c>
      <c r="BC66" s="52">
        <f t="shared" si="79"/>
        <v>28075.5</v>
      </c>
      <c r="BE66" s="51">
        <v>64</v>
      </c>
      <c r="BF66" s="54">
        <v>32</v>
      </c>
      <c r="BG66" s="74" t="s">
        <v>0</v>
      </c>
    </row>
    <row r="67" spans="31:59" ht="39.950000000000003" hidden="1" customHeight="1" x14ac:dyDescent="0.25">
      <c r="AE67" s="50">
        <f>($AG$8)</f>
        <v>33030</v>
      </c>
      <c r="AF67" s="52">
        <f>($AG$8)</f>
        <v>33030</v>
      </c>
      <c r="AG67" s="52">
        <f t="shared" si="77"/>
        <v>0</v>
      </c>
      <c r="AH67" s="52">
        <f t="shared" si="80"/>
        <v>0</v>
      </c>
      <c r="AI67" s="52">
        <f t="shared" si="81"/>
        <v>250.69770000000003</v>
      </c>
      <c r="AJ67" s="52">
        <f t="shared" si="82"/>
        <v>33030</v>
      </c>
      <c r="AK67" s="52">
        <f>(0)</f>
        <v>0</v>
      </c>
      <c r="AL67" s="52">
        <f t="shared" si="83"/>
        <v>33030</v>
      </c>
      <c r="AM67" s="52">
        <f t="shared" si="84"/>
        <v>-4624.2000000000007</v>
      </c>
      <c r="AN67" s="52">
        <f t="shared" si="85"/>
        <v>-330.3</v>
      </c>
      <c r="AO67" s="52" t="s">
        <v>0</v>
      </c>
      <c r="AP67" s="52" t="s">
        <v>0</v>
      </c>
      <c r="AQ67" s="52" t="s">
        <v>0</v>
      </c>
      <c r="AR67" s="52" t="s">
        <v>0</v>
      </c>
      <c r="AS67" s="52">
        <f t="shared" si="86"/>
        <v>28075.5</v>
      </c>
      <c r="AT67" s="52">
        <f>(0)</f>
        <v>0</v>
      </c>
      <c r="AU67" s="52">
        <f t="shared" si="87"/>
        <v>28075.5</v>
      </c>
      <c r="AV67" s="52">
        <f>SUM(AU$58:$AU67)</f>
        <v>280755</v>
      </c>
      <c r="AW67" s="76">
        <f>IF(AV67&lt;=$AQ$58,$AO$58,
IF(AV67&gt;$AQ$60,
IF(AV67&gt;$AQ$61,$AO$62,$AO$61),
IF(AV67&lt;$AQ$59,$AO$59,$AO$60)))</f>
        <v>0.2</v>
      </c>
      <c r="AX67" s="73">
        <f t="shared" si="88"/>
        <v>0</v>
      </c>
      <c r="AY67" s="78">
        <f>IF(AX67=0,AW67,(VLOOKUP($AW67,$AO$58:$AR$62,2,0)-AV66)/AU67*AW66+(AV67-VLOOKUP($AW67,$AO$58:$AR$62,2,0))/AU67*AW67)</f>
        <v>0.2</v>
      </c>
      <c r="AZ67" s="52">
        <f t="shared" si="90"/>
        <v>5615.1</v>
      </c>
      <c r="BA67" s="78">
        <f t="shared" si="89"/>
        <v>0.80240999999999996</v>
      </c>
      <c r="BB67" s="52">
        <f t="shared" si="78"/>
        <v>33030</v>
      </c>
      <c r="BC67" s="52">
        <f t="shared" si="79"/>
        <v>28075.5</v>
      </c>
      <c r="BE67" s="51">
        <v>65</v>
      </c>
      <c r="BF67" s="54">
        <v>32.5</v>
      </c>
      <c r="BG67" s="74" t="s">
        <v>0</v>
      </c>
    </row>
    <row r="68" spans="31:59" ht="39.950000000000003" hidden="1" customHeight="1" x14ac:dyDescent="0.25">
      <c r="AE68" s="50">
        <f>($AG$8)</f>
        <v>33030</v>
      </c>
      <c r="AF68" s="52">
        <f>($AG$8)</f>
        <v>33030</v>
      </c>
      <c r="AG68" s="52">
        <f t="shared" si="77"/>
        <v>0</v>
      </c>
      <c r="AH68" s="52">
        <f t="shared" si="80"/>
        <v>0</v>
      </c>
      <c r="AI68" s="52">
        <f t="shared" si="81"/>
        <v>250.69770000000003</v>
      </c>
      <c r="AJ68" s="52">
        <f t="shared" si="82"/>
        <v>33030</v>
      </c>
      <c r="AK68" s="52">
        <f>(0)</f>
        <v>0</v>
      </c>
      <c r="AL68" s="52">
        <f t="shared" si="83"/>
        <v>33030</v>
      </c>
      <c r="AM68" s="52">
        <f t="shared" si="84"/>
        <v>-4624.2000000000007</v>
      </c>
      <c r="AN68" s="52">
        <f t="shared" si="85"/>
        <v>-330.3</v>
      </c>
      <c r="AO68" s="52" t="s">
        <v>0</v>
      </c>
      <c r="AP68" s="52" t="s">
        <v>0</v>
      </c>
      <c r="AQ68" s="52" t="s">
        <v>0</v>
      </c>
      <c r="AR68" s="52" t="s">
        <v>0</v>
      </c>
      <c r="AS68" s="52">
        <f t="shared" si="86"/>
        <v>28075.5</v>
      </c>
      <c r="AT68" s="52">
        <f>(0)</f>
        <v>0</v>
      </c>
      <c r="AU68" s="52">
        <f t="shared" si="87"/>
        <v>28075.5</v>
      </c>
      <c r="AV68" s="52">
        <f>SUM(AU$58:$AU68)</f>
        <v>308830.5</v>
      </c>
      <c r="AW68" s="76">
        <f>IF(AV68&lt;=$AQ$58,$AO$58,
IF(AV68&gt;$AQ$60,
IF(AV68&gt;$AQ$61,$AO$62,$AO$61),
IF(AV68&lt;$AQ$59,$AO$59,$AO$60)))</f>
        <v>0.2</v>
      </c>
      <c r="AX68" s="73">
        <f t="shared" si="88"/>
        <v>0</v>
      </c>
      <c r="AY68" s="78">
        <f>IF(AX68=0,AW68,(VLOOKUP($AW68,$AO$58:$AR$62,2,0)-AV67)/AU68*AW67+(AV68-VLOOKUP($AW68,$AO$58:$AR$62,2,0))/AU68*AW68)</f>
        <v>0.2</v>
      </c>
      <c r="AZ68" s="52">
        <f t="shared" si="90"/>
        <v>5615.1</v>
      </c>
      <c r="BA68" s="78">
        <f t="shared" si="89"/>
        <v>0.80240999999999996</v>
      </c>
      <c r="BB68" s="52">
        <f t="shared" si="78"/>
        <v>33030</v>
      </c>
      <c r="BC68" s="52">
        <f t="shared" si="79"/>
        <v>28075.5</v>
      </c>
      <c r="BE68" s="51">
        <v>66</v>
      </c>
      <c r="BF68" s="54">
        <v>33</v>
      </c>
      <c r="BG68" s="74" t="s">
        <v>0</v>
      </c>
    </row>
    <row r="69" spans="31:59" ht="39.950000000000003" hidden="1" customHeight="1" x14ac:dyDescent="0.25">
      <c r="AE69" s="50">
        <f>($AG$8)</f>
        <v>33030</v>
      </c>
      <c r="AF69" s="52">
        <f>($AG$8)</f>
        <v>33030</v>
      </c>
      <c r="AG69" s="52">
        <f t="shared" si="77"/>
        <v>0</v>
      </c>
      <c r="AH69" s="52">
        <f t="shared" si="80"/>
        <v>0</v>
      </c>
      <c r="AI69" s="52">
        <f t="shared" si="81"/>
        <v>250.69770000000003</v>
      </c>
      <c r="AJ69" s="52">
        <f t="shared" si="82"/>
        <v>33030</v>
      </c>
      <c r="AK69" s="52">
        <f>(0)</f>
        <v>0</v>
      </c>
      <c r="AL69" s="52">
        <f t="shared" si="83"/>
        <v>33030</v>
      </c>
      <c r="AM69" s="52">
        <f t="shared" si="84"/>
        <v>-4624.2000000000007</v>
      </c>
      <c r="AN69" s="52">
        <f t="shared" si="85"/>
        <v>-330.3</v>
      </c>
      <c r="AO69" s="52" t="s">
        <v>0</v>
      </c>
      <c r="AP69" s="52" t="s">
        <v>0</v>
      </c>
      <c r="AQ69" s="52" t="s">
        <v>0</v>
      </c>
      <c r="AR69" s="52" t="s">
        <v>0</v>
      </c>
      <c r="AS69" s="52">
        <f t="shared" si="86"/>
        <v>28075.5</v>
      </c>
      <c r="AT69" s="52">
        <f>(0)</f>
        <v>0</v>
      </c>
      <c r="AU69" s="52">
        <f t="shared" si="87"/>
        <v>28075.5</v>
      </c>
      <c r="AV69" s="52">
        <f>SUM(AU$58:$AU69)</f>
        <v>336906</v>
      </c>
      <c r="AW69" s="76">
        <f>IF(AV69&lt;=$AQ$58,$AO$58,
IF(AV69&gt;$AQ$60,
IF(AV69&gt;$AQ$61,$AO$62,$AO$61),
IF(AV69&lt;$AQ$59,$AO$59,$AO$60)))</f>
        <v>0.2</v>
      </c>
      <c r="AX69" s="73">
        <f t="shared" si="88"/>
        <v>0</v>
      </c>
      <c r="AY69" s="78">
        <f>IF(AX69=0,AW69,(VLOOKUP($AW69,$AO$58:$AR$62,2,0)-AV68)/AU69*AW68+(AV69-VLOOKUP($AW69,$AO$58:$AR$62,2,0))/AU69*AW69)</f>
        <v>0.2</v>
      </c>
      <c r="AZ69" s="52">
        <f t="shared" si="90"/>
        <v>5615.1</v>
      </c>
      <c r="BA69" s="78">
        <f t="shared" si="89"/>
        <v>0.80240999999999996</v>
      </c>
      <c r="BB69" s="52">
        <f t="shared" si="78"/>
        <v>33030</v>
      </c>
      <c r="BC69" s="52">
        <f t="shared" si="79"/>
        <v>28075.5</v>
      </c>
      <c r="BE69" s="51">
        <v>67</v>
      </c>
      <c r="BF69" s="54">
        <v>33.5</v>
      </c>
      <c r="BG69" s="74" t="s">
        <v>0</v>
      </c>
    </row>
    <row r="70" spans="31:59" ht="39.950000000000003" hidden="1" customHeight="1" x14ac:dyDescent="0.25">
      <c r="AE70" s="52">
        <f t="shared" ref="AE70" si="91">(AE58+AE59+AE60+AE61+AE62+AE63+AE64+AE65+AE66+AE67+AE68+AE69)</f>
        <v>396360</v>
      </c>
      <c r="AF70" s="52">
        <f t="shared" ref="AF70" si="92">(AF58+AF59+AF60+AF61+AF62+AF63+AF64+AF65+AF66+AF67+AF68+AF69)</f>
        <v>396360</v>
      </c>
      <c r="AG70" s="52">
        <f t="shared" ref="AG70" si="93">(AG58+AG59+AG60+AG61+AG62+AG63+AG64+AG65+AG66+AG67+AG68+AG69)</f>
        <v>0</v>
      </c>
      <c r="AH70" s="52">
        <f t="shared" ref="AH70:AJ70" si="94">(AH58+AH59+AH60+AH61+AH62+AH63+AH64+AH65+AH66+AH67+AH68+AH69)</f>
        <v>0</v>
      </c>
      <c r="AI70" s="52">
        <f t="shared" si="94"/>
        <v>3008.3724000000007</v>
      </c>
      <c r="AJ70" s="52">
        <f t="shared" si="94"/>
        <v>396360</v>
      </c>
      <c r="AK70" s="52">
        <f t="shared" ref="AK70:AL70" si="95">(AK58+AK59+AK60+AK61+AK62+AK63+AK64+AK65+AK66+AK67+AK68+AK69)</f>
        <v>0</v>
      </c>
      <c r="AL70" s="52">
        <f t="shared" si="95"/>
        <v>396360</v>
      </c>
      <c r="AM70" s="52">
        <f t="shared" ref="AM70" si="96">(AM58+AM59+AM60+AM61+AM62+AM63+AM64+AM65+AM66+AM67+AM68+AM69)</f>
        <v>-55490.399999999994</v>
      </c>
      <c r="AN70" s="52">
        <f t="shared" ref="AN70" si="97">(AN58+AN59+AN60+AN61+AN62+AN63+AN64+AN65+AN66+AN67+AN68+AN69)</f>
        <v>-3963.6000000000008</v>
      </c>
      <c r="AO70" s="59" t="s">
        <v>0</v>
      </c>
      <c r="AP70" s="59" t="s">
        <v>0</v>
      </c>
      <c r="AQ70" s="59" t="s">
        <v>0</v>
      </c>
      <c r="AR70" s="59" t="s">
        <v>0</v>
      </c>
      <c r="AS70" s="52">
        <f t="shared" ref="AS70:AU70" si="98">(AS58+AS59+AS60+AS61+AS62+AS63+AS64+AS65+AS66+AS67+AS68+AS69)</f>
        <v>336906</v>
      </c>
      <c r="AT70" s="52">
        <f t="shared" si="98"/>
        <v>0</v>
      </c>
      <c r="AU70" s="52">
        <f t="shared" si="98"/>
        <v>336906</v>
      </c>
      <c r="AV70" s="59" t="s">
        <v>0</v>
      </c>
      <c r="AW70" s="51" t="s">
        <v>0</v>
      </c>
      <c r="AX70" s="51" t="s">
        <v>0</v>
      </c>
      <c r="AY70" s="51" t="s">
        <v>0</v>
      </c>
      <c r="AZ70" s="52">
        <f t="shared" ref="AZ70" si="99">(AZ58+AZ59+AZ60+AZ61+AZ62+AZ63+AZ64+AZ65+AZ66+AZ67+AZ68+AZ69)</f>
        <v>57881.229999999996</v>
      </c>
      <c r="BA70" s="51" t="s">
        <v>0</v>
      </c>
      <c r="BB70" s="52">
        <f t="shared" ref="BB70" si="100">(BB58+BB59+BB60+BB61+BB62+BB63+BB64+BB65+BB66+BB67+BB68+BB69)</f>
        <v>396360</v>
      </c>
      <c r="BC70" s="52">
        <f t="shared" ref="BC70" si="101">(BC58+BC59+BC60+BC61+BC62+BC63+BC64+BC65+BC66+BC67+BC68+BC69)</f>
        <v>336906</v>
      </c>
      <c r="BE70" s="51">
        <v>68</v>
      </c>
      <c r="BF70" s="54">
        <v>34</v>
      </c>
      <c r="BG70" s="74" t="s">
        <v>0</v>
      </c>
    </row>
    <row r="71" spans="31:59" ht="39.950000000000003" hidden="1" customHeight="1" x14ac:dyDescent="0.25">
      <c r="AE71" s="52">
        <f t="shared" ref="AE71" si="102">(AE70/12)</f>
        <v>33030</v>
      </c>
      <c r="AF71" s="52">
        <f t="shared" ref="AF71" si="103">(AF70/12)</f>
        <v>33030</v>
      </c>
      <c r="AG71" s="52">
        <f t="shared" ref="AG71" si="104">(AG70/12)</f>
        <v>0</v>
      </c>
      <c r="AH71" s="52">
        <f t="shared" ref="AH71:AJ71" si="105">(AH70/12)</f>
        <v>0</v>
      </c>
      <c r="AI71" s="52">
        <f t="shared" si="105"/>
        <v>250.69770000000005</v>
      </c>
      <c r="AJ71" s="52">
        <f t="shared" si="105"/>
        <v>33030</v>
      </c>
      <c r="AK71" s="52">
        <f t="shared" ref="AK71:AL71" si="106">(AK70/12)</f>
        <v>0</v>
      </c>
      <c r="AL71" s="52">
        <f t="shared" si="106"/>
        <v>33030</v>
      </c>
      <c r="AM71" s="52">
        <f t="shared" ref="AM71" si="107">(AM70/12)</f>
        <v>-4624.2</v>
      </c>
      <c r="AN71" s="52">
        <f t="shared" ref="AN71" si="108">(AN70/12)</f>
        <v>-330.30000000000007</v>
      </c>
      <c r="AO71" s="59" t="s">
        <v>0</v>
      </c>
      <c r="AP71" s="59" t="s">
        <v>0</v>
      </c>
      <c r="AQ71" s="59" t="s">
        <v>0</v>
      </c>
      <c r="AR71" s="59" t="s">
        <v>0</v>
      </c>
      <c r="AS71" s="52">
        <f t="shared" ref="AS71:AU71" si="109">(AS70/12)</f>
        <v>28075.5</v>
      </c>
      <c r="AT71" s="52">
        <f t="shared" si="109"/>
        <v>0</v>
      </c>
      <c r="AU71" s="52">
        <f t="shared" si="109"/>
        <v>28075.5</v>
      </c>
      <c r="AV71" s="59" t="s">
        <v>0</v>
      </c>
      <c r="AW71" s="59" t="s">
        <v>0</v>
      </c>
      <c r="AX71" s="59" t="s">
        <v>0</v>
      </c>
      <c r="AY71" s="59" t="s">
        <v>0</v>
      </c>
      <c r="AZ71" s="52">
        <f t="shared" ref="AZ71" si="110">(AZ70/12)</f>
        <v>4823.435833333333</v>
      </c>
      <c r="BA71" s="59" t="s">
        <v>0</v>
      </c>
      <c r="BB71" s="52">
        <f t="shared" ref="BB71" si="111">(BB70/12)</f>
        <v>33030</v>
      </c>
      <c r="BC71" s="52">
        <f t="shared" ref="BC71" si="112">(BC70/12)</f>
        <v>28075.5</v>
      </c>
      <c r="BE71" s="51">
        <v>69</v>
      </c>
      <c r="BF71" s="54">
        <v>34.5</v>
      </c>
      <c r="BG71" s="74" t="s">
        <v>0</v>
      </c>
    </row>
    <row r="72" spans="31:59" ht="39.950000000000003" hidden="1" customHeight="1" x14ac:dyDescent="0.25">
      <c r="AQ72" s="52">
        <f>(0)</f>
        <v>0</v>
      </c>
      <c r="AR72" s="76">
        <f>(0%)</f>
        <v>0</v>
      </c>
      <c r="BE72" s="51">
        <v>70</v>
      </c>
      <c r="BF72" s="54">
        <v>35</v>
      </c>
      <c r="BG72" s="74" t="s">
        <v>0</v>
      </c>
    </row>
    <row r="73" spans="31:59" ht="39.950000000000003" hidden="1" customHeight="1" x14ac:dyDescent="0.25">
      <c r="AE73" s="52">
        <f ca="1">(AS15+AU15+AW15+AY15+AI1+AK1+AM1+AJ29+AM29+AP29+AS29+AX29+AX43+AI43+AK43+AO43)</f>
        <v>80203.382834673641</v>
      </c>
      <c r="AF73" s="52">
        <f>(AP1+AF58)</f>
        <v>38430</v>
      </c>
      <c r="AG73" s="52">
        <f t="shared" ref="AG73" ca="1" si="113">(AE73-AF73)</f>
        <v>41773.382834673641</v>
      </c>
      <c r="AH73" s="52">
        <f t="shared" ref="AH73" ca="1" si="114">(AG73*0.00759*-1)</f>
        <v>-317.05997571517292</v>
      </c>
      <c r="AI73" s="52">
        <f t="shared" ref="AI73" ca="1" si="115">(AE73)</f>
        <v>80203.382834673641</v>
      </c>
      <c r="AJ73" s="52">
        <f>(AT1+AU29+AM43+AP43)</f>
        <v>2844</v>
      </c>
      <c r="AK73" s="52">
        <f ca="1">IF(AI73-AJ73&gt;=AE58*7.5,AE58*7.5,AI73-AJ73)</f>
        <v>77359.382834673641</v>
      </c>
      <c r="AL73" s="52">
        <f t="shared" ref="AL73" ca="1" si="116">(AK73*0.14*-1)</f>
        <v>-10830.31359685431</v>
      </c>
      <c r="AM73" s="52">
        <f t="shared" ref="AM73" ca="1" si="117">(AK73*0.01*-1)</f>
        <v>-773.59382834673647</v>
      </c>
      <c r="AN73" s="52">
        <f t="shared" ref="AN73" ca="1" si="118">(AE73+AL73+AM73)</f>
        <v>68599.475409472594</v>
      </c>
      <c r="AO73" s="52">
        <f>(AY1+AV29+AN43+AP43+AT43)</f>
        <v>7846.96</v>
      </c>
      <c r="AP73" s="52">
        <f t="shared" ref="AP73" ca="1" si="119">(AN73-AO73)</f>
        <v>60752.515409472595</v>
      </c>
      <c r="AQ73" s="52">
        <f ca="1">SUM($AP$73:AP73)</f>
        <v>60752.515409472595</v>
      </c>
      <c r="AR73" s="76">
        <f ca="1">IF(AQ73&lt;=$AQ$58,$AO$58,
IF(AQ73&gt;$AQ$60,
IF(AQ73&gt;$AQ$61,$AO$62,$AO$61),
IF(AQ73&lt;$AQ$59,$AO$59,$AO$60)))</f>
        <v>0.15</v>
      </c>
      <c r="AS73" s="73">
        <f ca="1">IF(AR73-AR72=0,0,1)</f>
        <v>1</v>
      </c>
      <c r="AT73" s="78">
        <f ca="1">(IF(AS73=0,AR73,(VLOOKUP($AR73,$AO$58:$AR$62,2,0)-AQ72)/AP73*AR72+(AQ73-VLOOKUP($AR73,$AO$58:$AR$62,2,0))/AP73*AR73))</f>
        <v>0.15</v>
      </c>
      <c r="AU73" s="52">
        <f ca="1">(ROUND(AP73*AT73,2)*(-1)+VLOOKUP(AR73,$AO$58:$AR$62,4,0)*(-1))</f>
        <v>-9112.8799999999992</v>
      </c>
      <c r="AV73" s="52">
        <f ca="1">(AU73+AZ58)</f>
        <v>-4901.5499999999993</v>
      </c>
      <c r="AW73" s="78">
        <f t="shared" ref="AW73:AW74" ca="1" si="120">(100+(100*0.00759*-1)+(100)*AT73*-1)/100</f>
        <v>0.84240999999999999</v>
      </c>
      <c r="AX73" s="78">
        <f t="shared" ref="AX73:AX84" si="121">(100+(100*0.00759*-1)+(100*0.14*-1)+(100*0.01*-1))/100</f>
        <v>0.84240999999999999</v>
      </c>
      <c r="AY73" s="78">
        <f t="shared" ref="AY73:AY74" ca="1" si="122">(100+(100*0.00759*-1)+(100*0.14*-1)+(100*0.01*-1)+(100+100*0.14*-1+100*0.01*-1)*AT73*-1)/100</f>
        <v>0.71491000000000005</v>
      </c>
      <c r="AZ73" s="52">
        <f ca="1">(AE73)</f>
        <v>80203.382834673641</v>
      </c>
      <c r="BA73" s="52">
        <f ca="1">(AZ73*0.205)</f>
        <v>16441.693481108094</v>
      </c>
      <c r="BB73" s="52">
        <f ca="1">(AZ73*0.01)</f>
        <v>802.03382834673641</v>
      </c>
      <c r="BC73" s="52">
        <f ca="1">(AZ73*0.05*-1)</f>
        <v>-4010.1691417336824</v>
      </c>
      <c r="BD73" s="52">
        <f ca="1">(AZ73+BA73+BB73+BC73)</f>
        <v>93436.9410023948</v>
      </c>
      <c r="BE73" s="51">
        <v>71</v>
      </c>
      <c r="BF73" s="54">
        <v>35.5</v>
      </c>
      <c r="BG73" s="74" t="s">
        <v>0</v>
      </c>
    </row>
    <row r="74" spans="31:59" ht="39.950000000000003" hidden="1" customHeight="1" x14ac:dyDescent="0.25">
      <c r="AE74" s="52">
        <f ca="1">(AS16+AU16+AW16+AY16+AI2+AK2+AM2+AJ30+AM30+AP30+AS30+AX30+AX44+AI44+AK44+AO44)</f>
        <v>73595.386045021267</v>
      </c>
      <c r="AF74" s="52">
        <f>(AP2+AF59)</f>
        <v>38430</v>
      </c>
      <c r="AG74" s="52">
        <f t="shared" ref="AG74:AG84" ca="1" si="123">(AE74-AF74)</f>
        <v>35165.386045021267</v>
      </c>
      <c r="AH74" s="52">
        <f t="shared" ref="AH74:AH84" ca="1" si="124">(AG74*0.00759*-1)</f>
        <v>-266.90528008171145</v>
      </c>
      <c r="AI74" s="52">
        <f t="shared" ref="AI74:AI84" ca="1" si="125">(AE74)</f>
        <v>73595.386045021267</v>
      </c>
      <c r="AJ74" s="52">
        <f>(AT2+AU30+AM44+AP44)</f>
        <v>2844</v>
      </c>
      <c r="AK74" s="52">
        <f ca="1">IF(AI74-AJ74&gt;=AE59*7.5,AE59*7.5,AI74-AJ74)</f>
        <v>70751.386045021267</v>
      </c>
      <c r="AL74" s="52">
        <f t="shared" ref="AL74:AL84" ca="1" si="126">(AK74*0.14*-1)</f>
        <v>-9905.1940463029787</v>
      </c>
      <c r="AM74" s="52">
        <f t="shared" ref="AM74:AM84" ca="1" si="127">(AK74*0.01*-1)</f>
        <v>-707.51386045021263</v>
      </c>
      <c r="AN74" s="52">
        <f t="shared" ref="AN74:AN84" ca="1" si="128">(AE74+AL74+AM74)</f>
        <v>62982.678138268078</v>
      </c>
      <c r="AO74" s="52">
        <f>(AY2+AV30+AN44+AP44+AT44)</f>
        <v>7846.96</v>
      </c>
      <c r="AP74" s="52">
        <f t="shared" ref="AP74:AP84" ca="1" si="129">(AN74-AO74)</f>
        <v>55135.718138268079</v>
      </c>
      <c r="AQ74" s="52">
        <f ca="1">SUM($AP$73:AP74)</f>
        <v>115888.23354774067</v>
      </c>
      <c r="AR74" s="76">
        <f ca="1">IF(AQ74&lt;=$AQ$58,$AO$58,
IF(AQ74&gt;$AQ$60,
IF(AQ74&gt;$AQ$61,$AO$62,$AO$61),
IF(AQ74&lt;$AQ$59,$AO$59,$AO$60)))</f>
        <v>0.15</v>
      </c>
      <c r="AS74" s="73">
        <f t="shared" ref="AS74:AS84" ca="1" si="130">IF(AR74-AR73=0,0,1)</f>
        <v>0</v>
      </c>
      <c r="AT74" s="78">
        <f ca="1">(IF(AS74=0,AR74,(VLOOKUP($AR74,$AO$58:$AR$62,2,0)-AQ73)/AP74*AR73+(AQ74-VLOOKUP($AR74,$AO$58:$AR$62,2,0))/AP74*AR74))</f>
        <v>0.15</v>
      </c>
      <c r="AU74" s="52">
        <f ca="1">(ROUND(AP74*AT74,2)*(-1))</f>
        <v>-8270.36</v>
      </c>
      <c r="AV74" s="52">
        <f ca="1">(AU74+AZ59)</f>
        <v>-4059.0300000000007</v>
      </c>
      <c r="AW74" s="78">
        <f t="shared" ca="1" si="120"/>
        <v>0.84240999999999999</v>
      </c>
      <c r="AX74" s="78">
        <f t="shared" si="121"/>
        <v>0.84240999999999999</v>
      </c>
      <c r="AY74" s="78">
        <f t="shared" ca="1" si="122"/>
        <v>0.71491000000000005</v>
      </c>
      <c r="AZ74" s="52">
        <f ca="1">(AE74)</f>
        <v>73595.386045021267</v>
      </c>
      <c r="BA74" s="52">
        <f t="shared" ref="BA74:BA84" ca="1" si="131">(AZ74*0.205)</f>
        <v>15087.054139229358</v>
      </c>
      <c r="BB74" s="52">
        <f t="shared" ref="BB74:BB84" ca="1" si="132">(AZ74*0.01)</f>
        <v>735.95386045021269</v>
      </c>
      <c r="BC74" s="52">
        <f t="shared" ref="BC74:BC84" ca="1" si="133">(AZ74*0.05*-1)</f>
        <v>-3679.7693022510634</v>
      </c>
      <c r="BD74" s="52">
        <f t="shared" ref="BD74:BD84" ca="1" si="134">(AZ74+BA74+BB74+BC74)</f>
        <v>85738.624742449771</v>
      </c>
      <c r="BE74" s="51">
        <v>72</v>
      </c>
      <c r="BF74" s="54">
        <v>36</v>
      </c>
      <c r="BG74" s="74" t="s">
        <v>0</v>
      </c>
    </row>
    <row r="75" spans="31:59" ht="39.950000000000003" hidden="1" customHeight="1" x14ac:dyDescent="0.25">
      <c r="AE75" s="52">
        <f ca="1">(AS17+AU17+AW17+AY17+AI3+AK3+AM3+AJ31+AM31+AP31+AS31+AX31+AX45+AI45+AK45+AO45)</f>
        <v>111964.53449073592</v>
      </c>
      <c r="AF75" s="52">
        <f>(AP3+AF60)</f>
        <v>38430</v>
      </c>
      <c r="AG75" s="52">
        <f t="shared" ca="1" si="123"/>
        <v>73534.534490735925</v>
      </c>
      <c r="AH75" s="52">
        <f t="shared" ca="1" si="124"/>
        <v>-558.12711678468565</v>
      </c>
      <c r="AI75" s="52">
        <f t="shared" ca="1" si="125"/>
        <v>111964.53449073592</v>
      </c>
      <c r="AJ75" s="52">
        <f>(AT3+AU31+AM45+AP45)</f>
        <v>2844</v>
      </c>
      <c r="AK75" s="52">
        <f ca="1">IF(AI75-AJ75&gt;=AE60*7.5,AE60*7.5,AI75-AJ75)</f>
        <v>109120.53449073592</v>
      </c>
      <c r="AL75" s="52">
        <f t="shared" ca="1" si="126"/>
        <v>-15276.87482870303</v>
      </c>
      <c r="AM75" s="52">
        <f t="shared" ca="1" si="127"/>
        <v>-1091.2053449073592</v>
      </c>
      <c r="AN75" s="52">
        <f t="shared" ca="1" si="128"/>
        <v>95596.454317125535</v>
      </c>
      <c r="AO75" s="52">
        <f>(AY3+AV31+AN45+AP45+AT45)</f>
        <v>7846.96</v>
      </c>
      <c r="AP75" s="52">
        <f t="shared" ca="1" si="129"/>
        <v>87749.494317125529</v>
      </c>
      <c r="AQ75" s="52">
        <f ca="1">SUM($AP$73:AP75)</f>
        <v>203637.7278648662</v>
      </c>
      <c r="AR75" s="76">
        <f ca="1">IF(AQ75&lt;=$AQ$58,$AO$58,
IF(AQ75&gt;$AQ$60,
IF(AQ75&gt;$AQ$61,$AO$62,$AO$61),
IF(AQ75&lt;$AQ$59,$AO$59,$AO$60)))</f>
        <v>0.2</v>
      </c>
      <c r="AS75" s="73">
        <f t="shared" ca="1" si="130"/>
        <v>1</v>
      </c>
      <c r="AT75" s="78">
        <f ca="1">(IF(AS75=0,AR75,(VLOOKUP($AR75,$AO$58:$AR$62,2,0)-AQ74)/AP75*AR74+(AQ75-VLOOKUP($AR75,$AO$58:$AR$62,2,0))/AP75*AR75))</f>
        <v>0.15777082988967414</v>
      </c>
      <c r="AU75" s="52">
        <f t="shared" ref="AU75:AU84" ca="1" si="135">(ROUND(AP75*AT75,2)*(-1))</f>
        <v>-13844.31</v>
      </c>
      <c r="AV75" s="52">
        <f ca="1">(AU75+AZ60)</f>
        <v>-9632.98</v>
      </c>
      <c r="AW75" s="78">
        <f t="shared" ref="AW75:AW84" ca="1" si="136">(100+(100*0.00759*-1)+(100)*AT75*-1)/100</f>
        <v>0.83463917011032573</v>
      </c>
      <c r="AX75" s="78">
        <f t="shared" si="121"/>
        <v>0.84240999999999999</v>
      </c>
      <c r="AY75" s="78">
        <f t="shared" ref="AY75:AY84" ca="1" si="137">(100+(100*0.00759*-1)+(100*0.14*-1)+(100*0.01*-1)+(100+100*0.14*-1+100*0.01*-1)*AT75*-1)/100</f>
        <v>0.70830479459377704</v>
      </c>
      <c r="AZ75" s="52">
        <f ca="1">(AE75)</f>
        <v>111964.53449073592</v>
      </c>
      <c r="BA75" s="52">
        <f t="shared" ca="1" si="131"/>
        <v>22952.729570600863</v>
      </c>
      <c r="BB75" s="52">
        <f t="shared" ca="1" si="132"/>
        <v>1119.6453449073592</v>
      </c>
      <c r="BC75" s="52">
        <f t="shared" ca="1" si="133"/>
        <v>-5598.2267245367966</v>
      </c>
      <c r="BD75" s="52">
        <f t="shared" ca="1" si="134"/>
        <v>130438.68268170735</v>
      </c>
      <c r="BE75" s="51">
        <v>73</v>
      </c>
      <c r="BF75" s="54">
        <v>36.5</v>
      </c>
      <c r="BG75" s="74" t="s">
        <v>0</v>
      </c>
    </row>
    <row r="76" spans="31:59" ht="39.950000000000003" hidden="1" customHeight="1" x14ac:dyDescent="0.25">
      <c r="AE76" s="52">
        <f ca="1">(AS18+AU18+AW18+AY18+AI4+AK4+AM4+AJ32+AM32+AP32+AS32+AX32+AX46+AI46+AK46+AO46)</f>
        <v>78293.893119124899</v>
      </c>
      <c r="AF76" s="52">
        <f>(AP4+AF61)</f>
        <v>38430</v>
      </c>
      <c r="AG76" s="52">
        <f t="shared" ca="1" si="123"/>
        <v>39863.893119124899</v>
      </c>
      <c r="AH76" s="52">
        <f t="shared" ca="1" si="124"/>
        <v>-302.56694877415799</v>
      </c>
      <c r="AI76" s="52">
        <f t="shared" ca="1" si="125"/>
        <v>78293.893119124899</v>
      </c>
      <c r="AJ76" s="52">
        <f>(AT4+AU32+AM46+AP46)</f>
        <v>2844</v>
      </c>
      <c r="AK76" s="52">
        <f ca="1">IF(AI76-AJ76&gt;=AE61*7.5,AE61*7.5,AI76-AJ76)</f>
        <v>75449.893119124899</v>
      </c>
      <c r="AL76" s="52">
        <f t="shared" ca="1" si="126"/>
        <v>-10562.985036677486</v>
      </c>
      <c r="AM76" s="52">
        <f t="shared" ca="1" si="127"/>
        <v>-754.49893119124897</v>
      </c>
      <c r="AN76" s="52">
        <f t="shared" ca="1" si="128"/>
        <v>66976.409151256157</v>
      </c>
      <c r="AO76" s="52">
        <f>(AY4+AV32+AN46+AP46+AT46)</f>
        <v>7846.96</v>
      </c>
      <c r="AP76" s="52">
        <f t="shared" ca="1" si="129"/>
        <v>59129.449151256158</v>
      </c>
      <c r="AQ76" s="52">
        <f ca="1">SUM($AP$73:AP76)</f>
        <v>262767.17701612238</v>
      </c>
      <c r="AR76" s="76">
        <f ca="1">IF(AQ76&lt;=$AQ$58,$AO$58,
IF(AQ76&gt;$AQ$60,
IF(AQ76&gt;$AQ$61,$AO$62,$AO$61),
IF(AQ76&lt;$AQ$59,$AO$59,$AO$60)))</f>
        <v>0.2</v>
      </c>
      <c r="AS76" s="73">
        <f t="shared" ca="1" si="130"/>
        <v>0</v>
      </c>
      <c r="AT76" s="78">
        <f ca="1">(IF(AS76=0,AR76,(VLOOKUP($AR76,$AO$58:$AR$62,2,0)-AQ75)/AP76*AR75+(AQ76-VLOOKUP($AR76,$AO$58:$AR$62,2,0))/AP76*AR76))</f>
        <v>0.2</v>
      </c>
      <c r="AU76" s="52">
        <f t="shared" ca="1" si="135"/>
        <v>-11825.89</v>
      </c>
      <c r="AV76" s="52">
        <f ca="1">(AU76+AZ61)</f>
        <v>-7614.5599999999995</v>
      </c>
      <c r="AW76" s="78">
        <f t="shared" ca="1" si="136"/>
        <v>0.79240999999999995</v>
      </c>
      <c r="AX76" s="78">
        <f t="shared" si="121"/>
        <v>0.84240999999999999</v>
      </c>
      <c r="AY76" s="78">
        <f t="shared" ca="1" si="137"/>
        <v>0.67240999999999995</v>
      </c>
      <c r="AZ76" s="52">
        <f ca="1">(AE76)</f>
        <v>78293.893119124899</v>
      </c>
      <c r="BA76" s="52">
        <f t="shared" ca="1" si="131"/>
        <v>16050.248089420604</v>
      </c>
      <c r="BB76" s="52">
        <f t="shared" ca="1" si="132"/>
        <v>782.93893119124903</v>
      </c>
      <c r="BC76" s="52">
        <f t="shared" ca="1" si="133"/>
        <v>-3914.6946559562452</v>
      </c>
      <c r="BD76" s="52">
        <f t="shared" ca="1" si="134"/>
        <v>91212.385483780512</v>
      </c>
      <c r="BE76" s="51">
        <v>74</v>
      </c>
      <c r="BF76" s="54">
        <v>37</v>
      </c>
      <c r="BG76" s="74" t="s">
        <v>0</v>
      </c>
    </row>
    <row r="77" spans="31:59" ht="39.950000000000003" hidden="1" customHeight="1" x14ac:dyDescent="0.25">
      <c r="AE77" s="52">
        <f ca="1">(AS19+AU19+AW19+AY19+AI5+AK5+AM5+AJ33+AM33+AP33+AS33+AX33+AX47+AI47+AK47+AO47)</f>
        <v>80409.063119124898</v>
      </c>
      <c r="AF77" s="52">
        <f>(AP5+AF62)</f>
        <v>38430</v>
      </c>
      <c r="AG77" s="52">
        <f t="shared" ca="1" si="123"/>
        <v>41979.063119124898</v>
      </c>
      <c r="AH77" s="52">
        <f t="shared" ca="1" si="124"/>
        <v>-318.62108907415796</v>
      </c>
      <c r="AI77" s="52">
        <f t="shared" ca="1" si="125"/>
        <v>80409.063119124898</v>
      </c>
      <c r="AJ77" s="52">
        <f>(AT5+AU33+AM47+AP47)</f>
        <v>2844</v>
      </c>
      <c r="AK77" s="52">
        <f ca="1">IF(AI77-AJ77&gt;=AE62*7.5,AE62*7.5,AI77-AJ77)</f>
        <v>77565.063119124898</v>
      </c>
      <c r="AL77" s="52">
        <f t="shared" ca="1" si="126"/>
        <v>-10859.108836677487</v>
      </c>
      <c r="AM77" s="52">
        <f t="shared" ca="1" si="127"/>
        <v>-775.65063119124898</v>
      </c>
      <c r="AN77" s="52">
        <f t="shared" ca="1" si="128"/>
        <v>68774.303651256152</v>
      </c>
      <c r="AO77" s="52">
        <f>(AY5+AV33+AN47+AP47+AT47)</f>
        <v>7846.96</v>
      </c>
      <c r="AP77" s="52">
        <f t="shared" ca="1" si="129"/>
        <v>60927.343651256153</v>
      </c>
      <c r="AQ77" s="52">
        <f ca="1">SUM($AP$73:AP77)</f>
        <v>323694.52066737856</v>
      </c>
      <c r="AR77" s="76">
        <f ca="1">IF(AQ77&lt;=$AQ$58,$AO$58,
IF(AQ77&gt;$AQ$60,
IF(AQ77&gt;$AQ$61,$AO$62,$AO$61),
IF(AQ77&lt;$AQ$59,$AO$59,$AO$60)))</f>
        <v>0.2</v>
      </c>
      <c r="AS77" s="73">
        <f t="shared" ca="1" si="130"/>
        <v>0</v>
      </c>
      <c r="AT77" s="78">
        <f ca="1">(IF(AS77=0,AR77,(VLOOKUP($AR77,$AO$58:$AR$62,2,0)-AQ76)/AP77*AR76+(AQ77-VLOOKUP($AR77,$AO$58:$AR$62,2,0))/AP77*AR77))</f>
        <v>0.2</v>
      </c>
      <c r="AU77" s="52">
        <f t="shared" ca="1" si="135"/>
        <v>-12185.47</v>
      </c>
      <c r="AV77" s="52">
        <f ca="1">(AU77+AZ62)</f>
        <v>-7974.1399999999994</v>
      </c>
      <c r="AW77" s="78">
        <f t="shared" ca="1" si="136"/>
        <v>0.79240999999999995</v>
      </c>
      <c r="AX77" s="78">
        <f t="shared" si="121"/>
        <v>0.84240999999999999</v>
      </c>
      <c r="AY77" s="78">
        <f t="shared" ca="1" si="137"/>
        <v>0.67240999999999995</v>
      </c>
      <c r="AZ77" s="52">
        <f ca="1">(AE77)</f>
        <v>80409.063119124898</v>
      </c>
      <c r="BA77" s="52">
        <f t="shared" ca="1" si="131"/>
        <v>16483.857939420603</v>
      </c>
      <c r="BB77" s="52">
        <f t="shared" ca="1" si="132"/>
        <v>804.09063119124903</v>
      </c>
      <c r="BC77" s="52">
        <f t="shared" ca="1" si="133"/>
        <v>-4020.4531559562452</v>
      </c>
      <c r="BD77" s="52">
        <f t="shared" ca="1" si="134"/>
        <v>93676.55853378051</v>
      </c>
      <c r="BE77" s="51">
        <v>75</v>
      </c>
      <c r="BF77" s="54">
        <v>37.5</v>
      </c>
      <c r="BG77" s="74" t="s">
        <v>0</v>
      </c>
    </row>
    <row r="78" spans="31:59" ht="39.950000000000003" hidden="1" customHeight="1" x14ac:dyDescent="0.25">
      <c r="AE78" s="52">
        <f ca="1">(AS20+AU20+AW20+AY20+AI6+AK6+AM6+AJ34+AM34+AP34+AS34+AX34+AX48+AI48+AK48+AO48)</f>
        <v>110056.05728670122</v>
      </c>
      <c r="AF78" s="52">
        <f>(AP6+AF63)</f>
        <v>38430</v>
      </c>
      <c r="AG78" s="52">
        <f t="shared" ca="1" si="123"/>
        <v>71626.057286701223</v>
      </c>
      <c r="AH78" s="52">
        <f t="shared" ca="1" si="124"/>
        <v>-543.64177480606236</v>
      </c>
      <c r="AI78" s="52">
        <f t="shared" ca="1" si="125"/>
        <v>110056.05728670122</v>
      </c>
      <c r="AJ78" s="52">
        <f>(AT6+AU34+AM48+AP48)</f>
        <v>2844</v>
      </c>
      <c r="AK78" s="52">
        <f ca="1">IF(AI78-AJ78&gt;=AE63*7.5,AE63*7.5,AI78-AJ78)</f>
        <v>107212.05728670122</v>
      </c>
      <c r="AL78" s="52">
        <f t="shared" ca="1" si="126"/>
        <v>-15009.688020138172</v>
      </c>
      <c r="AM78" s="52">
        <f t="shared" ca="1" si="127"/>
        <v>-1072.1205728670122</v>
      </c>
      <c r="AN78" s="52">
        <f t="shared" ca="1" si="128"/>
        <v>93974.248693696034</v>
      </c>
      <c r="AO78" s="52">
        <f>(AY6+AV34+AN48+AP48+AT48)</f>
        <v>7846.96</v>
      </c>
      <c r="AP78" s="52">
        <f t="shared" ca="1" si="129"/>
        <v>86127.288693696028</v>
      </c>
      <c r="AQ78" s="52">
        <f ca="1">SUM($AP$73:AP78)</f>
        <v>409821.80936107459</v>
      </c>
      <c r="AR78" s="76">
        <f ca="1">IF(AQ78&lt;=$AQ$58,$AO$58,
IF(AQ78&gt;$AQ$60,
IF(AQ78&gt;$AQ$61,$AO$62,$AO$61),
IF(AQ78&lt;$AQ$59,$AO$59,$AO$60)))</f>
        <v>0.27</v>
      </c>
      <c r="AS78" s="73">
        <f t="shared" ca="1" si="130"/>
        <v>1</v>
      </c>
      <c r="AT78" s="78">
        <f ca="1">(IF(AS78=0,AR78,(VLOOKUP($AR78,$AO$58:$AR$62,2,0)-AQ77)/AP78*AR77+(AQ78-VLOOKUP($AR78,$AO$58:$AR$62,2,0))/AP78*AR78))</f>
        <v>0.20798268081699806</v>
      </c>
      <c r="AU78" s="52">
        <f t="shared" ca="1" si="135"/>
        <v>-17912.98</v>
      </c>
      <c r="AV78" s="52">
        <f ca="1">(AU78+AZ63)</f>
        <v>-13701.65</v>
      </c>
      <c r="AW78" s="78">
        <f t="shared" ca="1" si="136"/>
        <v>0.78442731918300201</v>
      </c>
      <c r="AX78" s="78">
        <f t="shared" si="121"/>
        <v>0.84240999999999999</v>
      </c>
      <c r="AY78" s="78">
        <f t="shared" ca="1" si="137"/>
        <v>0.66562472130555161</v>
      </c>
      <c r="AZ78" s="52">
        <f ca="1">(AE78)</f>
        <v>110056.05728670122</v>
      </c>
      <c r="BA78" s="52">
        <f t="shared" ca="1" si="131"/>
        <v>22561.491743773749</v>
      </c>
      <c r="BB78" s="52">
        <f t="shared" ca="1" si="132"/>
        <v>1100.5605728670123</v>
      </c>
      <c r="BC78" s="52">
        <f t="shared" ca="1" si="133"/>
        <v>-5502.8028643350617</v>
      </c>
      <c r="BD78" s="52">
        <f t="shared" ca="1" si="134"/>
        <v>128215.30673900693</v>
      </c>
      <c r="BE78" s="51">
        <v>76</v>
      </c>
      <c r="BF78" s="54">
        <v>38</v>
      </c>
      <c r="BG78" s="74" t="s">
        <v>0</v>
      </c>
    </row>
    <row r="79" spans="31:59" ht="39.950000000000003" hidden="1" customHeight="1" x14ac:dyDescent="0.25">
      <c r="AE79" s="52">
        <f ca="1">(AS21+AU21+AW21+AY21+AI7+AK7+AM7+AJ35+AM35+AP35+AS35+AX35+AX49+AI49+AK49+AO49)</f>
        <v>80738.700081465096</v>
      </c>
      <c r="AF79" s="52">
        <f>(AP7+AF64)</f>
        <v>38430</v>
      </c>
      <c r="AG79" s="52">
        <f t="shared" ca="1" si="123"/>
        <v>42308.700081465096</v>
      </c>
      <c r="AH79" s="52">
        <f t="shared" ca="1" si="124"/>
        <v>-321.12303361832011</v>
      </c>
      <c r="AI79" s="52">
        <f t="shared" ca="1" si="125"/>
        <v>80738.700081465096</v>
      </c>
      <c r="AJ79" s="52">
        <f>(AT7+AU35+AM49+AP49)</f>
        <v>2844</v>
      </c>
      <c r="AK79" s="52">
        <f ca="1">IF(AI79-AJ79&gt;=AE64*7.5,AE64*7.5,AI79-AJ79)</f>
        <v>77894.700081465096</v>
      </c>
      <c r="AL79" s="52">
        <f t="shared" ca="1" si="126"/>
        <v>-10905.258011405114</v>
      </c>
      <c r="AM79" s="52">
        <f t="shared" ca="1" si="127"/>
        <v>-778.94700081465101</v>
      </c>
      <c r="AN79" s="52">
        <f t="shared" ca="1" si="128"/>
        <v>69054.495069245342</v>
      </c>
      <c r="AO79" s="52">
        <f>(AY7+AV35+AN49+AP49+AT49)</f>
        <v>7515.17</v>
      </c>
      <c r="AP79" s="52">
        <f t="shared" ca="1" si="129"/>
        <v>61539.325069245344</v>
      </c>
      <c r="AQ79" s="52">
        <f ca="1">SUM($AP$73:AP79)</f>
        <v>471361.13443031994</v>
      </c>
      <c r="AR79" s="76">
        <f ca="1">IF(AQ79&lt;=$AQ$58,$AO$58,
IF(AQ79&gt;$AQ$60,
IF(AQ79&gt;$AQ$61,$AO$62,$AO$61),
IF(AQ79&lt;$AQ$59,$AO$59,$AO$60)))</f>
        <v>0.27</v>
      </c>
      <c r="AS79" s="73">
        <f t="shared" ca="1" si="130"/>
        <v>0</v>
      </c>
      <c r="AT79" s="78">
        <f ca="1">(IF(AS79=0,AR79,(VLOOKUP($AR79,$AO$58:$AR$62,2,0)-AQ78)/AP79*AR78+(AQ79-VLOOKUP($AR79,$AO$58:$AR$62,2,0))/AP79*AR79))</f>
        <v>0.27</v>
      </c>
      <c r="AU79" s="52">
        <f t="shared" ca="1" si="135"/>
        <v>-16615.62</v>
      </c>
      <c r="AV79" s="52">
        <f ca="1">(AU79+AZ64)</f>
        <v>-12077.869999999999</v>
      </c>
      <c r="AW79" s="78">
        <f t="shared" ca="1" si="136"/>
        <v>0.72241</v>
      </c>
      <c r="AX79" s="78">
        <f t="shared" si="121"/>
        <v>0.84240999999999999</v>
      </c>
      <c r="AY79" s="78">
        <f t="shared" ca="1" si="137"/>
        <v>0.61290999999999995</v>
      </c>
      <c r="AZ79" s="52">
        <f ca="1">(AE79)</f>
        <v>80738.700081465096</v>
      </c>
      <c r="BA79" s="52">
        <f t="shared" ca="1" si="131"/>
        <v>16551.433516700345</v>
      </c>
      <c r="BB79" s="52">
        <f t="shared" ca="1" si="132"/>
        <v>807.38700081465095</v>
      </c>
      <c r="BC79" s="52">
        <f t="shared" ca="1" si="133"/>
        <v>-4036.9350040732552</v>
      </c>
      <c r="BD79" s="52">
        <f t="shared" ca="1" si="134"/>
        <v>94060.585594906835</v>
      </c>
      <c r="BE79" s="51">
        <v>77</v>
      </c>
      <c r="BF79" s="54">
        <v>38.5</v>
      </c>
      <c r="BG79" s="74" t="s">
        <v>0</v>
      </c>
    </row>
    <row r="80" spans="31:59" ht="39.950000000000003" hidden="1" customHeight="1" x14ac:dyDescent="0.25">
      <c r="AE80" s="52">
        <f ca="1">(AS22+AU22+AW22+AY22+AI8+AK8+AM8+AJ36+AM36+AP36+AS36+AX36+AX50+AI50+AK50+AO50)</f>
        <v>80738.700081465096</v>
      </c>
      <c r="AF80" s="52">
        <f>(AP8+AF65)</f>
        <v>38430</v>
      </c>
      <c r="AG80" s="52">
        <f t="shared" ca="1" si="123"/>
        <v>42308.700081465096</v>
      </c>
      <c r="AH80" s="52">
        <f t="shared" ca="1" si="124"/>
        <v>-321.12303361832011</v>
      </c>
      <c r="AI80" s="52">
        <f t="shared" ca="1" si="125"/>
        <v>80738.700081465096</v>
      </c>
      <c r="AJ80" s="52">
        <f>(AT8+AU36+AM50+AP50)</f>
        <v>2844</v>
      </c>
      <c r="AK80" s="52">
        <f ca="1">IF(AI80-AJ80&gt;=AE65*7.5,AE65*7.5,AI80-AJ80)</f>
        <v>77894.700081465096</v>
      </c>
      <c r="AL80" s="52">
        <f t="shared" ca="1" si="126"/>
        <v>-10905.258011405114</v>
      </c>
      <c r="AM80" s="52">
        <f t="shared" ca="1" si="127"/>
        <v>-778.94700081465101</v>
      </c>
      <c r="AN80" s="52">
        <f t="shared" ca="1" si="128"/>
        <v>69054.495069245342</v>
      </c>
      <c r="AO80" s="52">
        <f>(AY8+AV36+AN50+AP50+AT50)</f>
        <v>7515.17</v>
      </c>
      <c r="AP80" s="52">
        <f t="shared" ca="1" si="129"/>
        <v>61539.325069245344</v>
      </c>
      <c r="AQ80" s="52">
        <f ca="1">SUM($AP$73:AP80)</f>
        <v>532900.4594995653</v>
      </c>
      <c r="AR80" s="76">
        <f ca="1">IF(AQ80&lt;=$AQ$58,$AO$58,
IF(AQ80&gt;$AQ$60,
IF(AQ80&gt;$AQ$61,$AO$62,$AO$61),
IF(AQ80&lt;$AQ$59,$AO$59,$AO$60)))</f>
        <v>0.27</v>
      </c>
      <c r="AS80" s="73">
        <f t="shared" ca="1" si="130"/>
        <v>0</v>
      </c>
      <c r="AT80" s="78">
        <f ca="1">(IF(AS80=0,AR80,(VLOOKUP($AR80,$AO$58:$AR$62,2,0)-AQ79)/AP80*AR79+(AQ80-VLOOKUP($AR80,$AO$58:$AR$62,2,0))/AP80*AR80))</f>
        <v>0.27</v>
      </c>
      <c r="AU80" s="52">
        <f t="shared" ca="1" si="135"/>
        <v>-16615.62</v>
      </c>
      <c r="AV80" s="52">
        <f ca="1">(AU80+AZ65)</f>
        <v>-11000.519999999999</v>
      </c>
      <c r="AW80" s="78">
        <f t="shared" ca="1" si="136"/>
        <v>0.72241</v>
      </c>
      <c r="AX80" s="78">
        <f t="shared" si="121"/>
        <v>0.84240999999999999</v>
      </c>
      <c r="AY80" s="78">
        <f t="shared" ca="1" si="137"/>
        <v>0.61290999999999995</v>
      </c>
      <c r="AZ80" s="52">
        <f ca="1">(AE80)</f>
        <v>80738.700081465096</v>
      </c>
      <c r="BA80" s="52">
        <f t="shared" ca="1" si="131"/>
        <v>16551.433516700345</v>
      </c>
      <c r="BB80" s="52">
        <f t="shared" ca="1" si="132"/>
        <v>807.38700081465095</v>
      </c>
      <c r="BC80" s="52">
        <f t="shared" ca="1" si="133"/>
        <v>-4036.9350040732552</v>
      </c>
      <c r="BD80" s="52">
        <f t="shared" ca="1" si="134"/>
        <v>94060.585594906835</v>
      </c>
      <c r="BE80" s="51">
        <v>78</v>
      </c>
      <c r="BF80" s="54">
        <v>39</v>
      </c>
      <c r="BG80" s="74" t="s">
        <v>0</v>
      </c>
    </row>
    <row r="81" spans="31:59" ht="39.950000000000003" hidden="1" customHeight="1" x14ac:dyDescent="0.25">
      <c r="AE81" s="52">
        <f ca="1">(AS23+AU23+AW23+AY23+AI9+AK9+AM9+AJ37+AM37+AP37+AS37+AX37+AX51+AI51+AK51+AO51)</f>
        <v>110351.0800814651</v>
      </c>
      <c r="AF81" s="52">
        <f>(AP9+AF66)</f>
        <v>38430</v>
      </c>
      <c r="AG81" s="52">
        <f t="shared" ca="1" si="123"/>
        <v>71921.080081465101</v>
      </c>
      <c r="AH81" s="52">
        <f t="shared" ca="1" si="124"/>
        <v>-545.88099781832011</v>
      </c>
      <c r="AI81" s="52">
        <f t="shared" ca="1" si="125"/>
        <v>110351.0800814651</v>
      </c>
      <c r="AJ81" s="52">
        <f>(AT9+AU37+AM51+AP51)</f>
        <v>2844</v>
      </c>
      <c r="AK81" s="52">
        <f ca="1">IF(AI81-AJ81&gt;=AE66*7.5,AE66*7.5,AI81-AJ81)</f>
        <v>107507.0800814651</v>
      </c>
      <c r="AL81" s="52">
        <f t="shared" ca="1" si="126"/>
        <v>-15050.991211405115</v>
      </c>
      <c r="AM81" s="52">
        <f t="shared" ca="1" si="127"/>
        <v>-1075.070800814651</v>
      </c>
      <c r="AN81" s="52">
        <f t="shared" ca="1" si="128"/>
        <v>94225.018069245343</v>
      </c>
      <c r="AO81" s="52">
        <f>(AY9+AV37+AN51+AP51+AT51)</f>
        <v>7515.17</v>
      </c>
      <c r="AP81" s="52">
        <f t="shared" ca="1" si="129"/>
        <v>86709.848069245345</v>
      </c>
      <c r="AQ81" s="52">
        <f ca="1">SUM($AP$73:AP81)</f>
        <v>619610.30756881065</v>
      </c>
      <c r="AR81" s="76">
        <f ca="1">IF(AQ81&lt;=$AQ$58,$AO$58,
IF(AQ81&gt;$AQ$60,
IF(AQ81&gt;$AQ$61,$AO$62,$AO$61),
IF(AQ81&lt;$AQ$59,$AO$59,$AO$60)))</f>
        <v>0.27</v>
      </c>
      <c r="AS81" s="73">
        <f t="shared" ca="1" si="130"/>
        <v>0</v>
      </c>
      <c r="AT81" s="78">
        <f ca="1">(IF(AS81=0,AR81,(VLOOKUP($AR81,$AO$58:$AR$62,2,0)-AQ80)/AP81*AR80+(AQ81-VLOOKUP($AR81,$AO$58:$AR$62,2,0))/AP81*AR81))</f>
        <v>0.27</v>
      </c>
      <c r="AU81" s="52">
        <f t="shared" ca="1" si="135"/>
        <v>-23411.66</v>
      </c>
      <c r="AV81" s="52">
        <f ca="1">(AU81+AZ66)</f>
        <v>-17796.559999999998</v>
      </c>
      <c r="AW81" s="78">
        <f t="shared" ca="1" si="136"/>
        <v>0.72241</v>
      </c>
      <c r="AX81" s="78">
        <f t="shared" si="121"/>
        <v>0.84240999999999999</v>
      </c>
      <c r="AY81" s="78">
        <f t="shared" ca="1" si="137"/>
        <v>0.61290999999999995</v>
      </c>
      <c r="AZ81" s="52">
        <f ca="1">(AE81)</f>
        <v>110351.0800814651</v>
      </c>
      <c r="BA81" s="52">
        <f t="shared" ca="1" si="131"/>
        <v>22621.971416700344</v>
      </c>
      <c r="BB81" s="52">
        <f t="shared" ca="1" si="132"/>
        <v>1103.510800814651</v>
      </c>
      <c r="BC81" s="52">
        <f t="shared" ca="1" si="133"/>
        <v>-5517.5540040732558</v>
      </c>
      <c r="BD81" s="52">
        <f t="shared" ca="1" si="134"/>
        <v>128559.00829490685</v>
      </c>
      <c r="BE81" s="51">
        <v>79</v>
      </c>
      <c r="BF81" s="54">
        <v>39.5</v>
      </c>
      <c r="BG81" s="74" t="s">
        <v>0</v>
      </c>
    </row>
    <row r="82" spans="31:59" ht="39.950000000000003" hidden="1" customHeight="1" x14ac:dyDescent="0.25">
      <c r="AE82" s="52">
        <f ca="1">(AS24+AU24+AW24+AY24+AI10+AK10+AM10+AJ38+AM38+AP38+AS38+AX38+AX52+AI52+AK52+AO52)</f>
        <v>80738.700081465096</v>
      </c>
      <c r="AF82" s="52">
        <f>(AP10+AF67)</f>
        <v>38430</v>
      </c>
      <c r="AG82" s="52">
        <f t="shared" ca="1" si="123"/>
        <v>42308.700081465096</v>
      </c>
      <c r="AH82" s="52">
        <f t="shared" ca="1" si="124"/>
        <v>-321.12303361832011</v>
      </c>
      <c r="AI82" s="52">
        <f t="shared" ca="1" si="125"/>
        <v>80738.700081465096</v>
      </c>
      <c r="AJ82" s="52">
        <f>(AT10+AU38+AM52+AP52)</f>
        <v>2844</v>
      </c>
      <c r="AK82" s="52">
        <f ca="1">IF(AI82-AJ82&gt;=AE67*7.5,AE67*7.5,AI82-AJ82)</f>
        <v>77894.700081465096</v>
      </c>
      <c r="AL82" s="52">
        <f t="shared" ca="1" si="126"/>
        <v>-10905.258011405114</v>
      </c>
      <c r="AM82" s="52">
        <f t="shared" ca="1" si="127"/>
        <v>-778.94700081465101</v>
      </c>
      <c r="AN82" s="52">
        <f t="shared" ca="1" si="128"/>
        <v>69054.495069245342</v>
      </c>
      <c r="AO82" s="52">
        <f>(AY10+AV38+AN52+AP52+AT52)</f>
        <v>7515.17</v>
      </c>
      <c r="AP82" s="52">
        <f t="shared" ca="1" si="129"/>
        <v>61539.325069245344</v>
      </c>
      <c r="AQ82" s="52">
        <f ca="1">SUM($AP$73:AP82)</f>
        <v>681149.63263805595</v>
      </c>
      <c r="AR82" s="76">
        <f ca="1">IF(AQ82&lt;=$AQ$58,$AO$58,
IF(AQ82&gt;$AQ$60,
IF(AQ82&gt;$AQ$61,$AO$62,$AO$61),
IF(AQ82&lt;$AQ$59,$AO$59,$AO$60)))</f>
        <v>0.27</v>
      </c>
      <c r="AS82" s="73">
        <f t="shared" ca="1" si="130"/>
        <v>0</v>
      </c>
      <c r="AT82" s="78">
        <f ca="1">(IF(AS82=0,AR82,(VLOOKUP($AR82,$AO$58:$AR$62,2,0)-AQ81)/AP82*AR81+(AQ82-VLOOKUP($AR82,$AO$58:$AR$62,2,0))/AP82*AR82))</f>
        <v>0.27</v>
      </c>
      <c r="AU82" s="52">
        <f t="shared" ca="1" si="135"/>
        <v>-16615.62</v>
      </c>
      <c r="AV82" s="52">
        <f ca="1">(AU82+AZ67)</f>
        <v>-11000.519999999999</v>
      </c>
      <c r="AW82" s="78">
        <f t="shared" ca="1" si="136"/>
        <v>0.72241</v>
      </c>
      <c r="AX82" s="78">
        <f t="shared" si="121"/>
        <v>0.84240999999999999</v>
      </c>
      <c r="AY82" s="78">
        <f t="shared" ca="1" si="137"/>
        <v>0.61290999999999995</v>
      </c>
      <c r="AZ82" s="52">
        <f ca="1">(AE82)</f>
        <v>80738.700081465096</v>
      </c>
      <c r="BA82" s="52">
        <f t="shared" ca="1" si="131"/>
        <v>16551.433516700345</v>
      </c>
      <c r="BB82" s="52">
        <f t="shared" ca="1" si="132"/>
        <v>807.38700081465095</v>
      </c>
      <c r="BC82" s="52">
        <f t="shared" ca="1" si="133"/>
        <v>-4036.9350040732552</v>
      </c>
      <c r="BD82" s="52">
        <f t="shared" ca="1" si="134"/>
        <v>94060.585594906835</v>
      </c>
      <c r="BE82" s="51">
        <v>80</v>
      </c>
      <c r="BF82" s="54">
        <v>40</v>
      </c>
      <c r="BG82" s="74" t="s">
        <v>0</v>
      </c>
    </row>
    <row r="83" spans="31:59" ht="39.950000000000003" hidden="1" customHeight="1" x14ac:dyDescent="0.25">
      <c r="AE83" s="52">
        <f ca="1">(AS25+AU25+AW25+AY25+AI11+AK11+AM11+AJ39+AM39+AP39+AS39+AX39+AX53+AI53+AK53+AO53)</f>
        <v>78623.530081465098</v>
      </c>
      <c r="AF83" s="52">
        <f>(AP11+AF68)</f>
        <v>38430</v>
      </c>
      <c r="AG83" s="52">
        <f t="shared" ca="1" si="123"/>
        <v>40193.530081465098</v>
      </c>
      <c r="AH83" s="52">
        <f t="shared" ca="1" si="124"/>
        <v>-305.06889331832014</v>
      </c>
      <c r="AI83" s="52">
        <f t="shared" ca="1" si="125"/>
        <v>78623.530081465098</v>
      </c>
      <c r="AJ83" s="52">
        <f>(AT11+AU39+AM53+AP53)</f>
        <v>2844</v>
      </c>
      <c r="AK83" s="52">
        <f ca="1">IF(AI83-AJ83&gt;=AE68*7.5,AE68*7.5,AI83-AJ83)</f>
        <v>75779.530081465098</v>
      </c>
      <c r="AL83" s="52">
        <f t="shared" ca="1" si="126"/>
        <v>-10609.134211405115</v>
      </c>
      <c r="AM83" s="52">
        <f t="shared" ca="1" si="127"/>
        <v>-757.795300814651</v>
      </c>
      <c r="AN83" s="52">
        <f t="shared" ca="1" si="128"/>
        <v>67256.600569245333</v>
      </c>
      <c r="AO83" s="52">
        <f>(AY11+AV39+AN53+AP53+AT53)</f>
        <v>7846.96</v>
      </c>
      <c r="AP83" s="52">
        <f t="shared" ca="1" si="129"/>
        <v>59409.640569245334</v>
      </c>
      <c r="AQ83" s="52">
        <f ca="1">SUM($AP$73:AP83)</f>
        <v>740559.27320730127</v>
      </c>
      <c r="AR83" s="76">
        <f ca="1">IF(AQ83&lt;=$AQ$58,$AO$58,
IF(AQ83&gt;$AQ$60,
IF(AQ83&gt;$AQ$61,$AO$62,$AO$61),
IF(AQ83&lt;$AQ$59,$AO$59,$AO$60)))</f>
        <v>0.27</v>
      </c>
      <c r="AS83" s="73">
        <f t="shared" ca="1" si="130"/>
        <v>0</v>
      </c>
      <c r="AT83" s="78">
        <f ca="1">(IF(AS83=0,AR83,(VLOOKUP($AR83,$AO$58:$AR$62,2,0)-AQ82)/AP83*AR82+(AQ83-VLOOKUP($AR83,$AO$58:$AR$62,2,0))/AP83*AR83))</f>
        <v>0.27</v>
      </c>
      <c r="AU83" s="52">
        <f t="shared" ca="1" si="135"/>
        <v>-16040.6</v>
      </c>
      <c r="AV83" s="52">
        <f ca="1">(AU83+AZ68)</f>
        <v>-10425.5</v>
      </c>
      <c r="AW83" s="78">
        <f t="shared" ca="1" si="136"/>
        <v>0.72241</v>
      </c>
      <c r="AX83" s="78">
        <f t="shared" si="121"/>
        <v>0.84240999999999999</v>
      </c>
      <c r="AY83" s="78">
        <f t="shared" ca="1" si="137"/>
        <v>0.61290999999999995</v>
      </c>
      <c r="AZ83" s="52">
        <f ca="1">(AE83)</f>
        <v>78623.530081465098</v>
      </c>
      <c r="BA83" s="52">
        <f t="shared" ca="1" si="131"/>
        <v>16117.823666700344</v>
      </c>
      <c r="BB83" s="52">
        <f t="shared" ca="1" si="132"/>
        <v>786.23530081465105</v>
      </c>
      <c r="BC83" s="52">
        <f t="shared" ca="1" si="133"/>
        <v>-3931.1765040732553</v>
      </c>
      <c r="BD83" s="52">
        <f t="shared" ca="1" si="134"/>
        <v>91596.412544906838</v>
      </c>
      <c r="BE83" s="51">
        <v>81</v>
      </c>
      <c r="BF83" s="54">
        <v>40.5</v>
      </c>
      <c r="BG83" s="74" t="s">
        <v>0</v>
      </c>
    </row>
    <row r="84" spans="31:59" ht="39.950000000000003" hidden="1" customHeight="1" x14ac:dyDescent="0.25">
      <c r="AE84" s="52">
        <f ca="1">(AS26+AU26+AW26+AY26+AI12+AK12+AM12+AJ40+AM40+AP40+AS40+AX40+AX54+AI54+AK54+AO54)</f>
        <v>112466.2500814651</v>
      </c>
      <c r="AF84" s="52">
        <f>(AP12+AF69)</f>
        <v>38430</v>
      </c>
      <c r="AG84" s="52">
        <f t="shared" ca="1" si="123"/>
        <v>74036.250081465099</v>
      </c>
      <c r="AH84" s="52">
        <f t="shared" ca="1" si="124"/>
        <v>-561.93513811832008</v>
      </c>
      <c r="AI84" s="52">
        <f t="shared" ca="1" si="125"/>
        <v>112466.2500814651</v>
      </c>
      <c r="AJ84" s="52">
        <f>(AT12+AU40+AM54+AP54)</f>
        <v>2844</v>
      </c>
      <c r="AK84" s="52">
        <f ca="1">IF(AI84-AJ84&gt;=AE69*7.5,AE69*7.5,AI84-AJ84)</f>
        <v>109622.2500814651</v>
      </c>
      <c r="AL84" s="52">
        <f t="shared" ca="1" si="126"/>
        <v>-15347.115011405116</v>
      </c>
      <c r="AM84" s="52">
        <f t="shared" ca="1" si="127"/>
        <v>-1096.2225008146511</v>
      </c>
      <c r="AN84" s="52">
        <f t="shared" ca="1" si="128"/>
        <v>96022.912569245338</v>
      </c>
      <c r="AO84" s="52">
        <f>(AY12+AV40+AN54+AP54+AT54)</f>
        <v>7846.96</v>
      </c>
      <c r="AP84" s="52">
        <f t="shared" ca="1" si="129"/>
        <v>88175.952569245332</v>
      </c>
      <c r="AQ84" s="52">
        <f ca="1">SUM($AP$73:AP84)</f>
        <v>828735.22577654663</v>
      </c>
      <c r="AR84" s="76">
        <f ca="1">IF(AQ84&lt;=$AQ$58,$AO$58,
IF(AQ84&gt;$AQ$60,
IF(AQ84&gt;$AQ$61,$AO$62,$AO$61),
IF(AQ84&lt;$AQ$59,$AO$59,$AO$60)))</f>
        <v>0.27</v>
      </c>
      <c r="AS84" s="73">
        <f t="shared" ca="1" si="130"/>
        <v>0</v>
      </c>
      <c r="AT84" s="78">
        <f ca="1">(IF(AS84=0,AR84,(VLOOKUP($AR84,$AO$58:$AR$62,2,0)-AQ83)/AP84*AR83+(AQ84-VLOOKUP($AR84,$AO$58:$AR$62,2,0))/AP84*AR84))</f>
        <v>0.27</v>
      </c>
      <c r="AU84" s="52">
        <f t="shared" ca="1" si="135"/>
        <v>-23807.51</v>
      </c>
      <c r="AV84" s="52">
        <f ca="1">(AU84+AZ69)</f>
        <v>-18192.409999999996</v>
      </c>
      <c r="AW84" s="78">
        <f t="shared" ca="1" si="136"/>
        <v>0.72241</v>
      </c>
      <c r="AX84" s="78">
        <f t="shared" si="121"/>
        <v>0.84240999999999999</v>
      </c>
      <c r="AY84" s="78">
        <f t="shared" ca="1" si="137"/>
        <v>0.61290999999999995</v>
      </c>
      <c r="AZ84" s="52">
        <f ca="1">(AE84)</f>
        <v>112466.2500814651</v>
      </c>
      <c r="BA84" s="52">
        <f t="shared" ca="1" si="131"/>
        <v>23055.581266700345</v>
      </c>
      <c r="BB84" s="52">
        <f t="shared" ca="1" si="132"/>
        <v>1124.6625008146509</v>
      </c>
      <c r="BC84" s="52">
        <f t="shared" ca="1" si="133"/>
        <v>-5623.3125040732557</v>
      </c>
      <c r="BD84" s="52">
        <f t="shared" ca="1" si="134"/>
        <v>131023.18134490683</v>
      </c>
      <c r="BE84" s="51">
        <v>82</v>
      </c>
      <c r="BF84" s="54">
        <v>41</v>
      </c>
      <c r="BG84" s="74" t="s">
        <v>0</v>
      </c>
    </row>
    <row r="85" spans="31:59" ht="39.950000000000003" hidden="1" customHeight="1" x14ac:dyDescent="0.25">
      <c r="AE85" s="52">
        <f t="shared" ref="AE85:AF85" ca="1" si="138">(AE73+AE74+AE75+AE76+AE77+AE78+AE79+AE80+AE81+AE82+AE83+AE84)</f>
        <v>1078179.2773841724</v>
      </c>
      <c r="AF85" s="52">
        <f t="shared" si="138"/>
        <v>461160</v>
      </c>
      <c r="AG85" s="52">
        <f t="shared" ref="AG85" ca="1" si="139">(AG73+AG74+AG75+AG76+AG77+AG78+AG79+AG80+AG81+AG82+AG83+AG84)</f>
        <v>617019.27738417243</v>
      </c>
      <c r="AH85" s="52">
        <f t="shared" ref="AH85:AI85" ca="1" si="140">(AH73+AH74+AH75+AH76+AH77+AH78+AH79+AH80+AH81+AH82+AH83+AH84)</f>
        <v>-4683.1763153458705</v>
      </c>
      <c r="AI85" s="52">
        <f t="shared" ca="1" si="140"/>
        <v>1078179.2773841724</v>
      </c>
      <c r="AJ85" s="52">
        <f t="shared" ref="AJ85" si="141">(AJ73+AJ74+AJ75+AJ76+AJ77+AJ78+AJ79+AJ80+AJ81+AJ82+AJ83+AJ84)</f>
        <v>34128</v>
      </c>
      <c r="AK85" s="52">
        <f t="shared" ref="AK85" ca="1" si="142">(AK73+AK74+AK75+AK76+AK77+AK78+AK79+AK80+AK81+AK82+AK83+AK84)</f>
        <v>1044051.2773841724</v>
      </c>
      <c r="AL85" s="52">
        <f t="shared" ref="AL85" ca="1" si="143">(AL73+AL74+AL75+AL76+AL77+AL78+AL79+AL80+AL81+AL82+AL83+AL84)</f>
        <v>-146167.17883378413</v>
      </c>
      <c r="AM85" s="52">
        <f t="shared" ref="AM85:AN85" ca="1" si="144">(AM73+AM74+AM75+AM76+AM77+AM78+AM79+AM80+AM81+AM82+AM83+AM84)</f>
        <v>-10440.512773841725</v>
      </c>
      <c r="AN85" s="52">
        <f t="shared" ca="1" si="144"/>
        <v>921571.58577654662</v>
      </c>
      <c r="AO85" s="52">
        <f t="shared" ref="AO85" si="145">(AO73+AO74+AO75+AO76+AO77+AO78+AO79+AO80+AO81+AO82+AO83+AO84)</f>
        <v>92836.360000000015</v>
      </c>
      <c r="AP85" s="52">
        <f t="shared" ref="AP85" ca="1" si="146">(AP73+AP74+AP75+AP76+AP77+AP78+AP79+AP80+AP81+AP82+AP83+AP84)</f>
        <v>828735.22577654663</v>
      </c>
      <c r="AQ85" s="59" t="s">
        <v>0</v>
      </c>
      <c r="AR85" s="51" t="s">
        <v>0</v>
      </c>
      <c r="AS85" s="51" t="s">
        <v>0</v>
      </c>
      <c r="AT85" s="80">
        <f t="shared" ref="AT85:AU85" ca="1" si="147">(AT73+AT74+AT75+AT76+AT77+AT78+AT79+AT80+AT81+AT82+AT83+AT84)</f>
        <v>2.6857535107066721</v>
      </c>
      <c r="AU85" s="52">
        <f t="shared" ca="1" si="147"/>
        <v>-186258.52000000002</v>
      </c>
      <c r="AV85" s="52">
        <f t="shared" ref="AV85" ca="1" si="148">(AV73+AV74+AV75+AV76+AV77+AV78+AV79+AV80+AV81+AV82+AV83+AV84)</f>
        <v>-128377.29000000001</v>
      </c>
      <c r="AW85" s="51" t="s">
        <v>0</v>
      </c>
      <c r="AX85" s="51" t="s">
        <v>0</v>
      </c>
      <c r="AY85" s="51" t="s">
        <v>0</v>
      </c>
      <c r="AZ85" s="52">
        <f t="shared" ref="AZ85" ca="1" si="149">(AZ73+AZ74+AZ75+AZ76+AZ77+AZ78+AZ79+AZ80+AZ81+AZ82+AZ83+AZ84)</f>
        <v>1078179.2773841724</v>
      </c>
      <c r="BA85" s="52">
        <f t="shared" ref="BA85" ca="1" si="150">(BA73+BA74+BA75+BA76+BA77+BA78+BA79+BA80+BA81+BA82+BA83+BA84)</f>
        <v>221026.75186375534</v>
      </c>
      <c r="BB85" s="52">
        <f t="shared" ref="BB85" ca="1" si="151">(BB73+BB74+BB75+BB76+BB77+BB78+BB79+BB80+BB81+BB82+BB83+BB84)</f>
        <v>10781.792773841726</v>
      </c>
      <c r="BC85" s="52">
        <f t="shared" ref="BC85" ca="1" si="152">(BC73+BC74+BC75+BC76+BC77+BC78+BC79+BC80+BC81+BC82+BC83+BC84)</f>
        <v>-53908.96386920863</v>
      </c>
      <c r="BD85" s="52">
        <f t="shared" ref="BD85" ca="1" si="153">(BD73+BD74+BD75+BD76+BD77+BD78+BD79+BD80+BD81+BD82+BD83+BD84)</f>
        <v>1256078.8581525609</v>
      </c>
      <c r="BE85" s="51">
        <v>83</v>
      </c>
      <c r="BF85" s="54">
        <v>41.5</v>
      </c>
      <c r="BG85" s="74" t="s">
        <v>0</v>
      </c>
    </row>
    <row r="86" spans="31:59" ht="39.950000000000003" hidden="1" customHeight="1" x14ac:dyDescent="0.25">
      <c r="AE86" s="52">
        <f t="shared" ref="AE86:AF86" ca="1" si="154">(AE85/12)</f>
        <v>89848.273115347707</v>
      </c>
      <c r="AF86" s="52">
        <f t="shared" si="154"/>
        <v>38430</v>
      </c>
      <c r="AG86" s="52">
        <f t="shared" ref="AG86" ca="1" si="155">(AG85/12)</f>
        <v>51418.2731153477</v>
      </c>
      <c r="AH86" s="52">
        <f t="shared" ref="AH86:AI86" ca="1" si="156">(AH85/12)</f>
        <v>-390.26469294548923</v>
      </c>
      <c r="AI86" s="52">
        <f t="shared" ca="1" si="156"/>
        <v>89848.273115347707</v>
      </c>
      <c r="AJ86" s="52">
        <f t="shared" ref="AJ86" si="157">(AJ85/12)</f>
        <v>2844</v>
      </c>
      <c r="AK86" s="52">
        <f t="shared" ref="AK86" ca="1" si="158">(AK85/12)</f>
        <v>87004.273115347707</v>
      </c>
      <c r="AL86" s="52">
        <f t="shared" ref="AL86" ca="1" si="159">(AL85/12)</f>
        <v>-12180.598236148677</v>
      </c>
      <c r="AM86" s="52">
        <f t="shared" ref="AM86:AN86" ca="1" si="160">(AM85/12)</f>
        <v>-870.04273115347712</v>
      </c>
      <c r="AN86" s="52">
        <f t="shared" ca="1" si="160"/>
        <v>76797.632148045552</v>
      </c>
      <c r="AO86" s="52">
        <f t="shared" ref="AO86" si="161">(AO85/12)</f>
        <v>7736.3633333333346</v>
      </c>
      <c r="AP86" s="52">
        <f t="shared" ref="AP86" ca="1" si="162">(AP85/12)</f>
        <v>69061.268814712224</v>
      </c>
      <c r="AQ86" s="59" t="s">
        <v>0</v>
      </c>
      <c r="AR86" s="59" t="s">
        <v>0</v>
      </c>
      <c r="AS86" s="59" t="s">
        <v>0</v>
      </c>
      <c r="AT86" s="80">
        <f t="shared" ref="AT86:AU86" ca="1" si="163">(AT85/12)</f>
        <v>0.22381279255888933</v>
      </c>
      <c r="AU86" s="52">
        <f t="shared" ca="1" si="163"/>
        <v>-15521.543333333335</v>
      </c>
      <c r="AV86" s="52">
        <f t="shared" ref="AV86" ca="1" si="164">(AV85/12)</f>
        <v>-10698.1075</v>
      </c>
      <c r="AW86" s="51" t="s">
        <v>0</v>
      </c>
      <c r="AX86" s="51" t="s">
        <v>0</v>
      </c>
      <c r="AY86" s="51" t="s">
        <v>0</v>
      </c>
      <c r="AZ86" s="52">
        <f t="shared" ref="AZ86" ca="1" si="165">(AZ85/12)</f>
        <v>89848.273115347707</v>
      </c>
      <c r="BA86" s="52">
        <f t="shared" ref="BA86" ca="1" si="166">(BA85/12)</f>
        <v>18418.89598864628</v>
      </c>
      <c r="BB86" s="52">
        <f t="shared" ref="BB86" ca="1" si="167">(BB85/12)</f>
        <v>898.48273115347718</v>
      </c>
      <c r="BC86" s="52">
        <f t="shared" ref="BC86" ca="1" si="168">(BC85/12)</f>
        <v>-4492.4136557673855</v>
      </c>
      <c r="BD86" s="52">
        <f t="shared" ref="BD86" ca="1" si="169">(BD85/12)</f>
        <v>104673.23817938007</v>
      </c>
      <c r="BE86" s="51">
        <v>84</v>
      </c>
      <c r="BF86" s="54">
        <v>42</v>
      </c>
      <c r="BG86" s="74" t="s">
        <v>0</v>
      </c>
    </row>
    <row r="87" spans="31:59" ht="39.950000000000003" hidden="1" customHeight="1" x14ac:dyDescent="0.25">
      <c r="BE87" s="51">
        <v>85</v>
      </c>
      <c r="BF87" s="54">
        <v>42.5</v>
      </c>
      <c r="BG87" s="74" t="s">
        <v>0</v>
      </c>
    </row>
    <row r="88" spans="31:59" ht="39.950000000000003" hidden="1" customHeight="1" x14ac:dyDescent="0.25">
      <c r="BE88" s="51">
        <v>86</v>
      </c>
      <c r="BF88" s="54">
        <v>43</v>
      </c>
      <c r="BG88" s="74" t="s">
        <v>0</v>
      </c>
    </row>
    <row r="89" spans="31:59" ht="39.950000000000003" hidden="1" customHeight="1" x14ac:dyDescent="0.25">
      <c r="BE89" s="51">
        <v>87</v>
      </c>
      <c r="BF89" s="54">
        <v>43.5</v>
      </c>
      <c r="BG89" s="74" t="s">
        <v>0</v>
      </c>
    </row>
    <row r="90" spans="31:59" ht="39.950000000000003" hidden="1" customHeight="1" x14ac:dyDescent="0.25">
      <c r="BE90" s="51">
        <v>88</v>
      </c>
      <c r="BF90" s="54">
        <v>44</v>
      </c>
      <c r="BG90" s="74" t="s">
        <v>0</v>
      </c>
    </row>
    <row r="91" spans="31:59" ht="39.950000000000003" hidden="1" customHeight="1" x14ac:dyDescent="0.25">
      <c r="BE91" s="51">
        <v>89</v>
      </c>
      <c r="BF91" s="54">
        <v>44.5</v>
      </c>
      <c r="BG91" s="74" t="s">
        <v>0</v>
      </c>
    </row>
    <row r="92" spans="31:59" ht="39.950000000000003" hidden="1" customHeight="1" x14ac:dyDescent="0.25">
      <c r="BE92" s="51">
        <v>90</v>
      </c>
      <c r="BF92" s="54">
        <v>45</v>
      </c>
      <c r="BG92" s="74" t="s">
        <v>0</v>
      </c>
    </row>
    <row r="93" spans="31:59" ht="39.950000000000003" hidden="1" customHeight="1" x14ac:dyDescent="0.25">
      <c r="BE93" s="51">
        <v>91</v>
      </c>
      <c r="BF93" s="54">
        <v>45.5</v>
      </c>
      <c r="BG93" s="74" t="s">
        <v>0</v>
      </c>
    </row>
    <row r="94" spans="31:59" ht="39.950000000000003" hidden="1" customHeight="1" x14ac:dyDescent="0.25">
      <c r="BE94" s="51">
        <v>92</v>
      </c>
      <c r="BF94" s="54">
        <v>46</v>
      </c>
      <c r="BG94" s="74" t="s">
        <v>0</v>
      </c>
    </row>
    <row r="95" spans="31:59" ht="39.950000000000003" hidden="1" customHeight="1" x14ac:dyDescent="0.25">
      <c r="BE95" s="51">
        <v>93</v>
      </c>
      <c r="BF95" s="54">
        <v>46.5</v>
      </c>
      <c r="BG95" s="74" t="s">
        <v>0</v>
      </c>
    </row>
    <row r="96" spans="31:59" ht="39.950000000000003" hidden="1" customHeight="1" x14ac:dyDescent="0.25">
      <c r="BE96" s="51">
        <v>94</v>
      </c>
      <c r="BF96" s="54">
        <v>47</v>
      </c>
      <c r="BG96" s="74" t="s">
        <v>0</v>
      </c>
    </row>
    <row r="97" spans="57:59" ht="39.950000000000003" hidden="1" customHeight="1" x14ac:dyDescent="0.25">
      <c r="BE97" s="51">
        <v>95</v>
      </c>
      <c r="BF97" s="54">
        <v>47.5</v>
      </c>
      <c r="BG97" s="74" t="s">
        <v>0</v>
      </c>
    </row>
    <row r="98" spans="57:59" ht="39.950000000000003" hidden="1" customHeight="1" x14ac:dyDescent="0.25">
      <c r="BE98" s="51">
        <v>96</v>
      </c>
      <c r="BF98" s="54">
        <v>48</v>
      </c>
      <c r="BG98" s="74" t="s">
        <v>0</v>
      </c>
    </row>
    <row r="99" spans="57:59" ht="39.950000000000003" hidden="1" customHeight="1" x14ac:dyDescent="0.25">
      <c r="BE99" s="51">
        <v>97</v>
      </c>
      <c r="BF99" s="54">
        <v>48.5</v>
      </c>
      <c r="BG99" s="74" t="s">
        <v>0</v>
      </c>
    </row>
    <row r="100" spans="57:59" ht="39.950000000000003" hidden="1" customHeight="1" x14ac:dyDescent="0.25">
      <c r="BE100" s="51">
        <v>98</v>
      </c>
      <c r="BF100" s="54">
        <v>49</v>
      </c>
      <c r="BG100" s="74" t="s">
        <v>0</v>
      </c>
    </row>
    <row r="101" spans="57:59" ht="39.950000000000003" hidden="1" customHeight="1" x14ac:dyDescent="0.25">
      <c r="BE101" s="51">
        <v>99</v>
      </c>
      <c r="BF101" s="54">
        <v>49.5</v>
      </c>
      <c r="BG101" s="74" t="s">
        <v>0</v>
      </c>
    </row>
    <row r="102" spans="57:59" ht="39.950000000000003" hidden="1" customHeight="1" x14ac:dyDescent="0.25">
      <c r="BE102" s="51">
        <v>100</v>
      </c>
      <c r="BF102" s="54">
        <v>50</v>
      </c>
      <c r="BG102" s="74" t="s">
        <v>0</v>
      </c>
    </row>
    <row r="103" spans="57:59" ht="39.950000000000003" hidden="1" customHeight="1" x14ac:dyDescent="0.25">
      <c r="BE103" s="51">
        <v>101</v>
      </c>
      <c r="BF103" s="54">
        <v>50.5</v>
      </c>
      <c r="BG103" s="74" t="s">
        <v>0</v>
      </c>
    </row>
    <row r="104" spans="57:59" ht="39.950000000000003" hidden="1" customHeight="1" x14ac:dyDescent="0.25">
      <c r="BE104" s="51">
        <v>102</v>
      </c>
      <c r="BF104" s="54">
        <v>51</v>
      </c>
      <c r="BG104" s="74" t="s">
        <v>0</v>
      </c>
    </row>
    <row r="105" spans="57:59" ht="39.950000000000003" hidden="1" customHeight="1" x14ac:dyDescent="0.25">
      <c r="BE105" s="51">
        <v>103</v>
      </c>
      <c r="BF105" s="54">
        <v>51.5</v>
      </c>
      <c r="BG105" s="74" t="s">
        <v>0</v>
      </c>
    </row>
    <row r="106" spans="57:59" ht="39.950000000000003" hidden="1" customHeight="1" x14ac:dyDescent="0.25">
      <c r="BE106" s="51">
        <v>104</v>
      </c>
      <c r="BF106" s="54">
        <v>52</v>
      </c>
      <c r="BG106" s="74" t="s">
        <v>0</v>
      </c>
    </row>
    <row r="107" spans="57:59" ht="39.950000000000003" hidden="1" customHeight="1" x14ac:dyDescent="0.25">
      <c r="BE107" s="51">
        <v>105</v>
      </c>
      <c r="BF107" s="54">
        <v>52.5</v>
      </c>
      <c r="BG107" s="74" t="s">
        <v>0</v>
      </c>
    </row>
    <row r="108" spans="57:59" ht="39.950000000000003" hidden="1" customHeight="1" x14ac:dyDescent="0.25">
      <c r="BE108" s="51">
        <v>106</v>
      </c>
      <c r="BF108" s="54">
        <v>53</v>
      </c>
      <c r="BG108" s="74" t="s">
        <v>0</v>
      </c>
    </row>
    <row r="109" spans="57:59" ht="39.950000000000003" hidden="1" customHeight="1" x14ac:dyDescent="0.25">
      <c r="BE109" s="51">
        <v>107</v>
      </c>
      <c r="BF109" s="54">
        <v>53.5</v>
      </c>
      <c r="BG109" s="74" t="s">
        <v>0</v>
      </c>
    </row>
    <row r="110" spans="57:59" ht="39.950000000000003" hidden="1" customHeight="1" x14ac:dyDescent="0.25">
      <c r="BE110" s="51">
        <v>108</v>
      </c>
      <c r="BF110" s="54">
        <v>54</v>
      </c>
      <c r="BG110" s="74" t="s">
        <v>0</v>
      </c>
    </row>
    <row r="111" spans="57:59" ht="39.950000000000003" hidden="1" customHeight="1" x14ac:dyDescent="0.25">
      <c r="BE111" s="51">
        <v>109</v>
      </c>
      <c r="BF111" s="54">
        <v>54.5</v>
      </c>
      <c r="BG111" s="74" t="s">
        <v>0</v>
      </c>
    </row>
    <row r="112" spans="57:59" ht="39.950000000000003" hidden="1" customHeight="1" x14ac:dyDescent="0.25">
      <c r="BE112" s="51">
        <v>110</v>
      </c>
      <c r="BF112" s="54">
        <v>55</v>
      </c>
      <c r="BG112" s="74" t="s">
        <v>0</v>
      </c>
    </row>
    <row r="113" spans="57:59" ht="39.950000000000003" hidden="1" customHeight="1" x14ac:dyDescent="0.25">
      <c r="BE113" s="51">
        <v>111</v>
      </c>
      <c r="BF113" s="54">
        <v>55.5</v>
      </c>
      <c r="BG113" s="74" t="s">
        <v>0</v>
      </c>
    </row>
    <row r="114" spans="57:59" ht="39.950000000000003" hidden="1" customHeight="1" x14ac:dyDescent="0.25">
      <c r="BE114" s="51">
        <v>112</v>
      </c>
      <c r="BF114" s="54">
        <v>56</v>
      </c>
      <c r="BG114" s="74" t="s">
        <v>0</v>
      </c>
    </row>
    <row r="115" spans="57:59" ht="39.950000000000003" hidden="1" customHeight="1" x14ac:dyDescent="0.25">
      <c r="BE115" s="51">
        <v>113</v>
      </c>
      <c r="BF115" s="54">
        <v>56.5</v>
      </c>
      <c r="BG115" s="74" t="s">
        <v>0</v>
      </c>
    </row>
    <row r="116" spans="57:59" ht="39.950000000000003" hidden="1" customHeight="1" x14ac:dyDescent="0.25">
      <c r="BE116" s="51">
        <v>114</v>
      </c>
      <c r="BF116" s="54">
        <v>57</v>
      </c>
      <c r="BG116" s="74" t="s">
        <v>0</v>
      </c>
    </row>
    <row r="117" spans="57:59" ht="39.950000000000003" hidden="1" customHeight="1" x14ac:dyDescent="0.25">
      <c r="BE117" s="51">
        <v>115</v>
      </c>
      <c r="BF117" s="54">
        <v>57.5</v>
      </c>
      <c r="BG117" s="74" t="s">
        <v>0</v>
      </c>
    </row>
    <row r="118" spans="57:59" ht="39.950000000000003" hidden="1" customHeight="1" x14ac:dyDescent="0.25">
      <c r="BE118" s="51">
        <v>116</v>
      </c>
      <c r="BF118" s="54">
        <v>58</v>
      </c>
      <c r="BG118" s="74" t="s">
        <v>0</v>
      </c>
    </row>
    <row r="119" spans="57:59" ht="39.950000000000003" hidden="1" customHeight="1" x14ac:dyDescent="0.25">
      <c r="BE119" s="51">
        <v>117</v>
      </c>
      <c r="BF119" s="54">
        <v>58.5</v>
      </c>
      <c r="BG119" s="74" t="s">
        <v>0</v>
      </c>
    </row>
    <row r="120" spans="57:59" ht="39.950000000000003" hidden="1" customHeight="1" x14ac:dyDescent="0.25">
      <c r="BE120" s="51">
        <v>118</v>
      </c>
      <c r="BF120" s="54">
        <v>59</v>
      </c>
      <c r="BG120" s="74" t="s">
        <v>0</v>
      </c>
    </row>
    <row r="121" spans="57:59" ht="39.950000000000003" hidden="1" customHeight="1" x14ac:dyDescent="0.25">
      <c r="BE121" s="51">
        <v>119</v>
      </c>
      <c r="BF121" s="54">
        <v>59.5</v>
      </c>
      <c r="BG121" s="74" t="s">
        <v>0</v>
      </c>
    </row>
    <row r="122" spans="57:59" ht="39.950000000000003" hidden="1" customHeight="1" x14ac:dyDescent="0.25">
      <c r="BE122" s="51">
        <v>120</v>
      </c>
      <c r="BF122" s="54">
        <v>60</v>
      </c>
      <c r="BG122" s="74" t="s">
        <v>0</v>
      </c>
    </row>
    <row r="123" spans="57:59" ht="39.950000000000003" hidden="1" customHeight="1" x14ac:dyDescent="0.25">
      <c r="BE123" s="51">
        <v>121</v>
      </c>
      <c r="BF123" s="54">
        <v>60.5</v>
      </c>
      <c r="BG123" s="74" t="s">
        <v>0</v>
      </c>
    </row>
    <row r="124" spans="57:59" ht="39.950000000000003" hidden="1" customHeight="1" x14ac:dyDescent="0.25">
      <c r="BE124" s="51">
        <v>122</v>
      </c>
      <c r="BF124" s="54">
        <v>61</v>
      </c>
      <c r="BG124" s="74" t="s">
        <v>0</v>
      </c>
    </row>
    <row r="125" spans="57:59" ht="39.950000000000003" hidden="1" customHeight="1" x14ac:dyDescent="0.25">
      <c r="BE125" s="51">
        <v>123</v>
      </c>
      <c r="BF125" s="54">
        <v>61.5</v>
      </c>
      <c r="BG125" s="74" t="s">
        <v>0</v>
      </c>
    </row>
    <row r="126" spans="57:59" ht="39.950000000000003" hidden="1" customHeight="1" x14ac:dyDescent="0.25">
      <c r="BE126" s="51">
        <v>124</v>
      </c>
      <c r="BF126" s="54">
        <v>62</v>
      </c>
      <c r="BG126" s="74" t="s">
        <v>0</v>
      </c>
    </row>
    <row r="127" spans="57:59" ht="39.950000000000003" hidden="1" customHeight="1" x14ac:dyDescent="0.25">
      <c r="BE127" s="51">
        <v>125</v>
      </c>
      <c r="BF127" s="54">
        <v>62.5</v>
      </c>
      <c r="BG127" s="74" t="s">
        <v>0</v>
      </c>
    </row>
    <row r="128" spans="57:59" ht="39.950000000000003" hidden="1" customHeight="1" x14ac:dyDescent="0.25">
      <c r="BE128" s="51">
        <v>126</v>
      </c>
      <c r="BF128" s="54">
        <v>63</v>
      </c>
      <c r="BG128" s="74" t="s">
        <v>0</v>
      </c>
    </row>
    <row r="129" spans="57:59" ht="39.950000000000003" hidden="1" customHeight="1" x14ac:dyDescent="0.25">
      <c r="BE129" s="51">
        <v>127</v>
      </c>
      <c r="BF129" s="54">
        <v>63.5</v>
      </c>
      <c r="BG129" s="74" t="s">
        <v>0</v>
      </c>
    </row>
    <row r="130" spans="57:59" ht="39.950000000000003" hidden="1" customHeight="1" x14ac:dyDescent="0.25">
      <c r="BE130" s="51">
        <v>128</v>
      </c>
      <c r="BF130" s="54">
        <v>64</v>
      </c>
      <c r="BG130" s="74" t="s">
        <v>0</v>
      </c>
    </row>
    <row r="131" spans="57:59" ht="39.950000000000003" hidden="1" customHeight="1" x14ac:dyDescent="0.25">
      <c r="BE131" s="51">
        <v>129</v>
      </c>
      <c r="BF131" s="54">
        <v>64.5</v>
      </c>
      <c r="BG131" s="74" t="s">
        <v>0</v>
      </c>
    </row>
    <row r="132" spans="57:59" ht="39.950000000000003" hidden="1" customHeight="1" x14ac:dyDescent="0.25">
      <c r="BE132" s="51">
        <v>130</v>
      </c>
      <c r="BF132" s="54">
        <v>65</v>
      </c>
      <c r="BG132" s="74" t="s">
        <v>0</v>
      </c>
    </row>
    <row r="133" spans="57:59" ht="39.950000000000003" hidden="1" customHeight="1" x14ac:dyDescent="0.25">
      <c r="BE133" s="51">
        <v>131</v>
      </c>
      <c r="BF133" s="54">
        <v>65.5</v>
      </c>
      <c r="BG133" s="74" t="s">
        <v>0</v>
      </c>
    </row>
    <row r="134" spans="57:59" ht="39.950000000000003" hidden="1" customHeight="1" x14ac:dyDescent="0.25">
      <c r="BE134" s="51">
        <v>132</v>
      </c>
      <c r="BF134" s="54">
        <v>66</v>
      </c>
      <c r="BG134" s="74" t="s">
        <v>0</v>
      </c>
    </row>
    <row r="135" spans="57:59" ht="39.950000000000003" hidden="1" customHeight="1" x14ac:dyDescent="0.25">
      <c r="BE135" s="51">
        <v>133</v>
      </c>
      <c r="BF135" s="54">
        <v>66.5</v>
      </c>
      <c r="BG135" s="74" t="s">
        <v>0</v>
      </c>
    </row>
    <row r="136" spans="57:59" ht="39.950000000000003" hidden="1" customHeight="1" x14ac:dyDescent="0.25">
      <c r="BE136" s="51">
        <v>134</v>
      </c>
      <c r="BF136" s="54">
        <v>67</v>
      </c>
      <c r="BG136" s="74" t="s">
        <v>0</v>
      </c>
    </row>
    <row r="137" spans="57:59" ht="39.950000000000003" hidden="1" customHeight="1" x14ac:dyDescent="0.25">
      <c r="BE137" s="51">
        <v>135</v>
      </c>
      <c r="BF137" s="54">
        <v>67.5</v>
      </c>
      <c r="BG137" s="74" t="s">
        <v>0</v>
      </c>
    </row>
    <row r="138" spans="57:59" ht="39.950000000000003" hidden="1" customHeight="1" x14ac:dyDescent="0.25">
      <c r="BE138" s="51">
        <v>136</v>
      </c>
      <c r="BF138" s="54">
        <v>68</v>
      </c>
      <c r="BG138" s="74" t="s">
        <v>0</v>
      </c>
    </row>
    <row r="139" spans="57:59" ht="39.950000000000003" hidden="1" customHeight="1" x14ac:dyDescent="0.25">
      <c r="BE139" s="51">
        <v>137</v>
      </c>
      <c r="BF139" s="54">
        <v>68.5</v>
      </c>
      <c r="BG139" s="74" t="s">
        <v>0</v>
      </c>
    </row>
    <row r="140" spans="57:59" ht="39.950000000000003" hidden="1" customHeight="1" x14ac:dyDescent="0.25">
      <c r="BE140" s="51">
        <v>138</v>
      </c>
      <c r="BF140" s="54">
        <v>69</v>
      </c>
      <c r="BG140" s="74" t="s">
        <v>0</v>
      </c>
    </row>
    <row r="141" spans="57:59" ht="39.950000000000003" hidden="1" customHeight="1" x14ac:dyDescent="0.25">
      <c r="BE141" s="51">
        <v>139</v>
      </c>
      <c r="BF141" s="54">
        <v>69.5</v>
      </c>
      <c r="BG141" s="74" t="s">
        <v>0</v>
      </c>
    </row>
    <row r="142" spans="57:59" ht="39.950000000000003" hidden="1" customHeight="1" x14ac:dyDescent="0.25">
      <c r="BE142" s="51">
        <v>140</v>
      </c>
      <c r="BF142" s="54">
        <v>70</v>
      </c>
      <c r="BG142" s="74" t="s">
        <v>0</v>
      </c>
    </row>
    <row r="143" spans="57:59" ht="39.950000000000003" hidden="1" customHeight="1" x14ac:dyDescent="0.25">
      <c r="BE143" s="51">
        <v>141</v>
      </c>
      <c r="BF143" s="54">
        <v>70.5</v>
      </c>
      <c r="BG143" s="74" t="s">
        <v>0</v>
      </c>
    </row>
    <row r="144" spans="57:59" ht="39.950000000000003" hidden="1" customHeight="1" x14ac:dyDescent="0.25">
      <c r="BE144" s="51">
        <v>142</v>
      </c>
      <c r="BF144" s="54">
        <v>71</v>
      </c>
      <c r="BG144" s="74" t="s">
        <v>0</v>
      </c>
    </row>
    <row r="145" spans="57:59" ht="39.950000000000003" hidden="1" customHeight="1" x14ac:dyDescent="0.25">
      <c r="BE145" s="51">
        <v>143</v>
      </c>
      <c r="BF145" s="54">
        <v>71.5</v>
      </c>
      <c r="BG145" s="74" t="s">
        <v>0</v>
      </c>
    </row>
    <row r="146" spans="57:59" ht="39.950000000000003" hidden="1" customHeight="1" x14ac:dyDescent="0.25">
      <c r="BE146" s="51">
        <v>144</v>
      </c>
      <c r="BF146" s="54">
        <v>72</v>
      </c>
      <c r="BG146" s="74" t="s">
        <v>0</v>
      </c>
    </row>
    <row r="147" spans="57:59" ht="39.950000000000003" hidden="1" customHeight="1" x14ac:dyDescent="0.25">
      <c r="BE147" s="51">
        <v>145</v>
      </c>
      <c r="BF147" s="54">
        <v>72.5</v>
      </c>
      <c r="BG147" s="74" t="s">
        <v>0</v>
      </c>
    </row>
    <row r="148" spans="57:59" ht="39.950000000000003" hidden="1" customHeight="1" x14ac:dyDescent="0.25">
      <c r="BE148" s="51">
        <v>146</v>
      </c>
      <c r="BF148" s="54">
        <v>73</v>
      </c>
      <c r="BG148" s="74" t="s">
        <v>0</v>
      </c>
    </row>
    <row r="149" spans="57:59" ht="39.950000000000003" hidden="1" customHeight="1" x14ac:dyDescent="0.25">
      <c r="BE149" s="51">
        <v>147</v>
      </c>
      <c r="BF149" s="54">
        <v>73.5</v>
      </c>
      <c r="BG149" s="74" t="s">
        <v>0</v>
      </c>
    </row>
    <row r="150" spans="57:59" ht="39.950000000000003" hidden="1" customHeight="1" x14ac:dyDescent="0.25">
      <c r="BE150" s="51">
        <v>148</v>
      </c>
      <c r="BF150" s="54">
        <v>74</v>
      </c>
      <c r="BG150" s="74" t="s">
        <v>0</v>
      </c>
    </row>
    <row r="151" spans="57:59" ht="39.950000000000003" hidden="1" customHeight="1" x14ac:dyDescent="0.25">
      <c r="BE151" s="51">
        <v>149</v>
      </c>
      <c r="BF151" s="54">
        <v>74.5</v>
      </c>
      <c r="BG151" s="74" t="s">
        <v>0</v>
      </c>
    </row>
    <row r="152" spans="57:59" ht="39.950000000000003" hidden="1" customHeight="1" x14ac:dyDescent="0.25">
      <c r="BE152" s="51">
        <v>150</v>
      </c>
      <c r="BF152" s="54">
        <v>75</v>
      </c>
      <c r="BG152" s="74" t="s">
        <v>0</v>
      </c>
    </row>
    <row r="153" spans="57:59" ht="39.950000000000003" hidden="1" customHeight="1" x14ac:dyDescent="0.25">
      <c r="BE153" s="51">
        <v>151</v>
      </c>
      <c r="BF153" s="54">
        <v>75.5</v>
      </c>
      <c r="BG153" s="74" t="s">
        <v>0</v>
      </c>
    </row>
    <row r="154" spans="57:59" ht="39.950000000000003" hidden="1" customHeight="1" x14ac:dyDescent="0.25">
      <c r="BE154" s="51">
        <v>152</v>
      </c>
      <c r="BF154" s="54">
        <v>76</v>
      </c>
      <c r="BG154" s="74" t="s">
        <v>0</v>
      </c>
    </row>
    <row r="155" spans="57:59" ht="39.950000000000003" hidden="1" customHeight="1" x14ac:dyDescent="0.25">
      <c r="BE155" s="51">
        <v>153</v>
      </c>
      <c r="BF155" s="54">
        <v>76.5</v>
      </c>
      <c r="BG155" s="74" t="s">
        <v>0</v>
      </c>
    </row>
    <row r="156" spans="57:59" ht="39.950000000000003" hidden="1" customHeight="1" x14ac:dyDescent="0.25">
      <c r="BE156" s="51">
        <v>154</v>
      </c>
      <c r="BF156" s="54">
        <v>77</v>
      </c>
      <c r="BG156" s="74" t="s">
        <v>0</v>
      </c>
    </row>
    <row r="157" spans="57:59" ht="39.950000000000003" hidden="1" customHeight="1" x14ac:dyDescent="0.25">
      <c r="BE157" s="51">
        <v>155</v>
      </c>
      <c r="BF157" s="54">
        <v>77.5</v>
      </c>
      <c r="BG157" s="74" t="s">
        <v>0</v>
      </c>
    </row>
    <row r="158" spans="57:59" ht="39.950000000000003" hidden="1" customHeight="1" x14ac:dyDescent="0.25">
      <c r="BE158" s="51">
        <v>156</v>
      </c>
      <c r="BF158" s="54">
        <v>78</v>
      </c>
      <c r="BG158" s="74" t="s">
        <v>0</v>
      </c>
    </row>
    <row r="159" spans="57:59" ht="39.950000000000003" hidden="1" customHeight="1" x14ac:dyDescent="0.25">
      <c r="BE159" s="51">
        <v>157</v>
      </c>
      <c r="BF159" s="54">
        <v>78.5</v>
      </c>
      <c r="BG159" s="74" t="s">
        <v>0</v>
      </c>
    </row>
    <row r="160" spans="57:59" ht="39.950000000000003" hidden="1" customHeight="1" x14ac:dyDescent="0.25">
      <c r="BE160" s="51">
        <v>158</v>
      </c>
      <c r="BF160" s="54">
        <v>79</v>
      </c>
      <c r="BG160" s="74" t="s">
        <v>0</v>
      </c>
    </row>
    <row r="161" spans="57:59" ht="39.950000000000003" hidden="1" customHeight="1" x14ac:dyDescent="0.25">
      <c r="BE161" s="51">
        <v>159</v>
      </c>
      <c r="BF161" s="54">
        <v>79.5</v>
      </c>
      <c r="BG161" s="74" t="s">
        <v>0</v>
      </c>
    </row>
    <row r="162" spans="57:59" ht="39.950000000000003" hidden="1" customHeight="1" x14ac:dyDescent="0.25">
      <c r="BE162" s="51">
        <v>160</v>
      </c>
      <c r="BF162" s="54">
        <v>80</v>
      </c>
      <c r="BG162" s="74" t="s">
        <v>0</v>
      </c>
    </row>
    <row r="163" spans="57:59" ht="39.950000000000003" hidden="1" customHeight="1" x14ac:dyDescent="0.25">
      <c r="BE163" s="51">
        <v>161</v>
      </c>
      <c r="BF163" s="54">
        <v>80.5</v>
      </c>
      <c r="BG163" s="74" t="s">
        <v>0</v>
      </c>
    </row>
    <row r="164" spans="57:59" ht="39.950000000000003" hidden="1" customHeight="1" x14ac:dyDescent="0.25">
      <c r="BE164" s="51">
        <v>162</v>
      </c>
      <c r="BF164" s="54">
        <v>81</v>
      </c>
      <c r="BG164" s="74" t="s">
        <v>0</v>
      </c>
    </row>
    <row r="165" spans="57:59" ht="39.950000000000003" hidden="1" customHeight="1" x14ac:dyDescent="0.25">
      <c r="BE165" s="51">
        <v>163</v>
      </c>
      <c r="BF165" s="54">
        <v>81.5</v>
      </c>
      <c r="BG165" s="74" t="s">
        <v>0</v>
      </c>
    </row>
    <row r="166" spans="57:59" ht="39.950000000000003" hidden="1" customHeight="1" x14ac:dyDescent="0.25">
      <c r="BE166" s="51">
        <v>164</v>
      </c>
      <c r="BF166" s="54">
        <v>82</v>
      </c>
      <c r="BG166" s="74" t="s">
        <v>0</v>
      </c>
    </row>
    <row r="167" spans="57:59" ht="39.950000000000003" hidden="1" customHeight="1" x14ac:dyDescent="0.25">
      <c r="BE167" s="51">
        <v>165</v>
      </c>
      <c r="BF167" s="54">
        <v>82.5</v>
      </c>
      <c r="BG167" s="74" t="s">
        <v>0</v>
      </c>
    </row>
    <row r="168" spans="57:59" ht="39.950000000000003" hidden="1" customHeight="1" x14ac:dyDescent="0.25">
      <c r="BE168" s="51">
        <v>166</v>
      </c>
      <c r="BF168" s="54">
        <v>83</v>
      </c>
      <c r="BG168" s="74" t="s">
        <v>0</v>
      </c>
    </row>
    <row r="169" spans="57:59" ht="39.950000000000003" hidden="1" customHeight="1" x14ac:dyDescent="0.25">
      <c r="BE169" s="51">
        <v>167</v>
      </c>
      <c r="BF169" s="54">
        <v>83.5</v>
      </c>
      <c r="BG169" s="74" t="s">
        <v>0</v>
      </c>
    </row>
    <row r="170" spans="57:59" ht="39.950000000000003" hidden="1" customHeight="1" x14ac:dyDescent="0.25">
      <c r="BE170" s="51">
        <v>168</v>
      </c>
      <c r="BF170" s="54">
        <v>84</v>
      </c>
      <c r="BG170" s="74" t="s">
        <v>0</v>
      </c>
    </row>
    <row r="171" spans="57:59" ht="39.950000000000003" hidden="1" customHeight="1" x14ac:dyDescent="0.25">
      <c r="BE171" s="51">
        <v>169</v>
      </c>
      <c r="BF171" s="54">
        <v>84.5</v>
      </c>
      <c r="BG171" s="74" t="s">
        <v>0</v>
      </c>
    </row>
    <row r="172" spans="57:59" ht="39.950000000000003" hidden="1" customHeight="1" x14ac:dyDescent="0.25">
      <c r="BE172" s="51">
        <v>170</v>
      </c>
      <c r="BF172" s="54">
        <v>85</v>
      </c>
      <c r="BG172" s="74" t="s">
        <v>0</v>
      </c>
    </row>
    <row r="173" spans="57:59" ht="39.950000000000003" hidden="1" customHeight="1" x14ac:dyDescent="0.25">
      <c r="BE173" s="51">
        <v>171</v>
      </c>
      <c r="BF173" s="54">
        <v>85.5</v>
      </c>
      <c r="BG173" s="74" t="s">
        <v>0</v>
      </c>
    </row>
    <row r="174" spans="57:59" ht="39.950000000000003" hidden="1" customHeight="1" x14ac:dyDescent="0.25">
      <c r="BE174" s="51">
        <v>172</v>
      </c>
      <c r="BF174" s="54">
        <v>86</v>
      </c>
      <c r="BG174" s="74" t="s">
        <v>0</v>
      </c>
    </row>
    <row r="175" spans="57:59" ht="39.950000000000003" hidden="1" customHeight="1" x14ac:dyDescent="0.25">
      <c r="BE175" s="51">
        <v>173</v>
      </c>
      <c r="BF175" s="54">
        <v>86.5</v>
      </c>
      <c r="BG175" s="74" t="s">
        <v>0</v>
      </c>
    </row>
    <row r="176" spans="57:59" ht="39.950000000000003" hidden="1" customHeight="1" x14ac:dyDescent="0.25">
      <c r="BE176" s="51">
        <v>174</v>
      </c>
      <c r="BF176" s="54">
        <v>87</v>
      </c>
      <c r="BG176" s="74" t="s">
        <v>0</v>
      </c>
    </row>
    <row r="177" spans="57:59" ht="39.950000000000003" hidden="1" customHeight="1" x14ac:dyDescent="0.25">
      <c r="BE177" s="51">
        <v>175</v>
      </c>
      <c r="BF177" s="54">
        <v>87.5</v>
      </c>
      <c r="BG177" s="74" t="s">
        <v>0</v>
      </c>
    </row>
    <row r="178" spans="57:59" ht="39.950000000000003" hidden="1" customHeight="1" x14ac:dyDescent="0.25">
      <c r="BE178" s="51">
        <v>176</v>
      </c>
      <c r="BF178" s="54">
        <v>88</v>
      </c>
      <c r="BG178" s="74" t="s">
        <v>0</v>
      </c>
    </row>
    <row r="179" spans="57:59" ht="39.950000000000003" hidden="1" customHeight="1" x14ac:dyDescent="0.25">
      <c r="BE179" s="51">
        <v>177</v>
      </c>
      <c r="BF179" s="54">
        <v>88.5</v>
      </c>
      <c r="BG179" s="74" t="s">
        <v>0</v>
      </c>
    </row>
    <row r="180" spans="57:59" ht="39.950000000000003" hidden="1" customHeight="1" x14ac:dyDescent="0.25">
      <c r="BE180" s="51">
        <v>178</v>
      </c>
      <c r="BF180" s="54">
        <v>89</v>
      </c>
      <c r="BG180" s="74" t="s">
        <v>0</v>
      </c>
    </row>
    <row r="181" spans="57:59" ht="39.950000000000003" hidden="1" customHeight="1" x14ac:dyDescent="0.25">
      <c r="BE181" s="51">
        <v>179</v>
      </c>
      <c r="BF181" s="54">
        <v>89.5</v>
      </c>
      <c r="BG181" s="74" t="s">
        <v>0</v>
      </c>
    </row>
    <row r="182" spans="57:59" ht="39.950000000000003" hidden="1" customHeight="1" x14ac:dyDescent="0.25">
      <c r="BE182" s="51">
        <v>180</v>
      </c>
      <c r="BF182" s="54">
        <v>90</v>
      </c>
      <c r="BG182" s="74" t="s">
        <v>0</v>
      </c>
    </row>
    <row r="183" spans="57:59" ht="39.950000000000003" hidden="1" customHeight="1" x14ac:dyDescent="0.25">
      <c r="BE183" s="51">
        <v>181</v>
      </c>
      <c r="BF183" s="54">
        <v>90.5</v>
      </c>
      <c r="BG183" s="74" t="s">
        <v>0</v>
      </c>
    </row>
    <row r="184" spans="57:59" ht="39.950000000000003" hidden="1" customHeight="1" x14ac:dyDescent="0.25">
      <c r="BE184" s="51">
        <v>182</v>
      </c>
      <c r="BF184" s="54">
        <v>91</v>
      </c>
      <c r="BG184" s="74" t="s">
        <v>0</v>
      </c>
    </row>
    <row r="185" spans="57:59" ht="39.950000000000003" hidden="1" customHeight="1" x14ac:dyDescent="0.25">
      <c r="BE185" s="51">
        <v>183</v>
      </c>
      <c r="BF185" s="54">
        <v>91.5</v>
      </c>
      <c r="BG185" s="74" t="s">
        <v>0</v>
      </c>
    </row>
    <row r="186" spans="57:59" ht="39.950000000000003" hidden="1" customHeight="1" x14ac:dyDescent="0.25">
      <c r="BE186" s="51">
        <v>184</v>
      </c>
      <c r="BF186" s="54">
        <v>92</v>
      </c>
      <c r="BG186" s="74" t="s">
        <v>0</v>
      </c>
    </row>
    <row r="187" spans="57:59" ht="39.950000000000003" hidden="1" customHeight="1" x14ac:dyDescent="0.25">
      <c r="BE187" s="51">
        <v>185</v>
      </c>
      <c r="BF187" s="54">
        <v>92.5</v>
      </c>
      <c r="BG187" s="74" t="s">
        <v>0</v>
      </c>
    </row>
    <row r="188" spans="57:59" ht="39.950000000000003" hidden="1" customHeight="1" x14ac:dyDescent="0.25">
      <c r="BE188" s="51">
        <v>186</v>
      </c>
      <c r="BF188" s="54">
        <v>93</v>
      </c>
      <c r="BG188" s="74" t="s">
        <v>0</v>
      </c>
    </row>
    <row r="189" spans="57:59" ht="39.950000000000003" hidden="1" customHeight="1" x14ac:dyDescent="0.25">
      <c r="BE189" s="51">
        <v>187</v>
      </c>
      <c r="BF189" s="54">
        <v>93.5</v>
      </c>
      <c r="BG189" s="74" t="s">
        <v>0</v>
      </c>
    </row>
    <row r="190" spans="57:59" ht="39.950000000000003" hidden="1" customHeight="1" x14ac:dyDescent="0.25">
      <c r="BE190" s="51">
        <v>188</v>
      </c>
      <c r="BF190" s="54">
        <v>94</v>
      </c>
      <c r="BG190" s="74" t="s">
        <v>0</v>
      </c>
    </row>
    <row r="191" spans="57:59" ht="39.950000000000003" hidden="1" customHeight="1" x14ac:dyDescent="0.25">
      <c r="BE191" s="51">
        <v>189</v>
      </c>
      <c r="BF191" s="54">
        <v>94.5</v>
      </c>
      <c r="BG191" s="74" t="s">
        <v>0</v>
      </c>
    </row>
    <row r="192" spans="57:59" ht="39.950000000000003" hidden="1" customHeight="1" x14ac:dyDescent="0.25">
      <c r="BE192" s="51">
        <v>190</v>
      </c>
      <c r="BF192" s="54">
        <v>95</v>
      </c>
      <c r="BG192" s="74" t="s">
        <v>0</v>
      </c>
    </row>
    <row r="193" spans="57:59" ht="39.950000000000003" hidden="1" customHeight="1" x14ac:dyDescent="0.25">
      <c r="BE193" s="51">
        <v>191</v>
      </c>
      <c r="BF193" s="54">
        <v>95.5</v>
      </c>
      <c r="BG193" s="74" t="s">
        <v>0</v>
      </c>
    </row>
    <row r="194" spans="57:59" ht="39.950000000000003" hidden="1" customHeight="1" x14ac:dyDescent="0.25">
      <c r="BE194" s="51">
        <v>192</v>
      </c>
      <c r="BF194" s="54">
        <v>96</v>
      </c>
      <c r="BG194" s="74" t="s">
        <v>0</v>
      </c>
    </row>
    <row r="195" spans="57:59" ht="39.950000000000003" hidden="1" customHeight="1" x14ac:dyDescent="0.25">
      <c r="BE195" s="51">
        <v>193</v>
      </c>
      <c r="BF195" s="54">
        <v>96.5</v>
      </c>
      <c r="BG195" s="74" t="s">
        <v>0</v>
      </c>
    </row>
    <row r="196" spans="57:59" ht="39.950000000000003" hidden="1" customHeight="1" x14ac:dyDescent="0.25">
      <c r="BE196" s="51">
        <v>194</v>
      </c>
      <c r="BF196" s="54">
        <v>97</v>
      </c>
      <c r="BG196" s="74" t="s">
        <v>0</v>
      </c>
    </row>
    <row r="197" spans="57:59" ht="39.950000000000003" hidden="1" customHeight="1" x14ac:dyDescent="0.25">
      <c r="BE197" s="51">
        <v>195</v>
      </c>
      <c r="BF197" s="54">
        <v>97.5</v>
      </c>
      <c r="BG197" s="74" t="s">
        <v>0</v>
      </c>
    </row>
    <row r="198" spans="57:59" ht="39.950000000000003" hidden="1" customHeight="1" x14ac:dyDescent="0.25">
      <c r="BE198" s="51">
        <v>196</v>
      </c>
      <c r="BF198" s="54">
        <v>98</v>
      </c>
      <c r="BG198" s="74" t="s">
        <v>0</v>
      </c>
    </row>
    <row r="199" spans="57:59" ht="39.950000000000003" hidden="1" customHeight="1" x14ac:dyDescent="0.25">
      <c r="BE199" s="51">
        <v>197</v>
      </c>
      <c r="BF199" s="54">
        <v>98.5</v>
      </c>
      <c r="BG199" s="74" t="s">
        <v>0</v>
      </c>
    </row>
    <row r="200" spans="57:59" ht="39.950000000000003" hidden="1" customHeight="1" x14ac:dyDescent="0.25">
      <c r="BE200" s="51">
        <v>198</v>
      </c>
      <c r="BF200" s="54">
        <v>99</v>
      </c>
      <c r="BG200" s="74" t="s">
        <v>0</v>
      </c>
    </row>
    <row r="201" spans="57:59" ht="39.950000000000003" hidden="1" customHeight="1" x14ac:dyDescent="0.25">
      <c r="BE201" s="51">
        <v>199</v>
      </c>
      <c r="BF201" s="54">
        <v>99.5</v>
      </c>
      <c r="BG201" s="74" t="s">
        <v>0</v>
      </c>
    </row>
    <row r="202" spans="57:59" ht="39.950000000000003" hidden="1" customHeight="1" x14ac:dyDescent="0.25">
      <c r="BE202" s="51">
        <v>200</v>
      </c>
      <c r="BF202" s="54">
        <v>100</v>
      </c>
      <c r="BG202" s="74" t="s">
        <v>0</v>
      </c>
    </row>
    <row r="203" spans="57:59" ht="39.950000000000003" hidden="1" customHeight="1" x14ac:dyDescent="0.25">
      <c r="BE203" s="51">
        <v>201</v>
      </c>
      <c r="BF203" s="54">
        <v>100.5</v>
      </c>
      <c r="BG203" s="74" t="s">
        <v>0</v>
      </c>
    </row>
    <row r="204" spans="57:59" ht="39.950000000000003" hidden="1" customHeight="1" x14ac:dyDescent="0.25">
      <c r="BE204" s="51">
        <v>202</v>
      </c>
      <c r="BF204" s="54">
        <v>101</v>
      </c>
      <c r="BG204" s="74" t="s">
        <v>0</v>
      </c>
    </row>
    <row r="205" spans="57:59" ht="39.950000000000003" hidden="1" customHeight="1" x14ac:dyDescent="0.25">
      <c r="BE205" s="51">
        <v>203</v>
      </c>
      <c r="BF205" s="54">
        <v>101.5</v>
      </c>
      <c r="BG205" s="74" t="s">
        <v>0</v>
      </c>
    </row>
    <row r="206" spans="57:59" ht="39.950000000000003" hidden="1" customHeight="1" x14ac:dyDescent="0.25">
      <c r="BE206" s="51">
        <v>204</v>
      </c>
      <c r="BF206" s="54">
        <v>102</v>
      </c>
      <c r="BG206" s="74" t="s">
        <v>0</v>
      </c>
    </row>
    <row r="207" spans="57:59" ht="39.950000000000003" hidden="1" customHeight="1" x14ac:dyDescent="0.25">
      <c r="BE207" s="51">
        <v>205</v>
      </c>
      <c r="BF207" s="54">
        <v>102.5</v>
      </c>
      <c r="BG207" s="74" t="s">
        <v>0</v>
      </c>
    </row>
    <row r="208" spans="57:59" ht="39.950000000000003" hidden="1" customHeight="1" x14ac:dyDescent="0.25">
      <c r="BE208" s="51">
        <v>206</v>
      </c>
      <c r="BF208" s="54">
        <v>103</v>
      </c>
      <c r="BG208" s="74" t="s">
        <v>0</v>
      </c>
    </row>
    <row r="209" spans="57:59" ht="39.950000000000003" hidden="1" customHeight="1" x14ac:dyDescent="0.25">
      <c r="BE209" s="51">
        <v>207</v>
      </c>
      <c r="BF209" s="54">
        <v>103.5</v>
      </c>
      <c r="BG209" s="74" t="s">
        <v>0</v>
      </c>
    </row>
    <row r="210" spans="57:59" ht="39.950000000000003" hidden="1" customHeight="1" x14ac:dyDescent="0.25">
      <c r="BE210" s="51">
        <v>208</v>
      </c>
      <c r="BF210" s="54">
        <v>104</v>
      </c>
      <c r="BG210" s="74" t="s">
        <v>0</v>
      </c>
    </row>
    <row r="211" spans="57:59" ht="39.950000000000003" hidden="1" customHeight="1" x14ac:dyDescent="0.25">
      <c r="BE211" s="51">
        <v>209</v>
      </c>
      <c r="BF211" s="54">
        <v>104.5</v>
      </c>
      <c r="BG211" s="74" t="s">
        <v>0</v>
      </c>
    </row>
    <row r="212" spans="57:59" ht="39.950000000000003" hidden="1" customHeight="1" x14ac:dyDescent="0.25">
      <c r="BE212" s="51">
        <v>210</v>
      </c>
      <c r="BF212" s="54">
        <v>105</v>
      </c>
      <c r="BG212" s="74" t="s">
        <v>0</v>
      </c>
    </row>
    <row r="213" spans="57:59" ht="39.950000000000003" hidden="1" customHeight="1" x14ac:dyDescent="0.25">
      <c r="BE213" s="51">
        <v>211</v>
      </c>
      <c r="BF213" s="54">
        <v>105.5</v>
      </c>
      <c r="BG213" s="74" t="s">
        <v>0</v>
      </c>
    </row>
    <row r="214" spans="57:59" ht="39.950000000000003" hidden="1" customHeight="1" x14ac:dyDescent="0.25">
      <c r="BE214" s="51">
        <v>212</v>
      </c>
      <c r="BF214" s="54">
        <v>106</v>
      </c>
      <c r="BG214" s="74" t="s">
        <v>0</v>
      </c>
    </row>
    <row r="215" spans="57:59" ht="39.950000000000003" hidden="1" customHeight="1" x14ac:dyDescent="0.25">
      <c r="BE215" s="51">
        <v>213</v>
      </c>
      <c r="BF215" s="54">
        <v>106.5</v>
      </c>
      <c r="BG215" s="74" t="s">
        <v>0</v>
      </c>
    </row>
    <row r="216" spans="57:59" ht="39.950000000000003" hidden="1" customHeight="1" x14ac:dyDescent="0.25">
      <c r="BE216" s="51">
        <v>214</v>
      </c>
      <c r="BF216" s="54">
        <v>107</v>
      </c>
      <c r="BG216" s="74" t="s">
        <v>0</v>
      </c>
    </row>
    <row r="217" spans="57:59" ht="39.950000000000003" hidden="1" customHeight="1" x14ac:dyDescent="0.25">
      <c r="BE217" s="51">
        <v>215</v>
      </c>
      <c r="BF217" s="54">
        <v>107.5</v>
      </c>
      <c r="BG217" s="74" t="s">
        <v>0</v>
      </c>
    </row>
    <row r="218" spans="57:59" ht="39.950000000000003" hidden="1" customHeight="1" x14ac:dyDescent="0.25">
      <c r="BE218" s="51">
        <v>216</v>
      </c>
      <c r="BF218" s="54">
        <v>108</v>
      </c>
      <c r="BG218" s="74" t="s">
        <v>0</v>
      </c>
    </row>
    <row r="219" spans="57:59" ht="39.950000000000003" hidden="1" customHeight="1" x14ac:dyDescent="0.25">
      <c r="BE219" s="51">
        <v>217</v>
      </c>
      <c r="BF219" s="54">
        <v>108.5</v>
      </c>
      <c r="BG219" s="74" t="s">
        <v>0</v>
      </c>
    </row>
    <row r="220" spans="57:59" ht="39.950000000000003" hidden="1" customHeight="1" x14ac:dyDescent="0.25">
      <c r="BE220" s="51">
        <v>218</v>
      </c>
      <c r="BF220" s="54">
        <v>109</v>
      </c>
      <c r="BG220" s="74" t="s">
        <v>0</v>
      </c>
    </row>
    <row r="221" spans="57:59" ht="39.950000000000003" hidden="1" customHeight="1" x14ac:dyDescent="0.25">
      <c r="BE221" s="51">
        <v>219</v>
      </c>
      <c r="BF221" s="54">
        <v>109.5</v>
      </c>
      <c r="BG221" s="74" t="s">
        <v>0</v>
      </c>
    </row>
    <row r="222" spans="57:59" ht="39.950000000000003" hidden="1" customHeight="1" x14ac:dyDescent="0.25">
      <c r="BE222" s="51">
        <v>220</v>
      </c>
      <c r="BF222" s="54">
        <v>110</v>
      </c>
      <c r="BG222" s="74" t="s">
        <v>0</v>
      </c>
    </row>
    <row r="223" spans="57:59" ht="39.950000000000003" hidden="1" customHeight="1" x14ac:dyDescent="0.25">
      <c r="BE223" s="51">
        <v>221</v>
      </c>
      <c r="BF223" s="54">
        <v>110.5</v>
      </c>
      <c r="BG223" s="74" t="s">
        <v>0</v>
      </c>
    </row>
    <row r="224" spans="57:59" ht="39.950000000000003" hidden="1" customHeight="1" x14ac:dyDescent="0.25">
      <c r="BE224" s="51">
        <v>222</v>
      </c>
      <c r="BF224" s="54">
        <v>111</v>
      </c>
      <c r="BG224" s="74" t="s">
        <v>0</v>
      </c>
    </row>
    <row r="225" spans="57:59" ht="39.950000000000003" hidden="1" customHeight="1" x14ac:dyDescent="0.25">
      <c r="BE225" s="51">
        <v>223</v>
      </c>
      <c r="BF225" s="54">
        <v>111.5</v>
      </c>
      <c r="BG225" s="74" t="s">
        <v>0</v>
      </c>
    </row>
    <row r="226" spans="57:59" ht="39.950000000000003" hidden="1" customHeight="1" x14ac:dyDescent="0.25">
      <c r="BE226" s="51">
        <v>224</v>
      </c>
      <c r="BF226" s="54">
        <v>112</v>
      </c>
      <c r="BG226" s="74" t="s">
        <v>0</v>
      </c>
    </row>
    <row r="227" spans="57:59" ht="39.950000000000003" hidden="1" customHeight="1" x14ac:dyDescent="0.25">
      <c r="BE227" s="51">
        <v>225</v>
      </c>
      <c r="BF227" s="54">
        <v>112.5</v>
      </c>
      <c r="BG227" s="74" t="s">
        <v>0</v>
      </c>
    </row>
    <row r="228" spans="57:59" ht="39.950000000000003" hidden="1" customHeight="1" x14ac:dyDescent="0.25">
      <c r="BE228" s="51">
        <v>226</v>
      </c>
      <c r="BF228" s="54">
        <v>113</v>
      </c>
      <c r="BG228" s="74" t="s">
        <v>0</v>
      </c>
    </row>
    <row r="229" spans="57:59" ht="39.950000000000003" hidden="1" customHeight="1" x14ac:dyDescent="0.25">
      <c r="BE229" s="51">
        <v>227</v>
      </c>
      <c r="BF229" s="54">
        <v>113.5</v>
      </c>
      <c r="BG229" s="74" t="s">
        <v>0</v>
      </c>
    </row>
    <row r="230" spans="57:59" ht="39.950000000000003" hidden="1" customHeight="1" x14ac:dyDescent="0.25">
      <c r="BE230" s="51">
        <v>228</v>
      </c>
      <c r="BF230" s="54">
        <v>114</v>
      </c>
      <c r="BG230" s="74" t="s">
        <v>0</v>
      </c>
    </row>
    <row r="231" spans="57:59" ht="39.950000000000003" hidden="1" customHeight="1" x14ac:dyDescent="0.25">
      <c r="BE231" s="51">
        <v>229</v>
      </c>
      <c r="BF231" s="54">
        <v>114.5</v>
      </c>
      <c r="BG231" s="74" t="s">
        <v>0</v>
      </c>
    </row>
    <row r="232" spans="57:59" ht="39.950000000000003" hidden="1" customHeight="1" x14ac:dyDescent="0.25">
      <c r="BE232" s="51">
        <v>230</v>
      </c>
      <c r="BF232" s="54">
        <v>115</v>
      </c>
      <c r="BG232" s="74" t="s">
        <v>0</v>
      </c>
    </row>
    <row r="233" spans="57:59" ht="39.950000000000003" hidden="1" customHeight="1" x14ac:dyDescent="0.25">
      <c r="BE233" s="51">
        <v>231</v>
      </c>
      <c r="BF233" s="54">
        <v>115.5</v>
      </c>
      <c r="BG233" s="74" t="s">
        <v>0</v>
      </c>
    </row>
    <row r="234" spans="57:59" ht="39.950000000000003" hidden="1" customHeight="1" x14ac:dyDescent="0.25">
      <c r="BE234" s="51">
        <v>232</v>
      </c>
      <c r="BF234" s="54">
        <v>116</v>
      </c>
      <c r="BG234" s="74" t="s">
        <v>0</v>
      </c>
    </row>
    <row r="235" spans="57:59" ht="39.950000000000003" hidden="1" customHeight="1" x14ac:dyDescent="0.25">
      <c r="BE235" s="51">
        <v>233</v>
      </c>
      <c r="BF235" s="54">
        <v>116.5</v>
      </c>
      <c r="BG235" s="74" t="s">
        <v>0</v>
      </c>
    </row>
    <row r="236" spans="57:59" ht="39.950000000000003" hidden="1" customHeight="1" x14ac:dyDescent="0.25">
      <c r="BE236" s="51">
        <v>234</v>
      </c>
      <c r="BF236" s="54">
        <v>117</v>
      </c>
      <c r="BG236" s="74" t="s">
        <v>0</v>
      </c>
    </row>
    <row r="237" spans="57:59" ht="39.950000000000003" hidden="1" customHeight="1" x14ac:dyDescent="0.25">
      <c r="BE237" s="51">
        <v>235</v>
      </c>
      <c r="BF237" s="54">
        <v>117.5</v>
      </c>
      <c r="BG237" s="74" t="s">
        <v>0</v>
      </c>
    </row>
    <row r="238" spans="57:59" ht="39.950000000000003" hidden="1" customHeight="1" x14ac:dyDescent="0.25">
      <c r="BE238" s="51">
        <v>236</v>
      </c>
      <c r="BF238" s="54">
        <v>118</v>
      </c>
      <c r="BG238" s="74" t="s">
        <v>0</v>
      </c>
    </row>
    <row r="239" spans="57:59" ht="39.950000000000003" hidden="1" customHeight="1" x14ac:dyDescent="0.25">
      <c r="BE239" s="51">
        <v>237</v>
      </c>
      <c r="BF239" s="54">
        <v>118.5</v>
      </c>
      <c r="BG239" s="74" t="s">
        <v>0</v>
      </c>
    </row>
    <row r="240" spans="57:59" ht="39.950000000000003" hidden="1" customHeight="1" x14ac:dyDescent="0.25">
      <c r="BE240" s="51">
        <v>238</v>
      </c>
      <c r="BF240" s="54">
        <v>119</v>
      </c>
      <c r="BG240" s="74" t="s">
        <v>0</v>
      </c>
    </row>
    <row r="241" spans="1:59" ht="39.950000000000003" hidden="1" customHeight="1" x14ac:dyDescent="0.25">
      <c r="BE241" s="51">
        <v>239</v>
      </c>
      <c r="BF241" s="54">
        <v>119.5</v>
      </c>
      <c r="BG241" s="74" t="s">
        <v>0</v>
      </c>
    </row>
    <row r="242" spans="1:59" ht="39.950000000000003" hidden="1" customHeight="1" x14ac:dyDescent="0.25">
      <c r="BE242" s="51">
        <v>240</v>
      </c>
      <c r="BF242" s="54">
        <v>120</v>
      </c>
      <c r="BG242" s="74" t="s">
        <v>0</v>
      </c>
    </row>
    <row r="243" spans="1:59" ht="39.950000000000003" hidden="1" customHeight="1" x14ac:dyDescent="0.25">
      <c r="BE243" s="51">
        <v>241</v>
      </c>
      <c r="BF243" s="54">
        <v>120.5</v>
      </c>
      <c r="BG243" s="74" t="s">
        <v>0</v>
      </c>
    </row>
    <row r="244" spans="1:59" ht="39.950000000000003" hidden="1" customHeight="1" x14ac:dyDescent="0.25">
      <c r="BE244" s="51">
        <v>242</v>
      </c>
      <c r="BF244" s="54">
        <v>121</v>
      </c>
      <c r="BG244" s="74" t="s">
        <v>0</v>
      </c>
    </row>
    <row r="245" spans="1:59" ht="39.950000000000003" hidden="1" customHeight="1" x14ac:dyDescent="0.25">
      <c r="BE245" s="51">
        <v>243</v>
      </c>
      <c r="BF245" s="54">
        <v>121.5</v>
      </c>
      <c r="BG245" s="74" t="s">
        <v>0</v>
      </c>
    </row>
    <row r="246" spans="1:59" ht="39.950000000000003" hidden="1" customHeight="1" x14ac:dyDescent="0.25">
      <c r="BE246" s="51">
        <v>244</v>
      </c>
      <c r="BF246" s="54">
        <v>122</v>
      </c>
      <c r="BG246" s="74" t="s">
        <v>0</v>
      </c>
    </row>
    <row r="247" spans="1:59" ht="39.950000000000003" hidden="1" customHeight="1" x14ac:dyDescent="0.25">
      <c r="BE247" s="51">
        <v>245</v>
      </c>
      <c r="BF247" s="54">
        <v>122.5</v>
      </c>
      <c r="BG247" s="74" t="s">
        <v>0</v>
      </c>
    </row>
    <row r="248" spans="1:59" ht="39.950000000000003" hidden="1" customHeight="1" x14ac:dyDescent="0.25">
      <c r="BE248" s="51">
        <v>246</v>
      </c>
      <c r="BF248" s="54">
        <v>123</v>
      </c>
      <c r="BG248" s="74" t="s">
        <v>0</v>
      </c>
    </row>
    <row r="249" spans="1:59" ht="39.950000000000003" hidden="1" customHeight="1" x14ac:dyDescent="0.25">
      <c r="BE249" s="51">
        <v>247</v>
      </c>
      <c r="BF249" s="54">
        <v>123.5</v>
      </c>
      <c r="BG249" s="74" t="s">
        <v>0</v>
      </c>
    </row>
    <row r="250" spans="1:59" ht="39.950000000000003" hidden="1" customHeight="1" x14ac:dyDescent="0.25">
      <c r="BE250" s="51">
        <v>248</v>
      </c>
      <c r="BF250" s="54">
        <v>124</v>
      </c>
      <c r="BG250" s="74" t="s">
        <v>0</v>
      </c>
    </row>
    <row r="251" spans="1:59" ht="39.950000000000003" hidden="1" customHeight="1" x14ac:dyDescent="0.25">
      <c r="BE251" s="51">
        <v>249</v>
      </c>
      <c r="BF251" s="54">
        <v>124.5</v>
      </c>
      <c r="BG251" s="74" t="s">
        <v>0</v>
      </c>
    </row>
    <row r="252" spans="1:59" ht="39.950000000000003" hidden="1" customHeight="1" x14ac:dyDescent="0.25">
      <c r="BE252" s="51">
        <v>250</v>
      </c>
      <c r="BF252" s="54">
        <v>125</v>
      </c>
      <c r="BG252" s="74" t="s">
        <v>0</v>
      </c>
    </row>
    <row r="253" spans="1:59" ht="39.950000000000003" hidden="1" customHeight="1" x14ac:dyDescent="0.25">
      <c r="BE253" s="51">
        <v>251</v>
      </c>
      <c r="BF253" s="54">
        <v>125.5</v>
      </c>
      <c r="BG253" s="74" t="s">
        <v>0</v>
      </c>
    </row>
    <row r="254" spans="1:59" s="38" customFormat="1" ht="39.950000000000003" hidden="1"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v>252</v>
      </c>
      <c r="BF254" s="54">
        <v>126</v>
      </c>
      <c r="BG254" s="74" t="s">
        <v>0</v>
      </c>
    </row>
    <row r="255" spans="1:59" s="38" customFormat="1" ht="39.950000000000003" hidden="1"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v>253</v>
      </c>
      <c r="BF255" s="54">
        <v>126.5</v>
      </c>
      <c r="BG255" s="74" t="s">
        <v>0</v>
      </c>
    </row>
    <row r="256" spans="1:59" s="38" customFormat="1" ht="39.950000000000003" hidden="1"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v>254</v>
      </c>
      <c r="BF256" s="54">
        <v>127</v>
      </c>
      <c r="BG256" s="74" t="s">
        <v>0</v>
      </c>
    </row>
    <row r="257" spans="1:59" s="38" customFormat="1" ht="39.950000000000003" hidden="1"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v>255</v>
      </c>
      <c r="BF257" s="54">
        <v>127.5</v>
      </c>
      <c r="BG257" s="74" t="s">
        <v>0</v>
      </c>
    </row>
    <row r="258" spans="1:59" s="38" customFormat="1" ht="39.950000000000003" hidden="1"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v>256</v>
      </c>
      <c r="BF258" s="54">
        <v>128</v>
      </c>
      <c r="BG258" s="74" t="s">
        <v>0</v>
      </c>
    </row>
    <row r="259" spans="1:59" s="38" customFormat="1" ht="39.950000000000003" hidden="1"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v>257</v>
      </c>
      <c r="BF259" s="54">
        <v>128.5</v>
      </c>
      <c r="BG259" s="74" t="s">
        <v>0</v>
      </c>
    </row>
    <row r="260" spans="1:59" s="38" customFormat="1" ht="39.950000000000003" hidden="1"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v>258</v>
      </c>
      <c r="BF260" s="54">
        <v>129</v>
      </c>
      <c r="BG260" s="74" t="s">
        <v>0</v>
      </c>
    </row>
    <row r="261" spans="1:59" s="38" customFormat="1" ht="39.950000000000003" hidden="1"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v>259</v>
      </c>
      <c r="BF261" s="54">
        <v>129.5</v>
      </c>
      <c r="BG261" s="74" t="s">
        <v>0</v>
      </c>
    </row>
    <row r="262" spans="1:59" s="38" customFormat="1" ht="39.950000000000003" hidden="1"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v>260</v>
      </c>
      <c r="BF262" s="54">
        <v>130</v>
      </c>
      <c r="BG262" s="74" t="s">
        <v>0</v>
      </c>
    </row>
    <row r="263" spans="1:59" s="38" customFormat="1" ht="39.950000000000003" hidden="1"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v>261</v>
      </c>
      <c r="BF263" s="54">
        <v>130.5</v>
      </c>
      <c r="BG263" s="74" t="s">
        <v>0</v>
      </c>
    </row>
    <row r="264" spans="1:59" s="38" customFormat="1" ht="39.950000000000003" hidden="1"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v>262</v>
      </c>
      <c r="BF264" s="54">
        <v>131</v>
      </c>
      <c r="BG264" s="74" t="s">
        <v>0</v>
      </c>
    </row>
    <row r="265" spans="1:59" s="38" customFormat="1" ht="39.950000000000003" hidden="1"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v>263</v>
      </c>
      <c r="BF265" s="54">
        <v>131.5</v>
      </c>
      <c r="BG265" s="74" t="s">
        <v>0</v>
      </c>
    </row>
    <row r="266" spans="1:59" s="38" customFormat="1" ht="39.950000000000003" hidden="1"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v>264</v>
      </c>
      <c r="BF266" s="54">
        <v>132</v>
      </c>
      <c r="BG266" s="74" t="s">
        <v>0</v>
      </c>
    </row>
    <row r="267" spans="1:59" s="38" customFormat="1" ht="39.950000000000003" hidden="1"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v>265</v>
      </c>
      <c r="BF267" s="54">
        <v>132.5</v>
      </c>
      <c r="BG267" s="74" t="s">
        <v>0</v>
      </c>
    </row>
    <row r="268" spans="1:59" s="38" customFormat="1" ht="39.950000000000003" hidden="1"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v>266</v>
      </c>
      <c r="BF268" s="54">
        <v>133</v>
      </c>
      <c r="BG268" s="74" t="s">
        <v>0</v>
      </c>
    </row>
    <row r="269" spans="1:59" s="38" customFormat="1" ht="39.950000000000003" hidden="1"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v>267</v>
      </c>
      <c r="BF269" s="54">
        <v>133.5</v>
      </c>
      <c r="BG269" s="74" t="s">
        <v>0</v>
      </c>
    </row>
    <row r="270" spans="1:59" ht="39.950000000000003" hidden="1" customHeight="1" x14ac:dyDescent="0.25">
      <c r="BE270" s="51">
        <v>268</v>
      </c>
      <c r="BF270" s="54">
        <v>134</v>
      </c>
      <c r="BG270" s="74" t="s">
        <v>0</v>
      </c>
    </row>
    <row r="271" spans="1:59" ht="39.950000000000003" hidden="1" customHeight="1" x14ac:dyDescent="0.25">
      <c r="BE271" s="51">
        <v>269</v>
      </c>
      <c r="BF271" s="54">
        <v>134.5</v>
      </c>
      <c r="BG271" s="74" t="s">
        <v>0</v>
      </c>
    </row>
    <row r="272" spans="1:59" ht="39.950000000000003" hidden="1" customHeight="1" x14ac:dyDescent="0.25">
      <c r="BE272" s="51">
        <v>270</v>
      </c>
      <c r="BF272" s="54">
        <v>135</v>
      </c>
      <c r="BG272" s="74" t="s">
        <v>0</v>
      </c>
    </row>
    <row r="273" spans="57:59" ht="39.950000000000003" hidden="1" customHeight="1" x14ac:dyDescent="0.25">
      <c r="BE273" s="51">
        <v>271</v>
      </c>
      <c r="BF273" s="54">
        <v>135.5</v>
      </c>
      <c r="BG273" s="74" t="s">
        <v>0</v>
      </c>
    </row>
    <row r="274" spans="57:59" ht="39.950000000000003" hidden="1" customHeight="1" x14ac:dyDescent="0.25">
      <c r="BE274" s="51">
        <v>272</v>
      </c>
      <c r="BF274" s="54">
        <v>136</v>
      </c>
      <c r="BG274" s="74" t="s">
        <v>0</v>
      </c>
    </row>
    <row r="275" spans="57:59" ht="39.950000000000003" hidden="1" customHeight="1" x14ac:dyDescent="0.25">
      <c r="BE275" s="51">
        <v>273</v>
      </c>
      <c r="BF275" s="54">
        <v>136.5</v>
      </c>
      <c r="BG275" s="74" t="s">
        <v>0</v>
      </c>
    </row>
    <row r="276" spans="57:59" ht="39.950000000000003" hidden="1" customHeight="1" x14ac:dyDescent="0.25">
      <c r="BE276" s="51">
        <v>274</v>
      </c>
      <c r="BF276" s="54">
        <v>137</v>
      </c>
      <c r="BG276" s="74" t="s">
        <v>0</v>
      </c>
    </row>
    <row r="277" spans="57:59" ht="39.950000000000003" hidden="1" customHeight="1" x14ac:dyDescent="0.25">
      <c r="BE277" s="51">
        <v>275</v>
      </c>
      <c r="BF277" s="54">
        <v>137.5</v>
      </c>
      <c r="BG277" s="74" t="s">
        <v>0</v>
      </c>
    </row>
    <row r="278" spans="57:59" ht="39.950000000000003" hidden="1" customHeight="1" x14ac:dyDescent="0.25">
      <c r="BE278" s="51">
        <v>276</v>
      </c>
      <c r="BF278" s="54">
        <v>138</v>
      </c>
      <c r="BG278" s="74" t="s">
        <v>0</v>
      </c>
    </row>
    <row r="279" spans="57:59" ht="39.950000000000003" hidden="1" customHeight="1" x14ac:dyDescent="0.25">
      <c r="BE279" s="51">
        <v>277</v>
      </c>
      <c r="BF279" s="54">
        <v>138.5</v>
      </c>
      <c r="BG279" s="74" t="s">
        <v>0</v>
      </c>
    </row>
    <row r="280" spans="57:59" ht="39.950000000000003" hidden="1" customHeight="1" x14ac:dyDescent="0.25">
      <c r="BE280" s="51">
        <v>278</v>
      </c>
      <c r="BF280" s="54">
        <v>139</v>
      </c>
      <c r="BG280" s="74" t="s">
        <v>0</v>
      </c>
    </row>
    <row r="281" spans="57:59" ht="39.950000000000003" hidden="1" customHeight="1" x14ac:dyDescent="0.25">
      <c r="BE281" s="51">
        <v>279</v>
      </c>
      <c r="BF281" s="54">
        <v>139.5</v>
      </c>
      <c r="BG281" s="74" t="s">
        <v>0</v>
      </c>
    </row>
    <row r="282" spans="57:59" ht="39.950000000000003" hidden="1" customHeight="1" x14ac:dyDescent="0.25">
      <c r="BE282" s="51">
        <v>280</v>
      </c>
      <c r="BF282" s="54">
        <v>140</v>
      </c>
      <c r="BG282" s="74" t="s">
        <v>0</v>
      </c>
    </row>
    <row r="283" spans="57:59" ht="39.950000000000003" hidden="1" customHeight="1" x14ac:dyDescent="0.25">
      <c r="BE283" s="51">
        <v>281</v>
      </c>
      <c r="BF283" s="54">
        <v>140.5</v>
      </c>
      <c r="BG283" s="74" t="s">
        <v>0</v>
      </c>
    </row>
    <row r="284" spans="57:59" ht="39.950000000000003" hidden="1" customHeight="1" x14ac:dyDescent="0.25">
      <c r="BE284" s="51">
        <v>282</v>
      </c>
      <c r="BF284" s="54">
        <v>141</v>
      </c>
      <c r="BG284" s="74" t="s">
        <v>0</v>
      </c>
    </row>
    <row r="285" spans="57:59" ht="39.950000000000003" hidden="1" customHeight="1" x14ac:dyDescent="0.25">
      <c r="BE285" s="51">
        <v>283</v>
      </c>
      <c r="BF285" s="54">
        <v>141.5</v>
      </c>
      <c r="BG285" s="74" t="s">
        <v>0</v>
      </c>
    </row>
    <row r="286" spans="57:59" ht="39.950000000000003" hidden="1" customHeight="1" x14ac:dyDescent="0.25">
      <c r="BE286" s="51">
        <v>284</v>
      </c>
      <c r="BF286" s="54">
        <v>142</v>
      </c>
      <c r="BG286" s="74" t="s">
        <v>0</v>
      </c>
    </row>
    <row r="287" spans="57:59" ht="39.950000000000003" hidden="1" customHeight="1" x14ac:dyDescent="0.25">
      <c r="BE287" s="51">
        <v>285</v>
      </c>
      <c r="BF287" s="54">
        <v>142.5</v>
      </c>
      <c r="BG287" s="74" t="s">
        <v>0</v>
      </c>
    </row>
    <row r="288" spans="57:59" ht="39.950000000000003" hidden="1" customHeight="1" x14ac:dyDescent="0.25">
      <c r="BE288" s="51">
        <v>286</v>
      </c>
      <c r="BF288" s="54">
        <v>143</v>
      </c>
      <c r="BG288" s="74" t="s">
        <v>0</v>
      </c>
    </row>
    <row r="289" spans="57:59" ht="39.950000000000003" hidden="1" customHeight="1" x14ac:dyDescent="0.25">
      <c r="BE289" s="51">
        <v>287</v>
      </c>
      <c r="BF289" s="54">
        <v>143.5</v>
      </c>
      <c r="BG289" s="74" t="s">
        <v>0</v>
      </c>
    </row>
    <row r="290" spans="57:59" ht="39.950000000000003" hidden="1" customHeight="1" x14ac:dyDescent="0.25">
      <c r="BE290" s="51">
        <v>288</v>
      </c>
      <c r="BF290" s="54">
        <v>144</v>
      </c>
      <c r="BG290" s="74" t="s">
        <v>0</v>
      </c>
    </row>
    <row r="291" spans="57:59" ht="39.950000000000003" hidden="1" customHeight="1" x14ac:dyDescent="0.25">
      <c r="BE291" s="51">
        <v>289</v>
      </c>
      <c r="BF291" s="54">
        <v>144.5</v>
      </c>
      <c r="BG291" s="74" t="s">
        <v>0</v>
      </c>
    </row>
    <row r="292" spans="57:59" ht="39.950000000000003" hidden="1" customHeight="1" x14ac:dyDescent="0.25">
      <c r="BE292" s="51">
        <v>290</v>
      </c>
      <c r="BF292" s="54">
        <v>145</v>
      </c>
      <c r="BG292" s="74" t="s">
        <v>0</v>
      </c>
    </row>
    <row r="293" spans="57:59" ht="39.950000000000003" hidden="1" customHeight="1" x14ac:dyDescent="0.25">
      <c r="BE293" s="51">
        <v>291</v>
      </c>
      <c r="BF293" s="54">
        <v>145.5</v>
      </c>
      <c r="BG293" s="74" t="s">
        <v>0</v>
      </c>
    </row>
    <row r="294" spans="57:59" ht="39.950000000000003" hidden="1" customHeight="1" x14ac:dyDescent="0.25">
      <c r="BE294" s="51">
        <v>292</v>
      </c>
      <c r="BF294" s="54">
        <v>146</v>
      </c>
      <c r="BG294" s="74" t="s">
        <v>0</v>
      </c>
    </row>
    <row r="295" spans="57:59" ht="39.950000000000003" hidden="1" customHeight="1" x14ac:dyDescent="0.25">
      <c r="BE295" s="51">
        <v>293</v>
      </c>
      <c r="BF295" s="54">
        <v>146.5</v>
      </c>
      <c r="BG295" s="74" t="s">
        <v>0</v>
      </c>
    </row>
    <row r="296" spans="57:59" ht="39.950000000000003" hidden="1" customHeight="1" x14ac:dyDescent="0.25">
      <c r="BE296" s="51">
        <v>294</v>
      </c>
      <c r="BF296" s="54">
        <v>147</v>
      </c>
      <c r="BG296" s="74" t="s">
        <v>0</v>
      </c>
    </row>
    <row r="297" spans="57:59" ht="39.950000000000003" hidden="1" customHeight="1" x14ac:dyDescent="0.25">
      <c r="BE297" s="51">
        <v>295</v>
      </c>
      <c r="BF297" s="54">
        <v>147.5</v>
      </c>
      <c r="BG297" s="74" t="s">
        <v>0</v>
      </c>
    </row>
    <row r="298" spans="57:59" ht="39.950000000000003" hidden="1" customHeight="1" x14ac:dyDescent="0.25">
      <c r="BE298" s="51">
        <v>296</v>
      </c>
      <c r="BF298" s="54">
        <v>148</v>
      </c>
      <c r="BG298" s="74" t="s">
        <v>0</v>
      </c>
    </row>
    <row r="299" spans="57:59" ht="39.950000000000003" hidden="1" customHeight="1" x14ac:dyDescent="0.25">
      <c r="BE299" s="51">
        <v>297</v>
      </c>
      <c r="BF299" s="54">
        <v>148.5</v>
      </c>
      <c r="BG299" s="74" t="s">
        <v>0</v>
      </c>
    </row>
    <row r="300" spans="57:59" ht="39.950000000000003" hidden="1" customHeight="1" x14ac:dyDescent="0.25">
      <c r="BE300" s="51">
        <v>298</v>
      </c>
      <c r="BF300" s="54">
        <v>149</v>
      </c>
      <c r="BG300" s="74" t="s">
        <v>0</v>
      </c>
    </row>
    <row r="301" spans="57:59" ht="39.950000000000003" hidden="1" customHeight="1" x14ac:dyDescent="0.25">
      <c r="BE301" s="51">
        <v>299</v>
      </c>
      <c r="BF301" s="54">
        <v>149.5</v>
      </c>
      <c r="BG301" s="74" t="s">
        <v>0</v>
      </c>
    </row>
    <row r="302" spans="57:59" ht="39.950000000000003" hidden="1" customHeight="1" x14ac:dyDescent="0.25">
      <c r="BE302" s="51">
        <v>300</v>
      </c>
      <c r="BF302" s="54">
        <v>150</v>
      </c>
      <c r="BG302" s="74" t="s">
        <v>0</v>
      </c>
    </row>
    <row r="303" spans="57:59" ht="39.950000000000003" hidden="1" customHeight="1" x14ac:dyDescent="0.25">
      <c r="BE303" s="51">
        <v>301</v>
      </c>
      <c r="BF303" s="54">
        <v>150.5</v>
      </c>
      <c r="BG303" s="74" t="s">
        <v>0</v>
      </c>
    </row>
    <row r="304" spans="57:59" ht="39.950000000000003" hidden="1" customHeight="1" x14ac:dyDescent="0.25">
      <c r="BE304" s="51">
        <v>302</v>
      </c>
      <c r="BF304" s="54">
        <v>151</v>
      </c>
      <c r="BG304" s="74" t="s">
        <v>0</v>
      </c>
    </row>
    <row r="305" spans="57:59" ht="39.950000000000003" hidden="1" customHeight="1" x14ac:dyDescent="0.25">
      <c r="BE305" s="51">
        <v>303</v>
      </c>
      <c r="BF305" s="54">
        <v>151.5</v>
      </c>
      <c r="BG305" s="74" t="s">
        <v>0</v>
      </c>
    </row>
    <row r="306" spans="57:59" ht="39.950000000000003" hidden="1" customHeight="1" x14ac:dyDescent="0.25">
      <c r="BE306" s="51">
        <v>304</v>
      </c>
      <c r="BF306" s="54">
        <v>152</v>
      </c>
      <c r="BG306" s="74" t="s">
        <v>0</v>
      </c>
    </row>
    <row r="307" spans="57:59" ht="39.950000000000003" hidden="1" customHeight="1" x14ac:dyDescent="0.25">
      <c r="BE307" s="51">
        <v>305</v>
      </c>
      <c r="BF307" s="54">
        <v>152.5</v>
      </c>
      <c r="BG307" s="74" t="s">
        <v>0</v>
      </c>
    </row>
    <row r="308" spans="57:59" ht="39.950000000000003" hidden="1" customHeight="1" x14ac:dyDescent="0.25">
      <c r="BE308" s="51">
        <v>306</v>
      </c>
      <c r="BF308" s="54">
        <v>153</v>
      </c>
      <c r="BG308" s="74" t="s">
        <v>0</v>
      </c>
    </row>
    <row r="309" spans="57:59" ht="39.950000000000003" hidden="1" customHeight="1" x14ac:dyDescent="0.25">
      <c r="BE309" s="51">
        <v>307</v>
      </c>
      <c r="BF309" s="54">
        <v>153.5</v>
      </c>
      <c r="BG309" s="74" t="s">
        <v>0</v>
      </c>
    </row>
    <row r="310" spans="57:59" ht="39.950000000000003" hidden="1" customHeight="1" x14ac:dyDescent="0.25">
      <c r="BE310" s="51">
        <v>308</v>
      </c>
      <c r="BF310" s="54">
        <v>154</v>
      </c>
      <c r="BG310" s="74" t="s">
        <v>0</v>
      </c>
    </row>
    <row r="311" spans="57:59" ht="39.950000000000003" hidden="1" customHeight="1" x14ac:dyDescent="0.25">
      <c r="BE311" s="51">
        <v>309</v>
      </c>
      <c r="BF311" s="54">
        <v>154.5</v>
      </c>
      <c r="BG311" s="74" t="s">
        <v>0</v>
      </c>
    </row>
    <row r="312" spans="57:59" ht="39.950000000000003" hidden="1" customHeight="1" x14ac:dyDescent="0.25">
      <c r="BE312" s="51">
        <v>310</v>
      </c>
      <c r="BF312" s="54">
        <v>155</v>
      </c>
      <c r="BG312" s="74" t="s">
        <v>0</v>
      </c>
    </row>
    <row r="313" spans="57:59" ht="39.950000000000003" hidden="1" customHeight="1" x14ac:dyDescent="0.25">
      <c r="BE313" s="51">
        <v>311</v>
      </c>
      <c r="BF313" s="54">
        <v>155.5</v>
      </c>
      <c r="BG313" s="74" t="s">
        <v>0</v>
      </c>
    </row>
    <row r="314" spans="57:59" ht="39.950000000000003" hidden="1" customHeight="1" x14ac:dyDescent="0.25">
      <c r="BE314" s="51">
        <v>312</v>
      </c>
      <c r="BF314" s="54">
        <v>156</v>
      </c>
      <c r="BG314" s="74" t="s">
        <v>0</v>
      </c>
    </row>
    <row r="315" spans="57:59" ht="39.950000000000003" hidden="1" customHeight="1" x14ac:dyDescent="0.25">
      <c r="BE315" s="51">
        <v>313</v>
      </c>
      <c r="BF315" s="54">
        <v>156.5</v>
      </c>
      <c r="BG315" s="74" t="s">
        <v>0</v>
      </c>
    </row>
    <row r="316" spans="57:59" ht="39.950000000000003" hidden="1" customHeight="1" x14ac:dyDescent="0.25">
      <c r="BE316" s="51">
        <v>314</v>
      </c>
      <c r="BF316" s="54">
        <v>157</v>
      </c>
      <c r="BG316" s="74" t="s">
        <v>0</v>
      </c>
    </row>
    <row r="317" spans="57:59" ht="39.950000000000003" hidden="1" customHeight="1" x14ac:dyDescent="0.25">
      <c r="BE317" s="51">
        <v>315</v>
      </c>
      <c r="BF317" s="54">
        <v>157.5</v>
      </c>
      <c r="BG317" s="74" t="s">
        <v>0</v>
      </c>
    </row>
    <row r="318" spans="57:59" ht="39.950000000000003" hidden="1" customHeight="1" x14ac:dyDescent="0.25">
      <c r="BE318" s="51">
        <v>316</v>
      </c>
      <c r="BF318" s="54">
        <v>158</v>
      </c>
      <c r="BG318" s="74" t="s">
        <v>0</v>
      </c>
    </row>
    <row r="319" spans="57:59" ht="39.950000000000003" hidden="1" customHeight="1" x14ac:dyDescent="0.25">
      <c r="BE319" s="51">
        <v>317</v>
      </c>
      <c r="BF319" s="54">
        <v>158.5</v>
      </c>
      <c r="BG319" s="74" t="s">
        <v>0</v>
      </c>
    </row>
    <row r="320" spans="57:59" ht="39.950000000000003" hidden="1" customHeight="1" x14ac:dyDescent="0.25">
      <c r="BE320" s="51">
        <v>318</v>
      </c>
      <c r="BF320" s="54">
        <v>159</v>
      </c>
      <c r="BG320" s="74" t="s">
        <v>0</v>
      </c>
    </row>
    <row r="321" spans="57:59" ht="39.950000000000003" hidden="1" customHeight="1" x14ac:dyDescent="0.25">
      <c r="BE321" s="51">
        <v>319</v>
      </c>
      <c r="BF321" s="54">
        <v>159.5</v>
      </c>
      <c r="BG321" s="74" t="s">
        <v>0</v>
      </c>
    </row>
    <row r="322" spans="57:59" ht="39.950000000000003" hidden="1" customHeight="1" x14ac:dyDescent="0.25">
      <c r="BE322" s="51">
        <v>320</v>
      </c>
      <c r="BF322" s="54">
        <v>160</v>
      </c>
      <c r="BG322" s="74" t="s">
        <v>0</v>
      </c>
    </row>
    <row r="323" spans="57:59" ht="39.950000000000003" hidden="1" customHeight="1" x14ac:dyDescent="0.25">
      <c r="BE323" s="51">
        <v>321</v>
      </c>
      <c r="BF323" s="54">
        <v>160.5</v>
      </c>
      <c r="BG323" s="74" t="s">
        <v>0</v>
      </c>
    </row>
    <row r="324" spans="57:59" ht="39.950000000000003" hidden="1" customHeight="1" x14ac:dyDescent="0.25">
      <c r="BE324" s="51">
        <v>322</v>
      </c>
      <c r="BF324" s="54">
        <v>161</v>
      </c>
      <c r="BG324" s="74" t="s">
        <v>0</v>
      </c>
    </row>
    <row r="325" spans="57:59" ht="39.950000000000003" hidden="1" customHeight="1" x14ac:dyDescent="0.25">
      <c r="BE325" s="51">
        <v>323</v>
      </c>
      <c r="BF325" s="54">
        <v>161.5</v>
      </c>
      <c r="BG325" s="74" t="s">
        <v>0</v>
      </c>
    </row>
    <row r="326" spans="57:59" ht="39.950000000000003" hidden="1" customHeight="1" x14ac:dyDescent="0.25">
      <c r="BE326" s="51">
        <v>324</v>
      </c>
      <c r="BF326" s="54">
        <v>162</v>
      </c>
      <c r="BG326" s="74" t="s">
        <v>0</v>
      </c>
    </row>
    <row r="327" spans="57:59" ht="39.950000000000003" hidden="1" customHeight="1" x14ac:dyDescent="0.25">
      <c r="BE327" s="51">
        <v>325</v>
      </c>
      <c r="BF327" s="54">
        <v>162.5</v>
      </c>
      <c r="BG327" s="74" t="s">
        <v>0</v>
      </c>
    </row>
    <row r="328" spans="57:59" ht="39.950000000000003" hidden="1" customHeight="1" x14ac:dyDescent="0.25">
      <c r="BE328" s="51">
        <v>326</v>
      </c>
      <c r="BF328" s="54">
        <v>163</v>
      </c>
      <c r="BG328" s="74" t="s">
        <v>0</v>
      </c>
    </row>
    <row r="329" spans="57:59" ht="39.950000000000003" hidden="1" customHeight="1" x14ac:dyDescent="0.25">
      <c r="BE329" s="51">
        <v>327</v>
      </c>
      <c r="BF329" s="54">
        <v>163.5</v>
      </c>
      <c r="BG329" s="74" t="s">
        <v>0</v>
      </c>
    </row>
    <row r="330" spans="57:59" ht="39.950000000000003" hidden="1" customHeight="1" x14ac:dyDescent="0.25">
      <c r="BE330" s="51">
        <v>328</v>
      </c>
      <c r="BF330" s="54">
        <v>164</v>
      </c>
      <c r="BG330" s="74" t="s">
        <v>0</v>
      </c>
    </row>
    <row r="331" spans="57:59" ht="39.950000000000003" hidden="1" customHeight="1" x14ac:dyDescent="0.25">
      <c r="BE331" s="51">
        <v>329</v>
      </c>
      <c r="BF331" s="54">
        <v>164.5</v>
      </c>
      <c r="BG331" s="74" t="s">
        <v>0</v>
      </c>
    </row>
    <row r="332" spans="57:59" ht="39.950000000000003" hidden="1" customHeight="1" x14ac:dyDescent="0.25">
      <c r="BE332" s="51">
        <v>330</v>
      </c>
      <c r="BF332" s="54">
        <v>165</v>
      </c>
      <c r="BG332" s="74" t="s">
        <v>0</v>
      </c>
    </row>
    <row r="333" spans="57:59" ht="39.950000000000003" hidden="1" customHeight="1" x14ac:dyDescent="0.25">
      <c r="BE333" s="51">
        <v>331</v>
      </c>
      <c r="BF333" s="54">
        <v>165.5</v>
      </c>
      <c r="BG333" s="74" t="s">
        <v>0</v>
      </c>
    </row>
    <row r="334" spans="57:59" ht="39.950000000000003" hidden="1" customHeight="1" x14ac:dyDescent="0.25">
      <c r="BE334" s="51">
        <v>332</v>
      </c>
      <c r="BF334" s="54">
        <v>166</v>
      </c>
      <c r="BG334" s="74" t="s">
        <v>0</v>
      </c>
    </row>
    <row r="335" spans="57:59" ht="39.950000000000003" hidden="1" customHeight="1" x14ac:dyDescent="0.25">
      <c r="BE335" s="51">
        <v>333</v>
      </c>
      <c r="BF335" s="54">
        <v>166.5</v>
      </c>
      <c r="BG335" s="74" t="s">
        <v>0</v>
      </c>
    </row>
    <row r="336" spans="57:59" ht="39.950000000000003" hidden="1" customHeight="1" x14ac:dyDescent="0.25">
      <c r="BE336" s="51">
        <v>334</v>
      </c>
      <c r="BF336" s="54">
        <v>167</v>
      </c>
      <c r="BG336" s="74" t="s">
        <v>0</v>
      </c>
    </row>
    <row r="337" spans="57:59" ht="39.950000000000003" hidden="1" customHeight="1" x14ac:dyDescent="0.25">
      <c r="BE337" s="51">
        <v>335</v>
      </c>
      <c r="BF337" s="54">
        <v>167.5</v>
      </c>
      <c r="BG337" s="74" t="s">
        <v>0</v>
      </c>
    </row>
    <row r="338" spans="57:59" ht="39.950000000000003" hidden="1" customHeight="1" x14ac:dyDescent="0.25">
      <c r="BE338" s="51">
        <v>336</v>
      </c>
      <c r="BF338" s="54">
        <v>168</v>
      </c>
      <c r="BG338" s="74" t="s">
        <v>0</v>
      </c>
    </row>
    <row r="339" spans="57:59" ht="39.950000000000003" hidden="1" customHeight="1" x14ac:dyDescent="0.25">
      <c r="BE339" s="51">
        <v>337</v>
      </c>
      <c r="BF339" s="54">
        <v>168.5</v>
      </c>
      <c r="BG339" s="74" t="s">
        <v>0</v>
      </c>
    </row>
    <row r="340" spans="57:59" ht="39.950000000000003" hidden="1" customHeight="1" x14ac:dyDescent="0.25">
      <c r="BE340" s="51">
        <v>338</v>
      </c>
      <c r="BF340" s="54">
        <v>169</v>
      </c>
      <c r="BG340" s="74" t="s">
        <v>0</v>
      </c>
    </row>
    <row r="341" spans="57:59" ht="39.950000000000003" hidden="1" customHeight="1" x14ac:dyDescent="0.25">
      <c r="BE341" s="51">
        <v>339</v>
      </c>
      <c r="BF341" s="54">
        <v>169.5</v>
      </c>
      <c r="BG341" s="74" t="s">
        <v>0</v>
      </c>
    </row>
    <row r="342" spans="57:59" ht="39.950000000000003" hidden="1" customHeight="1" x14ac:dyDescent="0.25">
      <c r="BE342" s="51">
        <v>340</v>
      </c>
      <c r="BF342" s="54">
        <v>170</v>
      </c>
      <c r="BG342" s="74" t="s">
        <v>0</v>
      </c>
    </row>
    <row r="343" spans="57:59" ht="39.950000000000003" hidden="1" customHeight="1" x14ac:dyDescent="0.25">
      <c r="BE343" s="51">
        <v>341</v>
      </c>
      <c r="BF343" s="54">
        <v>170.5</v>
      </c>
      <c r="BG343" s="74" t="s">
        <v>0</v>
      </c>
    </row>
    <row r="344" spans="57:59" ht="39.950000000000003" hidden="1" customHeight="1" x14ac:dyDescent="0.25">
      <c r="BE344" s="51">
        <v>342</v>
      </c>
      <c r="BF344" s="54">
        <v>171</v>
      </c>
      <c r="BG344" s="74" t="s">
        <v>0</v>
      </c>
    </row>
    <row r="345" spans="57:59" ht="39.950000000000003" hidden="1" customHeight="1" x14ac:dyDescent="0.25">
      <c r="BE345" s="51">
        <v>343</v>
      </c>
      <c r="BF345" s="54">
        <v>171.5</v>
      </c>
      <c r="BG345" s="74" t="s">
        <v>0</v>
      </c>
    </row>
    <row r="346" spans="57:59" ht="39.950000000000003" hidden="1" customHeight="1" x14ac:dyDescent="0.25">
      <c r="BE346" s="51">
        <v>344</v>
      </c>
      <c r="BF346" s="54">
        <v>172</v>
      </c>
      <c r="BG346" s="74" t="s">
        <v>0</v>
      </c>
    </row>
    <row r="347" spans="57:59" ht="39.950000000000003" hidden="1" customHeight="1" x14ac:dyDescent="0.25">
      <c r="BE347" s="51">
        <v>345</v>
      </c>
      <c r="BF347" s="54">
        <v>172.5</v>
      </c>
      <c r="BG347" s="74" t="s">
        <v>0</v>
      </c>
    </row>
    <row r="348" spans="57:59" ht="39.950000000000003" hidden="1" customHeight="1" x14ac:dyDescent="0.25">
      <c r="BE348" s="51">
        <v>346</v>
      </c>
      <c r="BF348" s="54">
        <v>173</v>
      </c>
      <c r="BG348" s="74" t="s">
        <v>0</v>
      </c>
    </row>
    <row r="349" spans="57:59" ht="39.950000000000003" hidden="1" customHeight="1" x14ac:dyDescent="0.25">
      <c r="BE349" s="51">
        <v>347</v>
      </c>
      <c r="BF349" s="54">
        <v>173.5</v>
      </c>
      <c r="BG349" s="74" t="s">
        <v>0</v>
      </c>
    </row>
    <row r="350" spans="57:59" ht="39.950000000000003" hidden="1" customHeight="1" x14ac:dyDescent="0.25">
      <c r="BE350" s="51">
        <v>348</v>
      </c>
      <c r="BF350" s="54">
        <v>174</v>
      </c>
      <c r="BG350" s="74" t="s">
        <v>0</v>
      </c>
    </row>
    <row r="351" spans="57:59" ht="39.950000000000003" hidden="1" customHeight="1" x14ac:dyDescent="0.25">
      <c r="BE351" s="51">
        <v>349</v>
      </c>
      <c r="BF351" s="54">
        <v>174.5</v>
      </c>
      <c r="BG351" s="74" t="s">
        <v>0</v>
      </c>
    </row>
    <row r="352" spans="57:59" ht="39.950000000000003" hidden="1" customHeight="1" x14ac:dyDescent="0.25">
      <c r="BE352" s="51">
        <v>350</v>
      </c>
      <c r="BF352" s="54">
        <v>175</v>
      </c>
      <c r="BG352" s="74" t="s">
        <v>0</v>
      </c>
    </row>
    <row r="353" spans="57:59" ht="39.950000000000003" hidden="1" customHeight="1" x14ac:dyDescent="0.25">
      <c r="BE353" s="51">
        <v>351</v>
      </c>
      <c r="BF353" s="54">
        <v>175.5</v>
      </c>
      <c r="BG353" s="74" t="s">
        <v>0</v>
      </c>
    </row>
    <row r="354" spans="57:59" ht="39.950000000000003" hidden="1" customHeight="1" x14ac:dyDescent="0.25">
      <c r="BE354" s="51">
        <v>352</v>
      </c>
      <c r="BF354" s="54">
        <v>176</v>
      </c>
      <c r="BG354" s="74" t="s">
        <v>0</v>
      </c>
    </row>
    <row r="355" spans="57:59" ht="39.950000000000003" hidden="1" customHeight="1" x14ac:dyDescent="0.25">
      <c r="BE355" s="51">
        <v>353</v>
      </c>
      <c r="BF355" s="54">
        <v>176.5</v>
      </c>
      <c r="BG355" s="74" t="s">
        <v>0</v>
      </c>
    </row>
    <row r="356" spans="57:59" ht="39.950000000000003" hidden="1" customHeight="1" x14ac:dyDescent="0.25">
      <c r="BE356" s="51">
        <v>354</v>
      </c>
      <c r="BF356" s="54">
        <v>177</v>
      </c>
      <c r="BG356" s="74" t="s">
        <v>0</v>
      </c>
    </row>
    <row r="357" spans="57:59" ht="39.950000000000003" hidden="1" customHeight="1" x14ac:dyDescent="0.25">
      <c r="BE357" s="51">
        <v>355</v>
      </c>
      <c r="BF357" s="54">
        <v>177.5</v>
      </c>
      <c r="BG357" s="74" t="s">
        <v>0</v>
      </c>
    </row>
    <row r="358" spans="57:59" ht="39.950000000000003" hidden="1" customHeight="1" x14ac:dyDescent="0.25">
      <c r="BE358" s="51">
        <v>356</v>
      </c>
      <c r="BF358" s="54">
        <v>178</v>
      </c>
      <c r="BG358" s="74" t="s">
        <v>0</v>
      </c>
    </row>
    <row r="359" spans="57:59" ht="39.950000000000003" hidden="1" customHeight="1" x14ac:dyDescent="0.25">
      <c r="BE359" s="51">
        <v>357</v>
      </c>
      <c r="BF359" s="54">
        <v>178.5</v>
      </c>
      <c r="BG359" s="74" t="s">
        <v>0</v>
      </c>
    </row>
    <row r="360" spans="57:59" ht="39.950000000000003" hidden="1" customHeight="1" x14ac:dyDescent="0.25">
      <c r="BE360" s="51">
        <v>358</v>
      </c>
      <c r="BF360" s="54">
        <v>179</v>
      </c>
      <c r="BG360" s="74" t="s">
        <v>0</v>
      </c>
    </row>
    <row r="361" spans="57:59" ht="39.950000000000003" hidden="1" customHeight="1" x14ac:dyDescent="0.25">
      <c r="BE361" s="51">
        <v>359</v>
      </c>
      <c r="BF361" s="54">
        <v>179.5</v>
      </c>
      <c r="BG361" s="74" t="s">
        <v>0</v>
      </c>
    </row>
    <row r="362" spans="57:59" ht="39.950000000000003" hidden="1" customHeight="1" x14ac:dyDescent="0.25">
      <c r="BE362" s="51">
        <v>360</v>
      </c>
      <c r="BF362" s="54">
        <v>180</v>
      </c>
      <c r="BG362" s="74" t="s">
        <v>0</v>
      </c>
    </row>
    <row r="363" spans="57:59" ht="9.9499999999999993" hidden="1" customHeight="1" x14ac:dyDescent="0.25"/>
  </sheetData>
  <sheetProtection algorithmName="SHA-512" hashValue="YQKmzOmk7HKDZBGacU1F/7Q49cjWmyb55qXvJizv7iCwI7J4l2cNwQGHo5mLqqHm/vNtFCvAOtsM01NRx1LKqA==" saltValue="XaBuCzc4Zrxz9viOYv6KWw==" spinCount="100000" sheet="1" objects="1" scenarios="1" selectLockedCells="1"/>
  <mergeCells count="27">
    <mergeCell ref="I1:I14"/>
    <mergeCell ref="G1:G14"/>
    <mergeCell ref="F1:F14"/>
    <mergeCell ref="A1:A14"/>
    <mergeCell ref="B1:B14"/>
    <mergeCell ref="H1:H14"/>
    <mergeCell ref="D1:D14"/>
    <mergeCell ref="K1:K14"/>
    <mergeCell ref="P1:P14"/>
    <mergeCell ref="J1:J14"/>
    <mergeCell ref="M1:O14"/>
    <mergeCell ref="Z1:Z28"/>
    <mergeCell ref="W2:W27"/>
    <mergeCell ref="Y2:Y27"/>
    <mergeCell ref="X2:X27"/>
    <mergeCell ref="W1:Y1"/>
    <mergeCell ref="T1:T28"/>
    <mergeCell ref="W28:Y28"/>
    <mergeCell ref="U1:U28"/>
    <mergeCell ref="V1:V28"/>
    <mergeCell ref="Q1:Q14"/>
    <mergeCell ref="S1:S14"/>
    <mergeCell ref="R1:R14"/>
    <mergeCell ref="C1:C14"/>
    <mergeCell ref="E1:E14"/>
    <mergeCell ref="L1:L14"/>
    <mergeCell ref="BH1:BH28"/>
  </mergeCells>
  <phoneticPr fontId="4" type="noConversion"/>
  <dataValidations count="10">
    <dataValidation type="list" allowBlank="1" showInputMessage="1" showErrorMessage="1" sqref="AR43:AR54" xr:uid="{00000000-0002-0000-0000-00001D000000}">
      <formula1>"Yok, Var"</formula1>
    </dataValidation>
    <dataValidation type="list" allowBlank="1" showInputMessage="1" showErrorMessage="1" sqref="P15:P26" xr:uid="{6F358D2D-A20D-445D-9C51-9E1027A06CA6}">
      <formula1>$BG$2:$BG$50</formula1>
    </dataValidation>
    <dataValidation type="list" allowBlank="1" showInputMessage="1" showErrorMessage="1" sqref="T1:T28" xr:uid="{9054E20C-415A-4A28-9A83-E6387959DADB}">
      <formula1>"Ocak, Şubat, Mart, Nisan, Mayıs, Haziran, Temmuz, Ağustos, Eylül, Ekim, Kasım, Aralık, Yıllık Toplam, Yıllık Ortalama"</formula1>
    </dataValidation>
    <dataValidation type="list" allowBlank="1" showInputMessage="1" showErrorMessage="1" sqref="AI18" xr:uid="{E78907BA-7A5C-4BC5-9626-30F7C79A3DA3}">
      <formula1>#REF!</formula1>
    </dataValidation>
    <dataValidation type="list" allowBlank="1" showInputMessage="1" showErrorMessage="1" sqref="D15:G26" xr:uid="{D16C9647-72F6-4D86-BCEE-3739AC9AC5F3}">
      <formula1>$BF$2:$BF$362</formula1>
    </dataValidation>
    <dataValidation type="list" allowBlank="1" showInputMessage="1" showErrorMessage="1" sqref="AR29:AR40 C15:C26 AW29:AW40 AO29:AO40 AL29:AL40 H15:K26" xr:uid="{65FACC1D-9377-4225-8D3E-97700607B264}">
      <formula1>$BE$2:$BE$362</formula1>
    </dataValidation>
    <dataValidation type="list" allowBlank="1" showInputMessage="1" showErrorMessage="1" sqref="L15:L26" xr:uid="{ECA1D616-A7B5-493C-B0D1-028CE6D15EDD}">
      <formula1>$BE$2:$BE$7</formula1>
    </dataValidation>
    <dataValidation type="list" allowBlank="1" showInputMessage="1" showErrorMessage="1" sqref="M15:S26" xr:uid="{3A8B9BBC-2F83-493E-B21B-C79787935332}">
      <formula1>$AE$39:$AE$54</formula1>
    </dataValidation>
    <dataValidation type="list" allowBlank="1" showInputMessage="1" showErrorMessage="1" sqref="A1:A14" xr:uid="{AE81A231-50A0-4C37-89AE-F70005CB0F11}">
      <formula1>$AE$55:$AE$56</formula1>
    </dataValidation>
    <dataValidation type="list" allowBlank="1" showInputMessage="1" showErrorMessage="1" sqref="V1" xr:uid="{F853FCC4-C3B8-4272-9BE3-E548C91B3D0F}">
      <formula1>$AB$26:$AB$39</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2026-03-05T13:37:22Z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