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BuÇalışmaKitabı" autoCompressPictures="0" defaultThemeVersion="124226"/>
  <mc:AlternateContent xmlns:mc="http://schemas.openxmlformats.org/markup-compatibility/2006">
    <mc:Choice Requires="x15">
      <x15ac:absPath xmlns:x15ac="http://schemas.microsoft.com/office/spreadsheetml/2010/11/ac" url="C:\Users\½\Desktop\"/>
    </mc:Choice>
  </mc:AlternateContent>
  <xr:revisionPtr revIDLastSave="0" documentId="13_ncr:1_{CFB7254E-E082-4E28-8D4E-1C4F59D8D736}" xr6:coauthVersionLast="47" xr6:coauthVersionMax="47" xr10:uidLastSave="{00000000-0000-0000-0000-000000000000}"/>
  <workbookProtection workbookAlgorithmName="SHA-512" workbookHashValue="+UCB/DoFX8264wqy7AQ635GkmikCQdRfuBtEEaxXjwaY1q4VcbmHtLUZcSpFlOdb7sklvMNLILzssJR1MGA+rw==" workbookSaltValue="EJrM5+gMXwh8fqyY7pGkeA==" workbookSpinCount="100000" lockStructure="1"/>
  <bookViews>
    <workbookView xWindow="-120" yWindow="-120" windowWidth="29040" windowHeight="15840" xr2:uid="{00000000-000D-0000-FFFF-FFFF00000000}"/>
  </bookViews>
  <sheets>
    <sheet name="Özet Tablo" sheetId="130" r:id="rId1"/>
  </sheets>
  <definedNames>
    <definedName name="_xlnm._FilterDatabase" localSheetId="0" hidden="1">'Özet Tablo'!#REF!</definedName>
    <definedName name="Bartın_854">'Özet Tablo'!#REF!</definedName>
    <definedName name="Çanakkale_4857">'Özet Tablo'!#REF!</definedName>
    <definedName name="Çanakkale_854">'Özet Tablo'!#REF!</definedName>
    <definedName name="İST_K_4857">'Özet Tablo'!#REF!</definedName>
    <definedName name="İST_K_854">'Özet Tablo'!#REF!</definedName>
    <definedName name="İST_K_854_Deniz_Taksi">'Özet Tablo'!#REF!</definedName>
    <definedName name="İST_K_Güvenlik_Kapsam_Dışı">'Özet Tablo'!#REF!</definedName>
    <definedName name="İST_K_Kafe_Kapsam_Dışı">'Özet Tablo'!#REF!</definedName>
    <definedName name="İST_K_Temizlik_Kapsam_Dışı">'Özet Tablo'!#REF!</definedName>
    <definedName name="İST_Ö_4857">'Özet Tablo'!#REF!</definedName>
    <definedName name="İST_Ö_854">'Özet Tablo'!#REF!</definedName>
    <definedName name="İzmir_4857">'Özet Tablo'!#REF!</definedName>
    <definedName name="İzmir_854">'Özet Tablo'!#REF!</definedName>
    <definedName name="Zonguldak_854">'Özet Tablo'!#REF!</definedName>
  </definedNames>
  <calcPr calcId="191029" iterate="1"/>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38" i="130" l="1"/>
  <c r="AJ39" i="130"/>
  <c r="AJ40" i="130"/>
  <c r="AJ37" i="130"/>
  <c r="AJ32" i="130"/>
  <c r="AJ33" i="130"/>
  <c r="AJ34" i="130"/>
  <c r="AJ35" i="130"/>
  <c r="AJ36" i="130"/>
  <c r="AJ31" i="130"/>
  <c r="AD35" i="130"/>
  <c r="AD37" i="130"/>
  <c r="AD38" i="130"/>
  <c r="AD39" i="130"/>
  <c r="AD40" i="130"/>
  <c r="AD36" i="130"/>
  <c r="AB22" i="130"/>
  <c r="AB23" i="130"/>
  <c r="AB24" i="130"/>
  <c r="AB25" i="130"/>
  <c r="AB26" i="130"/>
  <c r="AB27" i="130"/>
  <c r="AB28" i="130"/>
  <c r="AB29" i="130"/>
  <c r="AB30" i="130"/>
  <c r="AB31" i="130"/>
  <c r="AB32" i="130"/>
  <c r="AB33" i="130"/>
  <c r="AB21" i="130"/>
  <c r="AD32" i="130"/>
  <c r="AD33" i="130"/>
  <c r="AD34" i="130"/>
  <c r="AD30" i="130"/>
  <c r="AD31" i="130"/>
  <c r="AI16" i="130"/>
  <c r="AD2" i="130" s="1"/>
  <c r="AI15" i="130"/>
  <c r="AD1" i="130" s="1"/>
  <c r="AK16" i="130"/>
  <c r="AK15" i="130"/>
  <c r="AF2" i="130"/>
  <c r="AF3" i="130"/>
  <c r="AF4" i="130"/>
  <c r="AF5" i="130"/>
  <c r="AF6" i="130"/>
  <c r="AF7" i="130"/>
  <c r="AF8" i="130"/>
  <c r="AF9" i="130"/>
  <c r="AF10" i="130"/>
  <c r="AF11" i="130"/>
  <c r="AF12" i="130"/>
  <c r="AF1" i="130"/>
  <c r="C1" i="130"/>
  <c r="AJ29" i="130"/>
  <c r="AJ30" i="130"/>
  <c r="AD29" i="130"/>
  <c r="AG39" i="130"/>
  <c r="AG38" i="130"/>
  <c r="AG36" i="130"/>
  <c r="AG35" i="130"/>
  <c r="AG33" i="130"/>
  <c r="AG32" i="130"/>
  <c r="AG29" i="130"/>
  <c r="AG30" i="130"/>
  <c r="AM30" i="130"/>
  <c r="AM31" i="130"/>
  <c r="AM32" i="130"/>
  <c r="AM33" i="130"/>
  <c r="AM34" i="130"/>
  <c r="AM35" i="130"/>
  <c r="AM36" i="130"/>
  <c r="AM37" i="130"/>
  <c r="AM38" i="130"/>
  <c r="AM39" i="130"/>
  <c r="AM40" i="130"/>
  <c r="AM29" i="130"/>
  <c r="AP29" i="130" l="1"/>
  <c r="AP30" i="130"/>
  <c r="AN30" i="130"/>
  <c r="AN31" i="130"/>
  <c r="AN32" i="130"/>
  <c r="AN33" i="130"/>
  <c r="AN34" i="130"/>
  <c r="AN35" i="130"/>
  <c r="AN36" i="130"/>
  <c r="AN37" i="130"/>
  <c r="AN38" i="130"/>
  <c r="AN39" i="130"/>
  <c r="AN40" i="130"/>
  <c r="AN29" i="130"/>
  <c r="AO16" i="130"/>
  <c r="AO17" i="130"/>
  <c r="AO18" i="130"/>
  <c r="AO19" i="130"/>
  <c r="AO20" i="130"/>
  <c r="AO21" i="130"/>
  <c r="AO22" i="130"/>
  <c r="AO23" i="130"/>
  <c r="AO24" i="130"/>
  <c r="AO25" i="130"/>
  <c r="AO26" i="130"/>
  <c r="AO15" i="130"/>
  <c r="AF29" i="130" l="1"/>
  <c r="AF30" i="130"/>
  <c r="AU16" i="130" l="1"/>
  <c r="AU15" i="130"/>
  <c r="AQ16" i="130"/>
  <c r="AS16" i="130"/>
  <c r="AQ15" i="130"/>
  <c r="AS15" i="130"/>
  <c r="AH4" i="130"/>
  <c r="AL4" i="130" s="1"/>
  <c r="AH5" i="130"/>
  <c r="AH6" i="130"/>
  <c r="AI6" i="130" s="1"/>
  <c r="AJ6" i="130" s="1"/>
  <c r="AK6" i="130" s="1"/>
  <c r="AH7" i="130"/>
  <c r="AI7" i="130" s="1"/>
  <c r="AH8" i="130"/>
  <c r="AI8" i="130" s="1"/>
  <c r="AH9" i="130"/>
  <c r="AH10" i="130"/>
  <c r="AI10" i="130" s="1"/>
  <c r="AJ10" i="130" s="1"/>
  <c r="AK10" i="130" s="1"/>
  <c r="AH11" i="130"/>
  <c r="AL11" i="130" s="1"/>
  <c r="AM11" i="130" s="1"/>
  <c r="AH12" i="130"/>
  <c r="AH1" i="130"/>
  <c r="AL1" i="130" s="1"/>
  <c r="AM1" i="130" s="1"/>
  <c r="AH2" i="130"/>
  <c r="AH3" i="130"/>
  <c r="AL3" i="130" s="1"/>
  <c r="AD45" i="130"/>
  <c r="AD46" i="130"/>
  <c r="AD47" i="130"/>
  <c r="AD48" i="130"/>
  <c r="AD49" i="130"/>
  <c r="AD50" i="130"/>
  <c r="AD51" i="130"/>
  <c r="AD52" i="130"/>
  <c r="AD53" i="130"/>
  <c r="AD54" i="130"/>
  <c r="AD55" i="130"/>
  <c r="AD44" i="130"/>
  <c r="F27" i="130"/>
  <c r="AQ58" i="130"/>
  <c r="AP58" i="130"/>
  <c r="AW43" i="130"/>
  <c r="AV43" i="130"/>
  <c r="AE55" i="130"/>
  <c r="AI55" i="130" s="1"/>
  <c r="AE54" i="130"/>
  <c r="AI54" i="130" s="1"/>
  <c r="AE53" i="130"/>
  <c r="AF53" i="130" s="1"/>
  <c r="AE52" i="130"/>
  <c r="AJ52" i="130" s="1"/>
  <c r="AE51" i="130"/>
  <c r="BB51" i="130" s="1"/>
  <c r="AE50" i="130"/>
  <c r="AI50" i="130" s="1"/>
  <c r="AE49" i="130"/>
  <c r="AE48" i="130"/>
  <c r="AJ48" i="130" s="1"/>
  <c r="AE47" i="130"/>
  <c r="AF47" i="130" s="1"/>
  <c r="AG47" i="130" s="1"/>
  <c r="AH47" i="130" s="1"/>
  <c r="AE46" i="130"/>
  <c r="AF46" i="130" s="1"/>
  <c r="AE45" i="130"/>
  <c r="AE44" i="130"/>
  <c r="AF44" i="130" s="1"/>
  <c r="Z45" i="130"/>
  <c r="Z66" i="130"/>
  <c r="Z65" i="130" s="1"/>
  <c r="AA58" i="130"/>
  <c r="Z57" i="130"/>
  <c r="AB57" i="130" s="1"/>
  <c r="Z56" i="130"/>
  <c r="AC36" i="130" s="1"/>
  <c r="Z55" i="130"/>
  <c r="AC35" i="130" s="1"/>
  <c r="Z54" i="130"/>
  <c r="Z51" i="130"/>
  <c r="Z49" i="130"/>
  <c r="Z50" i="130" s="1"/>
  <c r="AB50" i="130" s="1"/>
  <c r="AB39" i="130" s="1"/>
  <c r="Z48" i="130"/>
  <c r="AB48" i="130" s="1"/>
  <c r="AB37" i="130" s="1"/>
  <c r="Z36" i="130"/>
  <c r="AB36" i="130" s="1"/>
  <c r="Z35" i="130"/>
  <c r="AB35" i="130" s="1"/>
  <c r="Z34" i="130"/>
  <c r="AC14" i="130" s="1"/>
  <c r="W2" i="130"/>
  <c r="AW60" i="130"/>
  <c r="AW61" i="130"/>
  <c r="AW62" i="130"/>
  <c r="AW63" i="130"/>
  <c r="AW64" i="130"/>
  <c r="AW65" i="130"/>
  <c r="AW66" i="130"/>
  <c r="AW67" i="130"/>
  <c r="AW68" i="130"/>
  <c r="AW69" i="130"/>
  <c r="AW70" i="130"/>
  <c r="AW59" i="130"/>
  <c r="H27" i="130"/>
  <c r="G27" i="130"/>
  <c r="E27" i="130"/>
  <c r="AI41" i="130"/>
  <c r="AU13" i="130"/>
  <c r="I27" i="130"/>
  <c r="AT45" i="130"/>
  <c r="AT46" i="130"/>
  <c r="AT47" i="130"/>
  <c r="AT48" i="130"/>
  <c r="AT49" i="130"/>
  <c r="AT50" i="130"/>
  <c r="AT51" i="130"/>
  <c r="AT52" i="130"/>
  <c r="AT53" i="130"/>
  <c r="AT54" i="130"/>
  <c r="AT55" i="130"/>
  <c r="AT44" i="130"/>
  <c r="AK45" i="130"/>
  <c r="AK46" i="130"/>
  <c r="AK47" i="130"/>
  <c r="AK48" i="130"/>
  <c r="AK49" i="130"/>
  <c r="AK50" i="130"/>
  <c r="AK51" i="130"/>
  <c r="AK52" i="130"/>
  <c r="AK53" i="130"/>
  <c r="AK54" i="130"/>
  <c r="AK55" i="130"/>
  <c r="AK44" i="130"/>
  <c r="AP45" i="130"/>
  <c r="AE15" i="130"/>
  <c r="AF15" i="130" s="1"/>
  <c r="AP48" i="130"/>
  <c r="AP47" i="130"/>
  <c r="AP46" i="130"/>
  <c r="AR45" i="130"/>
  <c r="AI48" i="130" l="1"/>
  <c r="AF49" i="130"/>
  <c r="BB49" i="130"/>
  <c r="BB52" i="130"/>
  <c r="Z58" i="130"/>
  <c r="AB55" i="130"/>
  <c r="BB47" i="130"/>
  <c r="BB48" i="130"/>
  <c r="AC29" i="130"/>
  <c r="AC18" i="130" s="1"/>
  <c r="AB49" i="130"/>
  <c r="AB38" i="130" s="1"/>
  <c r="AC15" i="130"/>
  <c r="BB55" i="130"/>
  <c r="AC34" i="130"/>
  <c r="AB54" i="130"/>
  <c r="AB56" i="130"/>
  <c r="AC16" i="130"/>
  <c r="AB34" i="130"/>
  <c r="AB66" i="130"/>
  <c r="AC46" i="130"/>
  <c r="AJ51" i="130"/>
  <c r="AL51" i="130" s="1"/>
  <c r="AF55" i="130"/>
  <c r="AG55" i="130" s="1"/>
  <c r="AH55" i="130" s="1"/>
  <c r="AC30" i="130"/>
  <c r="AC19" i="130" s="1"/>
  <c r="AC28" i="130"/>
  <c r="AC17" i="130" s="1"/>
  <c r="AR46" i="130"/>
  <c r="AR47" i="130" s="1"/>
  <c r="AR48" i="130" s="1"/>
  <c r="AJ47" i="130"/>
  <c r="AL47" i="130" s="1"/>
  <c r="AL48" i="130"/>
  <c r="AM48" i="130" s="1"/>
  <c r="AJ55" i="130"/>
  <c r="AL55" i="130" s="1"/>
  <c r="AN55" i="130" s="1"/>
  <c r="AD41" i="130"/>
  <c r="AD42" i="130" s="1"/>
  <c r="AL52" i="130"/>
  <c r="AM52" i="130" s="1"/>
  <c r="AC37" i="130"/>
  <c r="AI44" i="130"/>
  <c r="BB44" i="130"/>
  <c r="AI52" i="130"/>
  <c r="AI51" i="130"/>
  <c r="AF51" i="130"/>
  <c r="AG51" i="130" s="1"/>
  <c r="AH51" i="130" s="1"/>
  <c r="AI47" i="130"/>
  <c r="AL12" i="130"/>
  <c r="AM12" i="130" s="1"/>
  <c r="AN12" i="130" s="1"/>
  <c r="AI12" i="130"/>
  <c r="AJ12" i="130" s="1"/>
  <c r="AK12" i="130" s="1"/>
  <c r="AL8" i="130"/>
  <c r="AM8" i="130" s="1"/>
  <c r="AI66" i="130" s="1"/>
  <c r="AI69" i="130"/>
  <c r="AQ30" i="130"/>
  <c r="AG15" i="130"/>
  <c r="AH15" i="130" s="1"/>
  <c r="AD16" i="130"/>
  <c r="AF50" i="130"/>
  <c r="AG50" i="130" s="1"/>
  <c r="AH50" i="130" s="1"/>
  <c r="BB46" i="130"/>
  <c r="BB50" i="130"/>
  <c r="BB54" i="130"/>
  <c r="AO27" i="130"/>
  <c r="AO28" i="130" s="1"/>
  <c r="AJ53" i="130"/>
  <c r="AL53" i="130" s="1"/>
  <c r="AF45" i="130"/>
  <c r="AG45" i="130" s="1"/>
  <c r="AH45" i="130" s="1"/>
  <c r="BB45" i="130"/>
  <c r="AJ45" i="130"/>
  <c r="AL45" i="130" s="1"/>
  <c r="AF54" i="130"/>
  <c r="AG54" i="130" s="1"/>
  <c r="AH54" i="130" s="1"/>
  <c r="AI46" i="130"/>
  <c r="AI45" i="130"/>
  <c r="BB53" i="130"/>
  <c r="AE56" i="130"/>
  <c r="AE57" i="130" s="1"/>
  <c r="AJ50" i="130"/>
  <c r="AL50" i="130" s="1"/>
  <c r="AI53" i="130"/>
  <c r="AL2" i="130"/>
  <c r="AM2" i="130" s="1"/>
  <c r="AI60" i="130" s="1"/>
  <c r="AI2" i="130"/>
  <c r="AL10" i="130"/>
  <c r="AM10" i="130" s="1"/>
  <c r="AN10" i="130" s="1"/>
  <c r="AP10" i="130" s="1"/>
  <c r="AI4" i="130"/>
  <c r="AE62" i="130" s="1"/>
  <c r="AL6" i="130"/>
  <c r="AM6" i="130" s="1"/>
  <c r="AN6" i="130" s="1"/>
  <c r="AI11" i="130"/>
  <c r="AE41" i="130"/>
  <c r="AI5" i="130"/>
  <c r="AJ5" i="130" s="1"/>
  <c r="AK5" i="130" s="1"/>
  <c r="AL5" i="130"/>
  <c r="AM5" i="130" s="1"/>
  <c r="AI63" i="130" s="1"/>
  <c r="AI9" i="130"/>
  <c r="AJ9" i="130" s="1"/>
  <c r="AK9" i="130" s="1"/>
  <c r="AL9" i="130"/>
  <c r="AF13" i="130"/>
  <c r="AF14" i="130" s="1"/>
  <c r="AN11" i="130"/>
  <c r="AP11" i="130" s="1"/>
  <c r="AM3" i="130"/>
  <c r="AI61" i="130" s="1"/>
  <c r="AE68" i="130"/>
  <c r="AL7" i="130"/>
  <c r="AM7" i="130" s="1"/>
  <c r="AN7" i="130" s="1"/>
  <c r="AI3" i="130"/>
  <c r="AI1" i="130"/>
  <c r="AE59" i="130" s="1"/>
  <c r="AJ41" i="130"/>
  <c r="AJ42" i="130" s="1"/>
  <c r="AD56" i="130"/>
  <c r="AD57" i="130" s="1"/>
  <c r="AM15" i="130"/>
  <c r="AB65" i="130"/>
  <c r="AC45" i="130"/>
  <c r="AK56" i="130"/>
  <c r="AK57" i="130" s="1"/>
  <c r="AT56" i="130"/>
  <c r="AT57" i="130" s="1"/>
  <c r="AE64" i="130"/>
  <c r="AG49" i="130"/>
  <c r="AH49" i="130" s="1"/>
  <c r="AN1" i="130"/>
  <c r="AM4" i="130"/>
  <c r="AI62" i="130" s="1"/>
  <c r="AG46" i="130"/>
  <c r="AH46" i="130" s="1"/>
  <c r="AH13" i="130"/>
  <c r="AH14" i="130" s="1"/>
  <c r="AJ8" i="130"/>
  <c r="AK8" i="130" s="1"/>
  <c r="AJ44" i="130"/>
  <c r="AG44" i="130"/>
  <c r="AF52" i="130"/>
  <c r="AF48" i="130"/>
  <c r="AG53" i="130"/>
  <c r="AH53" i="130" s="1"/>
  <c r="AI49" i="130"/>
  <c r="AJ7" i="130"/>
  <c r="AK7" i="130" s="1"/>
  <c r="AJ54" i="130"/>
  <c r="AL54" i="130" s="1"/>
  <c r="AJ46" i="130"/>
  <c r="AL46" i="130" s="1"/>
  <c r="AJ49" i="130"/>
  <c r="AL49" i="130" s="1"/>
  <c r="AC38" i="130" l="1"/>
  <c r="AC39" i="130" s="1"/>
  <c r="AB58" i="130"/>
  <c r="AC31" i="130"/>
  <c r="AC32" i="130" s="1"/>
  <c r="AB51" i="130"/>
  <c r="AB52" i="130" s="1"/>
  <c r="AB59" i="130"/>
  <c r="AN48" i="130"/>
  <c r="AS48" i="130" s="1"/>
  <c r="AU48" i="130" s="1"/>
  <c r="AE70" i="130"/>
  <c r="AM51" i="130"/>
  <c r="AN51" i="130"/>
  <c r="AB8" i="130"/>
  <c r="AA8" i="130" s="1"/>
  <c r="AI70" i="130"/>
  <c r="AN8" i="130"/>
  <c r="AP8" i="130" s="1"/>
  <c r="AE69" i="130"/>
  <c r="AN52" i="130"/>
  <c r="AS52" i="130" s="1"/>
  <c r="AU52" i="130" s="1"/>
  <c r="AM47" i="130"/>
  <c r="AN47" i="130"/>
  <c r="AM55" i="130"/>
  <c r="AS55" i="130" s="1"/>
  <c r="AU55" i="130" s="1"/>
  <c r="AI64" i="130"/>
  <c r="AI56" i="130"/>
  <c r="AI57" i="130" s="1"/>
  <c r="AE65" i="130"/>
  <c r="AE66" i="130"/>
  <c r="AN45" i="130"/>
  <c r="AM45" i="130"/>
  <c r="AJ11" i="130"/>
  <c r="AK11" i="130" s="1"/>
  <c r="AJ2" i="130"/>
  <c r="AK2" i="130" s="1"/>
  <c r="AE60" i="130"/>
  <c r="AO11" i="130"/>
  <c r="AQ11" i="130" s="1"/>
  <c r="AJ3" i="130"/>
  <c r="AK3" i="130" s="1"/>
  <c r="AE61" i="130"/>
  <c r="AJ4" i="130"/>
  <c r="AK4" i="130" s="1"/>
  <c r="AI13" i="130"/>
  <c r="AI14" i="130" s="1"/>
  <c r="AE16" i="130"/>
  <c r="AF16" i="130" s="1"/>
  <c r="BB56" i="130"/>
  <c r="BB57" i="130" s="1"/>
  <c r="AM50" i="130"/>
  <c r="AN50" i="130"/>
  <c r="AM53" i="130"/>
  <c r="AN53" i="130"/>
  <c r="AI68" i="130"/>
  <c r="AO10" i="130"/>
  <c r="AQ10" i="130" s="1"/>
  <c r="AR10" i="130" s="1"/>
  <c r="AN5" i="130"/>
  <c r="AP5" i="130" s="1"/>
  <c r="AL13" i="130"/>
  <c r="AL14" i="130" s="1"/>
  <c r="AJ1" i="130"/>
  <c r="AK1" i="130" s="1"/>
  <c r="AO12" i="130"/>
  <c r="AP12" i="130"/>
  <c r="AM9" i="130"/>
  <c r="AI67" i="130" s="1"/>
  <c r="AN3" i="130"/>
  <c r="AN46" i="130"/>
  <c r="AM46" i="130"/>
  <c r="AJ56" i="130"/>
  <c r="AJ57" i="130" s="1"/>
  <c r="AL44" i="130"/>
  <c r="AN4" i="130"/>
  <c r="AI65" i="130"/>
  <c r="AP6" i="130"/>
  <c r="AO6" i="130"/>
  <c r="AN49" i="130"/>
  <c r="AM49" i="130"/>
  <c r="AH44" i="130"/>
  <c r="AM54" i="130"/>
  <c r="AN54" i="130"/>
  <c r="AG48" i="130"/>
  <c r="AH48" i="130" s="1"/>
  <c r="AE63" i="130"/>
  <c r="AO7" i="130"/>
  <c r="AP7" i="130"/>
  <c r="AG52" i="130"/>
  <c r="AH52" i="130" s="1"/>
  <c r="AE67" i="130"/>
  <c r="AP1" i="130"/>
  <c r="AO1" i="130"/>
  <c r="AN2" i="130"/>
  <c r="AF56" i="130"/>
  <c r="AF57" i="130" s="1"/>
  <c r="AQ29" i="130"/>
  <c r="AS30" i="130"/>
  <c r="AS29" i="130"/>
  <c r="BC48" i="130" l="1"/>
  <c r="BC51" i="130"/>
  <c r="BC52" i="130"/>
  <c r="AO8" i="130"/>
  <c r="AQ8" i="130" s="1"/>
  <c r="AR8" i="130" s="1"/>
  <c r="BC55" i="130"/>
  <c r="BC45" i="130"/>
  <c r="AS51" i="130"/>
  <c r="AU51" i="130" s="1"/>
  <c r="AS45" i="130"/>
  <c r="AU45" i="130" s="1"/>
  <c r="AS50" i="130"/>
  <c r="AU50" i="130" s="1"/>
  <c r="BC47" i="130"/>
  <c r="AS47" i="130"/>
  <c r="AU47" i="130" s="1"/>
  <c r="AG16" i="130"/>
  <c r="BC50" i="130"/>
  <c r="AS10" i="130"/>
  <c r="AJ13" i="130"/>
  <c r="AJ14" i="130" s="1"/>
  <c r="AS46" i="130"/>
  <c r="AU46" i="130" s="1"/>
  <c r="BC53" i="130"/>
  <c r="AD17" i="130"/>
  <c r="AO5" i="130"/>
  <c r="AQ5" i="130" s="1"/>
  <c r="AR5" i="130" s="1"/>
  <c r="AS53" i="130"/>
  <c r="AU53" i="130" s="1"/>
  <c r="AG56" i="130"/>
  <c r="AG57" i="130" s="1"/>
  <c r="BC46" i="130"/>
  <c r="AS49" i="130"/>
  <c r="AU49" i="130" s="1"/>
  <c r="AK13" i="130"/>
  <c r="AK14" i="130" s="1"/>
  <c r="AE71" i="130"/>
  <c r="AE72" i="130" s="1"/>
  <c r="AM13" i="130"/>
  <c r="AM14" i="130" s="1"/>
  <c r="AO3" i="130"/>
  <c r="AP3" i="130"/>
  <c r="AQ12" i="130"/>
  <c r="AQ6" i="130"/>
  <c r="AR6" i="130" s="1"/>
  <c r="AN9" i="130"/>
  <c r="AN13" i="130" s="1"/>
  <c r="AN14" i="130" s="1"/>
  <c r="AP4" i="130"/>
  <c r="AO4" i="130"/>
  <c r="AN44" i="130"/>
  <c r="AN56" i="130" s="1"/>
  <c r="AN57" i="130" s="1"/>
  <c r="AL56" i="130"/>
  <c r="AL57" i="130" s="1"/>
  <c r="AM44" i="130"/>
  <c r="AQ7" i="130"/>
  <c r="AP2" i="130"/>
  <c r="AO2" i="130"/>
  <c r="AS54" i="130"/>
  <c r="AU54" i="130" s="1"/>
  <c r="BC54" i="130"/>
  <c r="AQ1" i="130"/>
  <c r="AR11" i="130"/>
  <c r="BC49" i="130"/>
  <c r="AH56" i="130"/>
  <c r="AH57" i="130" s="1"/>
  <c r="AH16" i="130" l="1"/>
  <c r="AM16" i="130"/>
  <c r="AE17" i="130"/>
  <c r="AF17" i="130" s="1"/>
  <c r="BC44" i="130"/>
  <c r="BC56" i="130" s="1"/>
  <c r="BC57" i="130" s="1"/>
  <c r="AQ3" i="130"/>
  <c r="AR3" i="130" s="1"/>
  <c r="AR12" i="130"/>
  <c r="AS11" i="130"/>
  <c r="AP9" i="130"/>
  <c r="AP13" i="130" s="1"/>
  <c r="AP14" i="130" s="1"/>
  <c r="AO9" i="130"/>
  <c r="AO13" i="130" s="1"/>
  <c r="AO14" i="130" s="1"/>
  <c r="AS44" i="130"/>
  <c r="AM56" i="130"/>
  <c r="AM57" i="130" s="1"/>
  <c r="AS6" i="130"/>
  <c r="AR1" i="130"/>
  <c r="AN59" i="130" s="1"/>
  <c r="AS8" i="130"/>
  <c r="AQ2" i="130"/>
  <c r="AR7" i="130"/>
  <c r="AS5" i="130"/>
  <c r="AQ4" i="130"/>
  <c r="AG17" i="130" l="1"/>
  <c r="AD18" i="130"/>
  <c r="AE18" i="130" s="1"/>
  <c r="AF18" i="130" s="1"/>
  <c r="AS3" i="130"/>
  <c r="AS7" i="130"/>
  <c r="AQ9" i="130"/>
  <c r="AQ13" i="130" s="1"/>
  <c r="AQ14" i="130" s="1"/>
  <c r="AS12" i="130"/>
  <c r="AS1" i="130"/>
  <c r="AS56" i="130"/>
  <c r="AS57" i="130" s="1"/>
  <c r="AU44" i="130"/>
  <c r="AR2" i="130"/>
  <c r="AN60" i="130" s="1"/>
  <c r="AR4" i="130"/>
  <c r="AH17" i="130" l="1"/>
  <c r="AG18" i="130"/>
  <c r="AD19" i="130"/>
  <c r="AE19" i="130" s="1"/>
  <c r="AF19" i="130" s="1"/>
  <c r="AR9" i="130"/>
  <c r="AS9" i="130" s="1"/>
  <c r="AS4" i="130"/>
  <c r="AS2" i="130"/>
  <c r="AV47" i="130"/>
  <c r="AW47" i="130" s="1"/>
  <c r="AV44" i="130"/>
  <c r="AW44" i="130" s="1"/>
  <c r="AX44" i="130" s="1"/>
  <c r="AY44" i="130" s="1"/>
  <c r="BA44" i="130" s="1"/>
  <c r="AV49" i="130"/>
  <c r="AW49" i="130" s="1"/>
  <c r="AV46" i="130"/>
  <c r="AW46" i="130" s="1"/>
  <c r="AV54" i="130"/>
  <c r="AW54" i="130" s="1"/>
  <c r="AV51" i="130"/>
  <c r="AW51" i="130" s="1"/>
  <c r="AU56" i="130"/>
  <c r="AU57" i="130" s="1"/>
  <c r="AV45" i="130"/>
  <c r="AW45" i="130" s="1"/>
  <c r="AV50" i="130"/>
  <c r="AW50" i="130" s="1"/>
  <c r="AV48" i="130"/>
  <c r="AW48" i="130" s="1"/>
  <c r="AV53" i="130"/>
  <c r="AW53" i="130" s="1"/>
  <c r="AV52" i="130"/>
  <c r="AW52" i="130" s="1"/>
  <c r="AV55" i="130"/>
  <c r="AW55" i="130" s="1"/>
  <c r="AX54" i="130" l="1"/>
  <c r="AY54" i="130" s="1"/>
  <c r="AX47" i="130"/>
  <c r="AY47" i="130" s="1"/>
  <c r="AD20" i="130"/>
  <c r="AE20" i="130" s="1"/>
  <c r="AF20" i="130" s="1"/>
  <c r="AG19" i="130"/>
  <c r="AH19" i="130" s="1"/>
  <c r="AX51" i="130"/>
  <c r="AY51" i="130" s="1"/>
  <c r="BA51" i="130" s="1"/>
  <c r="AX48" i="130"/>
  <c r="AY48" i="130" s="1"/>
  <c r="BA48" i="130" s="1"/>
  <c r="AX55" i="130"/>
  <c r="AY55" i="130" s="1"/>
  <c r="BA55" i="130" s="1"/>
  <c r="AX50" i="130"/>
  <c r="AY50" i="130" s="1"/>
  <c r="BA50" i="130" s="1"/>
  <c r="AH18" i="130"/>
  <c r="AZ44" i="130"/>
  <c r="AX53" i="130"/>
  <c r="AY53" i="130" s="1"/>
  <c r="AZ53" i="130" s="1"/>
  <c r="AR13" i="130"/>
  <c r="AR14" i="130" s="1"/>
  <c r="AX52" i="130"/>
  <c r="AY52" i="130" s="1"/>
  <c r="AX45" i="130"/>
  <c r="AY45" i="130" s="1"/>
  <c r="AX46" i="130"/>
  <c r="AY46" i="130" s="1"/>
  <c r="AS13" i="130"/>
  <c r="AS14" i="130" s="1"/>
  <c r="AX49" i="130"/>
  <c r="AY49" i="130" s="1"/>
  <c r="AZ54" i="130" l="1"/>
  <c r="BA54" i="130"/>
  <c r="BA47" i="130"/>
  <c r="AZ47" i="130"/>
  <c r="AZ50" i="130"/>
  <c r="AZ51" i="130"/>
  <c r="AZ55" i="130"/>
  <c r="AZ48" i="130"/>
  <c r="AG20" i="130"/>
  <c r="BA53" i="130"/>
  <c r="BA49" i="130"/>
  <c r="AZ49" i="130"/>
  <c r="BA46" i="130"/>
  <c r="AZ46" i="130"/>
  <c r="BA45" i="130"/>
  <c r="AZ45" i="130"/>
  <c r="AD21" i="130"/>
  <c r="BA52" i="130"/>
  <c r="AZ52" i="130"/>
  <c r="AZ56" i="130" l="1"/>
  <c r="AZ57" i="130" s="1"/>
  <c r="AE21" i="130"/>
  <c r="AF21" i="130" s="1"/>
  <c r="AH20" i="130"/>
  <c r="AD22" i="130" l="1"/>
  <c r="AG21" i="130"/>
  <c r="AE22" i="130" l="1"/>
  <c r="AF22" i="130" s="1"/>
  <c r="AH21" i="130"/>
  <c r="AG22" i="130" l="1"/>
  <c r="AD23" i="130"/>
  <c r="AE23" i="130" l="1"/>
  <c r="AF23" i="130" s="1"/>
  <c r="AH22" i="130"/>
  <c r="AG23" i="130" l="1"/>
  <c r="AD24" i="130"/>
  <c r="AH23" i="130" l="1"/>
  <c r="AE24" i="130"/>
  <c r="AF24" i="130" s="1"/>
  <c r="AD25" i="130" l="1"/>
  <c r="AG24" i="130"/>
  <c r="AH24" i="130" l="1"/>
  <c r="AE25" i="130"/>
  <c r="AF25" i="130" s="1"/>
  <c r="AD26" i="130" l="1"/>
  <c r="AG25" i="130"/>
  <c r="AE26" i="130" l="1"/>
  <c r="AF26" i="130" s="1"/>
  <c r="AH25" i="130"/>
  <c r="AF27" i="130" l="1"/>
  <c r="AG26" i="130"/>
  <c r="AG27" i="130" s="1"/>
  <c r="AH26" i="130" l="1"/>
  <c r="AH27" i="130" s="1"/>
  <c r="AN41" i="130"/>
  <c r="AN42" i="130" s="1"/>
  <c r="AB11" i="130" l="1"/>
  <c r="AA11" i="130" s="1"/>
  <c r="AI59" i="130"/>
  <c r="AI71" i="130" s="1"/>
  <c r="AI72" i="130" s="1"/>
  <c r="AM41" i="130"/>
  <c r="AM42" i="130" s="1"/>
  <c r="C5" i="130"/>
  <c r="AI17" i="130"/>
  <c r="AP31" i="130" s="1"/>
  <c r="AK17" i="130"/>
  <c r="AI18" i="130"/>
  <c r="AP32" i="130" s="1"/>
  <c r="AK18" i="130"/>
  <c r="AI19" i="130"/>
  <c r="AP33" i="130" s="1"/>
  <c r="AK19" i="130"/>
  <c r="AI20" i="130"/>
  <c r="AP34" i="130" s="1"/>
  <c r="AK20" i="130"/>
  <c r="AI21" i="130"/>
  <c r="AP35" i="130" s="1"/>
  <c r="AK21" i="130"/>
  <c r="AI22" i="130"/>
  <c r="AP36" i="130" s="1"/>
  <c r="AK22" i="130"/>
  <c r="AI23" i="130"/>
  <c r="AQ23" i="130" l="1"/>
  <c r="AP37" i="130"/>
  <c r="AQ37" i="130" s="1"/>
  <c r="AN67" i="130" s="1"/>
  <c r="C10" i="130"/>
  <c r="AK23" i="130"/>
  <c r="AI24" i="130"/>
  <c r="AP38" i="130" s="1"/>
  <c r="AK24" i="130"/>
  <c r="AI25" i="130"/>
  <c r="AP39" i="130" s="1"/>
  <c r="AK25" i="130"/>
  <c r="AI26" i="130"/>
  <c r="AP40" i="130" s="1"/>
  <c r="AK26" i="130"/>
  <c r="AQ19" i="130"/>
  <c r="AS19" i="130"/>
  <c r="AS22" i="130"/>
  <c r="AM22" i="130"/>
  <c r="AQ22" i="130"/>
  <c r="AM23" i="130"/>
  <c r="AS23" i="130"/>
  <c r="AM20" i="130"/>
  <c r="AQ20" i="130"/>
  <c r="AS20" i="130"/>
  <c r="AU21" i="130"/>
  <c r="AD7" i="130"/>
  <c r="AF35" i="130"/>
  <c r="AQ35" i="130"/>
  <c r="AN65" i="130" s="1"/>
  <c r="AM21" i="130"/>
  <c r="AQ21" i="130"/>
  <c r="AS21" i="130"/>
  <c r="AU23" i="130"/>
  <c r="AD9" i="130"/>
  <c r="AF37" i="130"/>
  <c r="AM18" i="130"/>
  <c r="AQ18" i="130"/>
  <c r="AS18" i="130"/>
  <c r="AU18" i="130"/>
  <c r="AU19" i="130"/>
  <c r="AD5" i="130"/>
  <c r="AF33" i="130"/>
  <c r="AU20" i="130"/>
  <c r="AD6" i="130"/>
  <c r="AF34" i="130"/>
  <c r="AQ34" i="130"/>
  <c r="AN64" i="130" s="1"/>
  <c r="AU22" i="130"/>
  <c r="AD8" i="130"/>
  <c r="AF36" i="130"/>
  <c r="AQ36" i="130"/>
  <c r="AN66" i="130" s="1"/>
  <c r="AQ17" i="130"/>
  <c r="AS17" i="130"/>
  <c r="AU17" i="130"/>
  <c r="AD3" i="130"/>
  <c r="AF31" i="130"/>
  <c r="AM17" i="130"/>
  <c r="AD4" i="130"/>
  <c r="AF32" i="130"/>
  <c r="AQ32" i="130"/>
  <c r="AN62" i="130" s="1"/>
  <c r="AQ33" i="130"/>
  <c r="AN63" i="130" s="1"/>
  <c r="AM19" i="130"/>
  <c r="AK27" i="130" l="1"/>
  <c r="AK28" i="130" s="1"/>
  <c r="AS37" i="130"/>
  <c r="AI27" i="130"/>
  <c r="AI28" i="130" s="1"/>
  <c r="AD10" i="130"/>
  <c r="AU24" i="130"/>
  <c r="AF38" i="130"/>
  <c r="AM24" i="130"/>
  <c r="AQ24" i="130"/>
  <c r="AS24" i="130"/>
  <c r="AM25" i="130"/>
  <c r="AQ25" i="130"/>
  <c r="AS25" i="130"/>
  <c r="AU25" i="130"/>
  <c r="AQ39" i="130"/>
  <c r="AN69" i="130" s="1"/>
  <c r="AD11" i="130"/>
  <c r="AF39" i="130"/>
  <c r="AM26" i="130"/>
  <c r="AQ26" i="130"/>
  <c r="AQ40" i="130"/>
  <c r="AN70" i="130" s="1"/>
  <c r="AS26" i="130"/>
  <c r="AU26" i="130"/>
  <c r="AD12" i="130"/>
  <c r="AF40" i="130"/>
  <c r="AG34" i="130"/>
  <c r="AS33" i="130"/>
  <c r="AG37" i="130"/>
  <c r="AS35" i="130"/>
  <c r="AS36" i="130"/>
  <c r="AS34" i="130"/>
  <c r="AS31" i="130"/>
  <c r="AG31" i="130"/>
  <c r="AQ31" i="130"/>
  <c r="AS32" i="130"/>
  <c r="AS40" i="130" l="1"/>
  <c r="AD13" i="130"/>
  <c r="AD14" i="130" s="1"/>
  <c r="AU27" i="130"/>
  <c r="AU28" i="130" s="1"/>
  <c r="AM27" i="130"/>
  <c r="AM28" i="130" s="1"/>
  <c r="AS27" i="130"/>
  <c r="AS28" i="130" s="1"/>
  <c r="AS39" i="130"/>
  <c r="AQ38" i="130"/>
  <c r="AP41" i="130"/>
  <c r="AP42" i="130" s="1"/>
  <c r="AG40" i="130"/>
  <c r="AG41" i="130" s="1"/>
  <c r="AG42" i="130" s="1"/>
  <c r="AF41" i="130"/>
  <c r="AF42" i="130" s="1"/>
  <c r="AQ27" i="130"/>
  <c r="AQ28" i="130" s="1"/>
  <c r="AS38" i="130"/>
  <c r="AN61" i="130"/>
  <c r="AB12" i="130" l="1"/>
  <c r="AA12" i="130" s="1"/>
  <c r="AS41" i="130"/>
  <c r="AS42" i="130" s="1"/>
  <c r="AN68" i="130"/>
  <c r="AN71" i="130" s="1"/>
  <c r="AN72" i="130" s="1"/>
  <c r="AQ41" i="130"/>
  <c r="AQ42" i="130" s="1"/>
  <c r="AA1" i="130" l="1"/>
  <c r="AB1" i="130"/>
  <c r="AE1" i="130"/>
  <c r="AG1" i="130"/>
  <c r="AT1" i="130"/>
  <c r="AV1" i="130"/>
  <c r="AA2" i="130"/>
  <c r="AB2" i="130"/>
  <c r="AE2" i="130"/>
  <c r="AG2" i="130"/>
  <c r="AT2" i="130"/>
  <c r="AV2" i="130"/>
  <c r="AA3" i="130"/>
  <c r="AB3" i="130"/>
  <c r="AE3" i="130"/>
  <c r="AG3" i="130"/>
  <c r="AT3" i="130"/>
  <c r="AV3" i="130"/>
  <c r="AA4" i="130"/>
  <c r="AB4" i="130"/>
  <c r="AE4" i="130"/>
  <c r="AG4" i="130"/>
  <c r="AT4" i="130"/>
  <c r="AV4" i="130"/>
  <c r="AA5" i="130"/>
  <c r="AB5" i="130"/>
  <c r="AE5" i="130"/>
  <c r="AG5" i="130"/>
  <c r="AT5" i="130"/>
  <c r="AV5" i="130"/>
  <c r="AA6" i="130"/>
  <c r="AB6" i="130"/>
  <c r="AE6" i="130"/>
  <c r="AG6" i="130"/>
  <c r="AT6" i="130"/>
  <c r="AV6" i="130"/>
  <c r="AA7" i="130"/>
  <c r="AB7" i="130"/>
  <c r="AE7" i="130"/>
  <c r="AG7" i="130"/>
  <c r="AT7" i="130"/>
  <c r="AV7" i="130"/>
  <c r="AE8" i="130"/>
  <c r="AG8" i="130"/>
  <c r="AT8" i="130"/>
  <c r="AV8" i="130"/>
  <c r="AA9" i="130"/>
  <c r="AB9" i="130"/>
  <c r="AE9" i="130"/>
  <c r="AG9" i="130"/>
  <c r="AT9" i="130"/>
  <c r="AV9" i="130"/>
  <c r="AA10" i="130"/>
  <c r="AB10" i="130"/>
  <c r="AE10" i="130"/>
  <c r="AG10" i="130"/>
  <c r="AT10" i="130"/>
  <c r="AV10" i="130"/>
  <c r="AE11" i="130"/>
  <c r="AG11" i="130"/>
  <c r="AT11" i="130"/>
  <c r="AV11" i="130"/>
  <c r="AE12" i="130"/>
  <c r="AG12" i="130"/>
  <c r="AT12" i="130"/>
  <c r="AV12" i="130"/>
  <c r="AA13" i="130"/>
  <c r="AB13" i="130"/>
  <c r="AE13" i="130"/>
  <c r="AG13" i="130"/>
  <c r="AT13" i="130"/>
  <c r="AV13" i="130"/>
  <c r="AA14" i="130"/>
  <c r="AB14" i="130"/>
  <c r="AE14" i="130"/>
  <c r="AG14" i="130"/>
  <c r="AT14" i="130"/>
  <c r="AV14" i="130"/>
  <c r="A15" i="130"/>
  <c r="O15" i="130"/>
  <c r="P15" i="130"/>
  <c r="Q15" i="130"/>
  <c r="AA15" i="130"/>
  <c r="AB15" i="130"/>
  <c r="AJ15" i="130"/>
  <c r="AL15" i="130"/>
  <c r="AN15" i="130"/>
  <c r="AP15" i="130"/>
  <c r="AR15" i="130"/>
  <c r="AT15" i="130"/>
  <c r="AV15" i="130"/>
  <c r="A16" i="130"/>
  <c r="O16" i="130"/>
  <c r="P16" i="130"/>
  <c r="Q16" i="130"/>
  <c r="AA16" i="130"/>
  <c r="AB16" i="130"/>
  <c r="AJ16" i="130"/>
  <c r="AL16" i="130"/>
  <c r="AN16" i="130"/>
  <c r="AP16" i="130"/>
  <c r="AR16" i="130"/>
  <c r="AT16" i="130"/>
  <c r="AV16" i="130"/>
  <c r="A17" i="130"/>
  <c r="O17" i="130"/>
  <c r="P17" i="130"/>
  <c r="Q17" i="130"/>
  <c r="AA17" i="130"/>
  <c r="AB17" i="130"/>
  <c r="AJ17" i="130"/>
  <c r="AL17" i="130"/>
  <c r="AN17" i="130"/>
  <c r="AP17" i="130"/>
  <c r="AR17" i="130"/>
  <c r="AT17" i="130"/>
  <c r="AV17" i="130"/>
  <c r="A18" i="130"/>
  <c r="O18" i="130"/>
  <c r="P18" i="130"/>
  <c r="Q18" i="130"/>
  <c r="AA18" i="130"/>
  <c r="AB18" i="130"/>
  <c r="AJ18" i="130"/>
  <c r="AL18" i="130"/>
  <c r="AN18" i="130"/>
  <c r="AP18" i="130"/>
  <c r="AR18" i="130"/>
  <c r="AT18" i="130"/>
  <c r="AV18" i="130"/>
  <c r="A19" i="130"/>
  <c r="O19" i="130"/>
  <c r="P19" i="130"/>
  <c r="Q19" i="130"/>
  <c r="AA19" i="130"/>
  <c r="AB19" i="130"/>
  <c r="AJ19" i="130"/>
  <c r="AL19" i="130"/>
  <c r="AN19" i="130"/>
  <c r="AP19" i="130"/>
  <c r="AR19" i="130"/>
  <c r="AT19" i="130"/>
  <c r="AV19" i="130"/>
  <c r="A20" i="130"/>
  <c r="O20" i="130"/>
  <c r="P20" i="130"/>
  <c r="Q20" i="130"/>
  <c r="AA20" i="130"/>
  <c r="AB20" i="130"/>
  <c r="AJ20" i="130"/>
  <c r="AL20" i="130"/>
  <c r="AN20" i="130"/>
  <c r="AP20" i="130"/>
  <c r="AR20" i="130"/>
  <c r="AT20" i="130"/>
  <c r="AV20" i="130"/>
  <c r="A21" i="130"/>
  <c r="O21" i="130"/>
  <c r="P21" i="130"/>
  <c r="Q21" i="130"/>
  <c r="AJ21" i="130"/>
  <c r="AL21" i="130"/>
  <c r="AN21" i="130"/>
  <c r="AP21" i="130"/>
  <c r="AR21" i="130"/>
  <c r="AT21" i="130"/>
  <c r="AV21" i="130"/>
  <c r="A22" i="130"/>
  <c r="O22" i="130"/>
  <c r="P22" i="130"/>
  <c r="Q22" i="130"/>
  <c r="AJ22" i="130"/>
  <c r="AL22" i="130"/>
  <c r="AN22" i="130"/>
  <c r="AP22" i="130"/>
  <c r="AR22" i="130"/>
  <c r="AT22" i="130"/>
  <c r="AV22" i="130"/>
  <c r="A23" i="130"/>
  <c r="O23" i="130"/>
  <c r="P23" i="130"/>
  <c r="Q23" i="130"/>
  <c r="AJ23" i="130"/>
  <c r="AL23" i="130"/>
  <c r="AN23" i="130"/>
  <c r="AP23" i="130"/>
  <c r="AR23" i="130"/>
  <c r="AT23" i="130"/>
  <c r="AV23" i="130"/>
  <c r="A24" i="130"/>
  <c r="O24" i="130"/>
  <c r="P24" i="130"/>
  <c r="Q24" i="130"/>
  <c r="AJ24" i="130"/>
  <c r="AL24" i="130"/>
  <c r="AN24" i="130"/>
  <c r="AP24" i="130"/>
  <c r="AR24" i="130"/>
  <c r="AT24" i="130"/>
  <c r="AV24" i="130"/>
  <c r="A25" i="130"/>
  <c r="O25" i="130"/>
  <c r="P25" i="130"/>
  <c r="Q25" i="130"/>
  <c r="AJ25" i="130"/>
  <c r="AL25" i="130"/>
  <c r="AN25" i="130"/>
  <c r="AP25" i="130"/>
  <c r="AR25" i="130"/>
  <c r="AT25" i="130"/>
  <c r="AV25" i="130"/>
  <c r="A26" i="130"/>
  <c r="O26" i="130"/>
  <c r="P26" i="130"/>
  <c r="Q26" i="130"/>
  <c r="AJ26" i="130"/>
  <c r="AL26" i="130"/>
  <c r="AN26" i="130"/>
  <c r="AP26" i="130"/>
  <c r="AR26" i="130"/>
  <c r="AT26" i="130"/>
  <c r="AV26" i="130"/>
  <c r="O27" i="130"/>
  <c r="P27" i="130"/>
  <c r="Q27" i="130"/>
  <c r="AJ27" i="130"/>
  <c r="AL27" i="130"/>
  <c r="AN27" i="130"/>
  <c r="AP27" i="130"/>
  <c r="AR27" i="130"/>
  <c r="AT27" i="130"/>
  <c r="AV27" i="130"/>
  <c r="A28" i="130"/>
  <c r="O28" i="130"/>
  <c r="P28" i="130"/>
  <c r="Q28" i="130"/>
  <c r="AJ28" i="130"/>
  <c r="AL28" i="130"/>
  <c r="AN28" i="130"/>
  <c r="AP28" i="130"/>
  <c r="AR28" i="130"/>
  <c r="AT28" i="130"/>
  <c r="AV28" i="130"/>
  <c r="AH29" i="130"/>
  <c r="AK29" i="130"/>
  <c r="AL29" i="130"/>
  <c r="AR29" i="130"/>
  <c r="AT29" i="130"/>
  <c r="AU29" i="130"/>
  <c r="AV29" i="130"/>
  <c r="AW29" i="130"/>
  <c r="AX29" i="130"/>
  <c r="AY29" i="130"/>
  <c r="AH30" i="130"/>
  <c r="AK30" i="130"/>
  <c r="AL30" i="130"/>
  <c r="AR30" i="130"/>
  <c r="AT30" i="130"/>
  <c r="AU30" i="130"/>
  <c r="AV30" i="130"/>
  <c r="AW30" i="130"/>
  <c r="AX30" i="130"/>
  <c r="AY30" i="130"/>
  <c r="AH31" i="130"/>
  <c r="AK31" i="130"/>
  <c r="AL31" i="130"/>
  <c r="AR31" i="130"/>
  <c r="AT31" i="130"/>
  <c r="AU31" i="130"/>
  <c r="AV31" i="130"/>
  <c r="AW31" i="130"/>
  <c r="AX31" i="130"/>
  <c r="AY31" i="130"/>
  <c r="AH32" i="130"/>
  <c r="AK32" i="130"/>
  <c r="AL32" i="130"/>
  <c r="AR32" i="130"/>
  <c r="AT32" i="130"/>
  <c r="AU32" i="130"/>
  <c r="AV32" i="130"/>
  <c r="AW32" i="130"/>
  <c r="AX32" i="130"/>
  <c r="AY32" i="130"/>
  <c r="AH33" i="130"/>
  <c r="AK33" i="130"/>
  <c r="AL33" i="130"/>
  <c r="AR33" i="130"/>
  <c r="AT33" i="130"/>
  <c r="AU33" i="130"/>
  <c r="AV33" i="130"/>
  <c r="AW33" i="130"/>
  <c r="AX33" i="130"/>
  <c r="AY33" i="130"/>
  <c r="AH34" i="130"/>
  <c r="AK34" i="130"/>
  <c r="AL34" i="130"/>
  <c r="AR34" i="130"/>
  <c r="AT34" i="130"/>
  <c r="AU34" i="130"/>
  <c r="AV34" i="130"/>
  <c r="AW34" i="130"/>
  <c r="AX34" i="130"/>
  <c r="AY34" i="130"/>
  <c r="AH35" i="130"/>
  <c r="AK35" i="130"/>
  <c r="AL35" i="130"/>
  <c r="AR35" i="130"/>
  <c r="AT35" i="130"/>
  <c r="AU35" i="130"/>
  <c r="AV35" i="130"/>
  <c r="AW35" i="130"/>
  <c r="AX35" i="130"/>
  <c r="AY35" i="130"/>
  <c r="AH36" i="130"/>
  <c r="AK36" i="130"/>
  <c r="AL36" i="130"/>
  <c r="AR36" i="130"/>
  <c r="AT36" i="130"/>
  <c r="AU36" i="130"/>
  <c r="AV36" i="130"/>
  <c r="AW36" i="130"/>
  <c r="AX36" i="130"/>
  <c r="AY36" i="130"/>
  <c r="AH37" i="130"/>
  <c r="AK37" i="130"/>
  <c r="AL37" i="130"/>
  <c r="AR37" i="130"/>
  <c r="AT37" i="130"/>
  <c r="AU37" i="130"/>
  <c r="AV37" i="130"/>
  <c r="AW37" i="130"/>
  <c r="AX37" i="130"/>
  <c r="AY37" i="130"/>
  <c r="AH38" i="130"/>
  <c r="AK38" i="130"/>
  <c r="AL38" i="130"/>
  <c r="AR38" i="130"/>
  <c r="AT38" i="130"/>
  <c r="AU38" i="130"/>
  <c r="AV38" i="130"/>
  <c r="AW38" i="130"/>
  <c r="AX38" i="130"/>
  <c r="AY38" i="130"/>
  <c r="AH39" i="130"/>
  <c r="AK39" i="130"/>
  <c r="AL39" i="130"/>
  <c r="AR39" i="130"/>
  <c r="AT39" i="130"/>
  <c r="AU39" i="130"/>
  <c r="AV39" i="130"/>
  <c r="AW39" i="130"/>
  <c r="AX39" i="130"/>
  <c r="AY39" i="130"/>
  <c r="AH40" i="130"/>
  <c r="AK40" i="130"/>
  <c r="AL40" i="130"/>
  <c r="AR40" i="130"/>
  <c r="AT40" i="130"/>
  <c r="AU40" i="130"/>
  <c r="AV40" i="130"/>
  <c r="AW40" i="130"/>
  <c r="AX40" i="130"/>
  <c r="AY40" i="130"/>
  <c r="AH41" i="130"/>
  <c r="AK41" i="130"/>
  <c r="AL41" i="130"/>
  <c r="AR41" i="130"/>
  <c r="AT41" i="130"/>
  <c r="AU41" i="130"/>
  <c r="AV41" i="130"/>
  <c r="AW41" i="130"/>
  <c r="AX41" i="130"/>
  <c r="AY41" i="130"/>
  <c r="AH42" i="130"/>
  <c r="AK42" i="130"/>
  <c r="AL42" i="130"/>
  <c r="AR42" i="130"/>
  <c r="AT42" i="130"/>
  <c r="AU42" i="130"/>
  <c r="AV42" i="130"/>
  <c r="AW42" i="130"/>
  <c r="AX42" i="130"/>
  <c r="AY42" i="130"/>
  <c r="AD59" i="130"/>
  <c r="AF59" i="130"/>
  <c r="AG59" i="130"/>
  <c r="AH59" i="130"/>
  <c r="AJ59" i="130"/>
  <c r="AK59" i="130"/>
  <c r="AL59" i="130"/>
  <c r="AM59" i="130"/>
  <c r="AO59" i="130"/>
  <c r="AP59" i="130"/>
  <c r="AQ59" i="130"/>
  <c r="AR59" i="130"/>
  <c r="AS59" i="130"/>
  <c r="AT59" i="130"/>
  <c r="AU59" i="130"/>
  <c r="AV59" i="130"/>
  <c r="AX59" i="130"/>
  <c r="AD60" i="130"/>
  <c r="AF60" i="130"/>
  <c r="AG60" i="130"/>
  <c r="AH60" i="130"/>
  <c r="AJ60" i="130"/>
  <c r="AK60" i="130"/>
  <c r="AL60" i="130"/>
  <c r="AM60" i="130"/>
  <c r="AO60" i="130"/>
  <c r="AP60" i="130"/>
  <c r="AQ60" i="130"/>
  <c r="AR60" i="130"/>
  <c r="AS60" i="130"/>
  <c r="AT60" i="130"/>
  <c r="AU60" i="130"/>
  <c r="AV60" i="130"/>
  <c r="AX60" i="130"/>
  <c r="AD61" i="130"/>
  <c r="AF61" i="130"/>
  <c r="AG61" i="130"/>
  <c r="AH61" i="130"/>
  <c r="AJ61" i="130"/>
  <c r="AK61" i="130"/>
  <c r="AL61" i="130"/>
  <c r="AM61" i="130"/>
  <c r="AO61" i="130"/>
  <c r="AP61" i="130"/>
  <c r="AQ61" i="130"/>
  <c r="AR61" i="130"/>
  <c r="AS61" i="130"/>
  <c r="AT61" i="130"/>
  <c r="AU61" i="130"/>
  <c r="AV61" i="130"/>
  <c r="AX61" i="130"/>
  <c r="AD62" i="130"/>
  <c r="AF62" i="130"/>
  <c r="AG62" i="130"/>
  <c r="AH62" i="130"/>
  <c r="AJ62" i="130"/>
  <c r="AK62" i="130"/>
  <c r="AL62" i="130"/>
  <c r="AM62" i="130"/>
  <c r="AO62" i="130"/>
  <c r="AP62" i="130"/>
  <c r="AQ62" i="130"/>
  <c r="AR62" i="130"/>
  <c r="AS62" i="130"/>
  <c r="AT62" i="130"/>
  <c r="AU62" i="130"/>
  <c r="AV62" i="130"/>
  <c r="AX62" i="130"/>
  <c r="AD63" i="130"/>
  <c r="AF63" i="130"/>
  <c r="AG63" i="130"/>
  <c r="AH63" i="130"/>
  <c r="AJ63" i="130"/>
  <c r="AK63" i="130"/>
  <c r="AL63" i="130"/>
  <c r="AM63" i="130"/>
  <c r="AO63" i="130"/>
  <c r="AP63" i="130"/>
  <c r="AQ63" i="130"/>
  <c r="AR63" i="130"/>
  <c r="AS63" i="130"/>
  <c r="AT63" i="130"/>
  <c r="AU63" i="130"/>
  <c r="AV63" i="130"/>
  <c r="AX63" i="130"/>
  <c r="AD64" i="130"/>
  <c r="AF64" i="130"/>
  <c r="AG64" i="130"/>
  <c r="AH64" i="130"/>
  <c r="AJ64" i="130"/>
  <c r="AK64" i="130"/>
  <c r="AL64" i="130"/>
  <c r="AM64" i="130"/>
  <c r="AO64" i="130"/>
  <c r="AP64" i="130"/>
  <c r="AQ64" i="130"/>
  <c r="AR64" i="130"/>
  <c r="AS64" i="130"/>
  <c r="AT64" i="130"/>
  <c r="AU64" i="130"/>
  <c r="AV64" i="130"/>
  <c r="AX64" i="130"/>
  <c r="AD65" i="130"/>
  <c r="AF65" i="130"/>
  <c r="AG65" i="130"/>
  <c r="AH65" i="130"/>
  <c r="AJ65" i="130"/>
  <c r="AK65" i="130"/>
  <c r="AL65" i="130"/>
  <c r="AM65" i="130"/>
  <c r="AO65" i="130"/>
  <c r="AP65" i="130"/>
  <c r="AQ65" i="130"/>
  <c r="AR65" i="130"/>
  <c r="AS65" i="130"/>
  <c r="AT65" i="130"/>
  <c r="AU65" i="130"/>
  <c r="AV65" i="130"/>
  <c r="AX65" i="130"/>
  <c r="AD66" i="130"/>
  <c r="AF66" i="130"/>
  <c r="AG66" i="130"/>
  <c r="AH66" i="130"/>
  <c r="AJ66" i="130"/>
  <c r="AK66" i="130"/>
  <c r="AL66" i="130"/>
  <c r="AM66" i="130"/>
  <c r="AO66" i="130"/>
  <c r="AP66" i="130"/>
  <c r="AQ66" i="130"/>
  <c r="AR66" i="130"/>
  <c r="AS66" i="130"/>
  <c r="AT66" i="130"/>
  <c r="AU66" i="130"/>
  <c r="AV66" i="130"/>
  <c r="AX66" i="130"/>
  <c r="AD67" i="130"/>
  <c r="AF67" i="130"/>
  <c r="AG67" i="130"/>
  <c r="AH67" i="130"/>
  <c r="AJ67" i="130"/>
  <c r="AK67" i="130"/>
  <c r="AL67" i="130"/>
  <c r="AM67" i="130"/>
  <c r="AO67" i="130"/>
  <c r="AP67" i="130"/>
  <c r="AQ67" i="130"/>
  <c r="AR67" i="130"/>
  <c r="AS67" i="130"/>
  <c r="AT67" i="130"/>
  <c r="AU67" i="130"/>
  <c r="AV67" i="130"/>
  <c r="AX67" i="130"/>
  <c r="AD68" i="130"/>
  <c r="AF68" i="130"/>
  <c r="AG68" i="130"/>
  <c r="AH68" i="130"/>
  <c r="AJ68" i="130"/>
  <c r="AK68" i="130"/>
  <c r="AL68" i="130"/>
  <c r="AM68" i="130"/>
  <c r="AO68" i="130"/>
  <c r="AP68" i="130"/>
  <c r="AQ68" i="130"/>
  <c r="AR68" i="130"/>
  <c r="AS68" i="130"/>
  <c r="AT68" i="130"/>
  <c r="AU68" i="130"/>
  <c r="AV68" i="130"/>
  <c r="AX68" i="130"/>
  <c r="AD69" i="130"/>
  <c r="AF69" i="130"/>
  <c r="AG69" i="130"/>
  <c r="AH69" i="130"/>
  <c r="AJ69" i="130"/>
  <c r="AK69" i="130"/>
  <c r="AL69" i="130"/>
  <c r="AM69" i="130"/>
  <c r="AO69" i="130"/>
  <c r="AP69" i="130"/>
  <c r="AQ69" i="130"/>
  <c r="AR69" i="130"/>
  <c r="AS69" i="130"/>
  <c r="AT69" i="130"/>
  <c r="AU69" i="130"/>
  <c r="AV69" i="130"/>
  <c r="AX69" i="130"/>
  <c r="AD70" i="130"/>
  <c r="AF70" i="130"/>
  <c r="AG70" i="130"/>
  <c r="AH70" i="130"/>
  <c r="AJ70" i="130"/>
  <c r="AK70" i="130"/>
  <c r="AL70" i="130"/>
  <c r="AM70" i="130"/>
  <c r="AO70" i="130"/>
  <c r="AP70" i="130"/>
  <c r="AQ70" i="130"/>
  <c r="AR70" i="130"/>
  <c r="AS70" i="130"/>
  <c r="AT70" i="130"/>
  <c r="AU70" i="130"/>
  <c r="AV70" i="130"/>
  <c r="AX70" i="130"/>
  <c r="AD71" i="130"/>
  <c r="AF71" i="130"/>
  <c r="AG71" i="130"/>
  <c r="AH71" i="130"/>
  <c r="AJ71" i="130"/>
  <c r="AK71" i="130"/>
  <c r="AL71" i="130"/>
  <c r="AM71" i="130"/>
  <c r="AO71" i="130"/>
  <c r="AS71" i="130"/>
  <c r="AT71" i="130"/>
  <c r="AU71" i="130"/>
  <c r="AD72" i="130"/>
  <c r="AF72" i="130"/>
  <c r="AG72" i="130"/>
  <c r="AH72" i="130"/>
  <c r="AJ72" i="130"/>
  <c r="AK72" i="130"/>
  <c r="AL72" i="130"/>
  <c r="AM72" i="130"/>
  <c r="AO72" i="130"/>
  <c r="AS72" i="130"/>
  <c r="AT72" i="130"/>
  <c r="AU72" i="130"/>
</calcChain>
</file>

<file path=xl/sharedStrings.xml><?xml version="1.0" encoding="utf-8"?>
<sst xmlns="http://schemas.openxmlformats.org/spreadsheetml/2006/main" count="601" uniqueCount="110">
  <si>
    <t>-</t>
  </si>
  <si>
    <t>Yok</t>
  </si>
  <si>
    <t>Doğal Afet Yardımı</t>
  </si>
  <si>
    <t>Kıdem Yardımı</t>
  </si>
  <si>
    <t>SGK Prim Kesintisi</t>
  </si>
  <si>
    <t>SGK İşsizlik Primi Kesintisi</t>
  </si>
  <si>
    <t>Yemek Yardımı</t>
  </si>
  <si>
    <t>Sosyal Yardım</t>
  </si>
  <si>
    <t>Evlilik Yardımı</t>
  </si>
  <si>
    <t>Var</t>
  </si>
  <si>
    <t>Annelik İzni</t>
  </si>
  <si>
    <t>Analık Hâli İzni</t>
  </si>
  <si>
    <t>Babalık İzni</t>
  </si>
  <si>
    <t>Süt İzni</t>
  </si>
  <si>
    <t>Engelli Çocuk İzni</t>
  </si>
  <si>
    <t>Evlat Edinme İzni</t>
  </si>
  <si>
    <t>Doğal Afet İzni</t>
  </si>
  <si>
    <t>Ulaşım Yardımı</t>
  </si>
  <si>
    <t>Normal Çalışma</t>
  </si>
  <si>
    <t>BES Kesintisi</t>
  </si>
  <si>
    <t>Damga Vergisi Kesintisi</t>
  </si>
  <si>
    <t>Gelir Vergisi Kesintisi</t>
  </si>
  <si>
    <t>İkramiye Yardımı</t>
  </si>
  <si>
    <t>İş Kazası veya Meslek Hastalığı Tazminatı</t>
  </si>
  <si>
    <t>Ustabaşı</t>
  </si>
  <si>
    <t>Usta</t>
  </si>
  <si>
    <t>Vinç Operatörü</t>
  </si>
  <si>
    <t>Forklift Operatörü</t>
  </si>
  <si>
    <t>İtfaiye Amiri</t>
  </si>
  <si>
    <t>Usta Yardımcısı</t>
  </si>
  <si>
    <t>Gemi Havuzlama Personeli</t>
  </si>
  <si>
    <t>İtfaiyeci</t>
  </si>
  <si>
    <t>Yakıt Yağ ve Atık Personeli</t>
  </si>
  <si>
    <t>Nakdi Yardımlar</t>
  </si>
  <si>
    <t>Sendika Üyelik Aidatı Kesintisi</t>
  </si>
  <si>
    <t>Gıda Yardımı</t>
  </si>
  <si>
    <t>Ücretli Sendikal İzin ve Sendika Temsilci Sayısı</t>
  </si>
  <si>
    <t>İş Arama İzni</t>
  </si>
  <si>
    <t>Ücretli Yıllık İzin</t>
  </si>
  <si>
    <t>Kazançlar</t>
  </si>
  <si>
    <t>Kesintiler</t>
  </si>
  <si>
    <t>Cenaze İzni</t>
  </si>
  <si>
    <t>Evlilik İzni</t>
  </si>
  <si>
    <t>Mazeret İzni</t>
  </si>
  <si>
    <t>Yol İzni</t>
  </si>
  <si>
    <t>a) İşçinin eşinin doğum yapması hâlinde 5 takvim günü ücretli sosyal izin verilir.</t>
  </si>
  <si>
    <t>a) İşçinin ikamet ettiği konutun doğal afet nedeniyle hasara uğraması hâlinde 10 iş günü ücretli sosyal izin verilir.</t>
  </si>
  <si>
    <t>a) İşçinin evlenmesi hâlinde 7 iş günü ücretli sosyal izin verilir.
b) İşçinin çocuğunun evlenmesi hâlinde 0 iş günü ücretli sosyal izin verilir.
c) İşçinin evliliğinde, evlilik izninin hangi şekilde kullanılacağı işçinin talebi doğrultusunda değerlendirilir.</t>
  </si>
  <si>
    <t>a) İşçilere, gerekli ve geçerli mazeretleri hâlinde işverenin takdirine bağlı olarak yılda 6 iş günü ücretli sosyal izin verilir.
b) İşçilere, gerekli ve geçerli mazeretleri hâlinde işverenin takdirine bağlı olarak yılda 6 aya kadar ücretsiz sosyal izin verilebilir. Genel müdürün uygun görmesi hâlinde 12 aya kadar uzatılabilir.</t>
  </si>
  <si>
    <t>Askerlik Yardımı</t>
  </si>
  <si>
    <t>a) İşçinin eşinin veya çocuğunun vefatı hâlinde 5 iş günü ücretli sosyal izin verilir.
b) İşçinin annesinin, babasının veya kardeşinin vefatı hâlinde 5 iş günü ücretli sosyal izin verilir.
c) İşçinin eşinin annesinin, babasının veya kardeşinin vefatı hâlinde 5 iş günü ücretli sosyal izin verilir.
d) İşçinin amcasının, halasının, dayısının, teyzesinin, dedesinin veya ninesinin vefatı hâlinde 0 iş günü ücretli sosyal izin verilir.
e) Cenazenin il dışında olması veya il dışına götürülmesi hâlinde işçinin annesinin, babasının, kardeşinin, eşinin veya çocuğunun cenazesi için ilave 5 iş günü amcasının, halasının, dayısının, teyzesinin, dedesinin veya ninesinin cenazesi için ilave 0 iş günü ücretli sosyal izin verilir.
f) İşçilerden birinin vefatı hâlinde cenaze işlemleri veya katılımı için ihtiyaç kadar işçiye ücretli sosyal izin verilir.
g) Vefat eden kişi birden fazla personelin yakını ise cenaze izni her personele ayrı ayrı verilir.</t>
  </si>
  <si>
    <t>a) Yıllık ücretli izinleri işyerinin kurulu bulunduğu yerden başka bir yerde geçirecek olanlara istemde bulunmaları ve bu hususu belgelemeleri koşulu ile gidiş ve dönüşlerinde yolda geçecek süreleri karşılamak üzere işveren toplam 4 güne kadar ücretsiz yol izni vermek zorundadır.
(Yıllık Ücretli İzin Yönetmeliği / Madde 6)</t>
  </si>
  <si>
    <t>a) 01.01.2009 Tarihinden Önce İşe Başlayanlar İçin:
Hizmeti 6 ay olanlar için 0 iş günü ücretli yıllık izin verilir.
Hizmeti 1-5 yıl olanlar için 14 iş günü ücretli yıllık izin verilir.
Hizmeti 5-10 yıl olanlar için 23 iş günü ücretli yıllık izin verilir.
Hizmeti 10-15 yıl olanlar için 23 iş günü ücretli yıllık izin verilir.
Hizmeti 15 yıldan fazla olanlar için 26 iş günü ücretli yıllık izin verilir.
b) 01.01.2009 Tarihinden Sonra İşe Başlayanlar İçin:
Hizmeti 6 ay olanlar için 0 iş günü ücretli yıllık izin verilir.
Hizmeti 1-5 yıl olanlar için 14 iş günü ücretli yıllık izin verilir.
Hizmeti 5-10 yıl olanlar için 20 iş günü ücretli yıllık izin verilir.
Hizmeti 10-15 yıl olanlar için 20 iş günü ücretli yıllık izin verilir.
Hizmeti 15 yıldan fazla olanlar için 26 iş günü ücretli yıllık izin verilir.</t>
  </si>
  <si>
    <t>Yıllık Ortalama</t>
  </si>
  <si>
    <t>Tersane Saha Personeli</t>
  </si>
  <si>
    <t xml:space="preserve">   Kıdem Yardımı</t>
  </si>
  <si>
    <t xml:space="preserve">   Yemek Yardımı</t>
  </si>
  <si>
    <t xml:space="preserve">   Nakdi Yardımlar
   Sürekliliği Olmayan Yardımlar</t>
  </si>
  <si>
    <t>Cenaze Yardımı (Anne-Baba)</t>
  </si>
  <si>
    <t>Cenaze Yardımı (Eş-Çocuk)</t>
  </si>
  <si>
    <t>Cenaze Yardımı (İşçi-İş Kazası Sonucu)</t>
  </si>
  <si>
    <t>Cenaze Yardımı (İşçi-Tabii Sebepler Sonucu)</t>
  </si>
  <si>
    <t>Eğitim Yardımı (İşçi-Lise)</t>
  </si>
  <si>
    <t>Eğitim Yardımı (İşçi-Yükseköğretim)</t>
  </si>
  <si>
    <t>Eğitim Yardımı (Çocuk-İlköğretim)</t>
  </si>
  <si>
    <t>Eğitim Yardımı (Çocuk-Ortaöğretim)</t>
  </si>
  <si>
    <t>Eğitim Yardımı (Çocuk-Lise)</t>
  </si>
  <si>
    <t>Eğitim Yardımı (Çocuk-Yükseköğretim)</t>
  </si>
  <si>
    <t xml:space="preserve">   Toplam Kazanç
   Net</t>
  </si>
  <si>
    <t>İşveren Maliyeti</t>
  </si>
  <si>
    <r>
      <t xml:space="preserve">   Sonraki Ayın 1'inde
   </t>
    </r>
    <r>
      <rPr>
        <b/>
        <sz val="16"/>
        <rFont val="Calibri"/>
        <family val="2"/>
        <charset val="162"/>
        <scheme val="minor"/>
      </rPr>
      <t>Net</t>
    </r>
  </si>
  <si>
    <t>a) 3 yaşını doldurmamış çocuğu evlat edinen eşlerden birine veya evlat edinene çocuğun aileye fiilen teslim edildiği tarihten itibaren 8 hafta analık hâli izni kullandırılır.
(4857 sayılı İş Kanunu / Madde 74)</t>
  </si>
  <si>
    <t>Miktar</t>
  </si>
  <si>
    <t xml:space="preserve">   BES Kesintisi</t>
  </si>
  <si>
    <t>Toplam</t>
  </si>
  <si>
    <t>Ortalama</t>
  </si>
  <si>
    <t>Fazla Çalışma (% 50)</t>
  </si>
  <si>
    <t>Fazla Sürelerle Çalışma (% 25)</t>
  </si>
  <si>
    <t>Resmi Tatillerde Çalışma (% 100)</t>
  </si>
  <si>
    <t>Gece Çalışma (% 12)</t>
  </si>
  <si>
    <r>
      <t xml:space="preserve">   Resmi Tatillerde Çalışma
   </t>
    </r>
    <r>
      <rPr>
        <b/>
        <sz val="16"/>
        <rFont val="Calibri"/>
        <family val="2"/>
        <charset val="162"/>
        <scheme val="minor"/>
      </rPr>
      <t>% 100</t>
    </r>
  </si>
  <si>
    <r>
      <t xml:space="preserve">   Sonraki Ayın 15'inde
   Fazla Çalışma (Gündüz-Gece-Resmi Tatil)
   Yemek Yardımı
   </t>
    </r>
    <r>
      <rPr>
        <b/>
        <sz val="16"/>
        <rFont val="Calibri"/>
        <family val="2"/>
        <charset val="162"/>
        <scheme val="minor"/>
      </rPr>
      <t>Net</t>
    </r>
  </si>
  <si>
    <t xml:space="preserve">   Engellilik İndirimi</t>
  </si>
  <si>
    <t>Amir</t>
  </si>
  <si>
    <t>Gişe</t>
  </si>
  <si>
    <t>Çıma</t>
  </si>
  <si>
    <r>
      <t xml:space="preserve">   Gece Çalışma
   </t>
    </r>
    <r>
      <rPr>
        <b/>
        <sz val="16"/>
        <rFont val="Calibri"/>
        <family val="2"/>
        <charset val="162"/>
        <scheme val="minor"/>
      </rPr>
      <t>% 15</t>
    </r>
  </si>
  <si>
    <r>
      <t xml:space="preserve">   Fazla Sürelerle Çalışma
   </t>
    </r>
    <r>
      <rPr>
        <b/>
        <sz val="16"/>
        <rFont val="Calibri"/>
        <family val="2"/>
        <charset val="162"/>
        <scheme val="minor"/>
      </rPr>
      <t>% 30</t>
    </r>
  </si>
  <si>
    <r>
      <t xml:space="preserve">   Fazla Çalışma
   </t>
    </r>
    <r>
      <rPr>
        <b/>
        <sz val="16"/>
        <rFont val="Calibri"/>
        <family val="2"/>
        <charset val="162"/>
        <scheme val="minor"/>
      </rPr>
      <t>% 60</t>
    </r>
  </si>
  <si>
    <t>Ocak</t>
  </si>
  <si>
    <t>Şubat</t>
  </si>
  <si>
    <t>Mart</t>
  </si>
  <si>
    <t>Nisan</t>
  </si>
  <si>
    <t>Mayıs</t>
  </si>
  <si>
    <t>Haziran</t>
  </si>
  <si>
    <t>Temmuz</t>
  </si>
  <si>
    <t>Ağustos</t>
  </si>
  <si>
    <t>Eylül</t>
  </si>
  <si>
    <t>Ekim</t>
  </si>
  <si>
    <t>Kasım</t>
  </si>
  <si>
    <t>Aralık</t>
  </si>
  <si>
    <t>Ocak &gt; Şubat</t>
  </si>
  <si>
    <t>Mart &gt; Ağustos</t>
  </si>
  <si>
    <t>Eylül &gt; Aralık</t>
  </si>
  <si>
    <r>
      <t xml:space="preserve">a) Kadın işçilerin </t>
    </r>
    <r>
      <rPr>
        <b/>
        <sz val="16"/>
        <color theme="0"/>
        <rFont val="Calibri"/>
        <family val="2"/>
        <charset val="162"/>
        <scheme val="minor"/>
      </rPr>
      <t>doğumdan önce 8 ve doğumdan sonra 8 hafta</t>
    </r>
    <r>
      <rPr>
        <sz val="16"/>
        <color theme="0"/>
        <rFont val="Calibri"/>
        <family val="2"/>
        <charset val="162"/>
        <scheme val="minor"/>
      </rPr>
      <t xml:space="preserve"> olmak üzere toplam 16 haftalık süre için çalıştırılmamaları esastır.
(4857 sayılı İş Kanunu / Madde 74)</t>
    </r>
  </si>
  <si>
    <r>
      <t xml:space="preserve">a) İşçilerin en az %70 oranında engelli veya süreğen hastalığı olan çocuğunun tedavisinde, hastalık raporuna dayalı olarak ve çalışan ebeveynden sadece biri tarafından kullanılması kaydıyla, </t>
    </r>
    <r>
      <rPr>
        <b/>
        <sz val="16"/>
        <color theme="0"/>
        <rFont val="Calibri"/>
        <family val="2"/>
        <charset val="162"/>
        <scheme val="minor"/>
      </rPr>
      <t>bir yıl içinde toptan veya bölümler hâlinde 10 güne kadar</t>
    </r>
    <r>
      <rPr>
        <sz val="16"/>
        <color theme="0"/>
        <rFont val="Calibri"/>
        <family val="2"/>
        <charset val="162"/>
        <scheme val="minor"/>
      </rPr>
      <t xml:space="preserve"> ücretli izin verilir.
(4857 sayılı İş Kanunu / Ek Madde 2)</t>
    </r>
  </si>
  <si>
    <r>
      <t xml:space="preserve">a) İşçiye; evlat edinmesi hâlinde </t>
    </r>
    <r>
      <rPr>
        <b/>
        <sz val="16"/>
        <color theme="0"/>
        <rFont val="Calibri"/>
        <family val="2"/>
        <charset val="162"/>
        <scheme val="minor"/>
      </rPr>
      <t>3 gün</t>
    </r>
    <r>
      <rPr>
        <sz val="16"/>
        <color theme="0"/>
        <rFont val="Calibri"/>
        <family val="2"/>
        <charset val="162"/>
        <scheme val="minor"/>
      </rPr>
      <t xml:space="preserve"> ücretli izin verilir.
(4857 sayılı İş Kanunu / Ek Madde 2)</t>
    </r>
  </si>
  <si>
    <r>
      <t xml:space="preserve">a) Bildirim süreleri içinde işveren, işçiye yeni bir iş bulması için gerekli olan iş arama iznini iş saatleri içinde ve ücret kesintisi yapmadan vermeye mecburdur. İş arama izninin süresi </t>
    </r>
    <r>
      <rPr>
        <b/>
        <sz val="16"/>
        <color theme="0"/>
        <rFont val="Calibri"/>
        <family val="2"/>
        <charset val="162"/>
        <scheme val="minor"/>
      </rPr>
      <t>günde 2 saatten az olamaz</t>
    </r>
    <r>
      <rPr>
        <sz val="16"/>
        <color theme="0"/>
        <rFont val="Calibri"/>
        <family val="2"/>
        <charset val="162"/>
        <scheme val="minor"/>
      </rPr>
      <t xml:space="preserve"> ve işçi isterse iş arama izin saatlerini birleştirerek toplu kullanabilir.
(4857 sayılı İş Kanunu / Madde 27)</t>
    </r>
  </si>
  <si>
    <r>
      <t xml:space="preserve">a) Kadın işçilere bir yaşından küçük çocuklarını emzirmeleri için </t>
    </r>
    <r>
      <rPr>
        <b/>
        <sz val="16"/>
        <color theme="0"/>
        <rFont val="Calibri"/>
        <family val="2"/>
        <charset val="162"/>
        <scheme val="minor"/>
      </rPr>
      <t>günde toplam 1,5 saat</t>
    </r>
    <r>
      <rPr>
        <sz val="16"/>
        <color theme="0"/>
        <rFont val="Calibri"/>
        <family val="2"/>
        <charset val="162"/>
        <scheme val="minor"/>
      </rPr>
      <t xml:space="preserve"> süt izni verilir.
(4857 sayılı İş Kanunu / Madde 74)</t>
    </r>
  </si>
  <si>
    <r>
      <t xml:space="preserve">a) İşyerinde işçi sayısı 50’ye kadar ise yıllık en fazla 20 iş günü ücretli izin verilir.
İşyerinde işçi sayısı 51 ile 100 arasında ise yıllık en fazla 30 iş günü ücretli izin verilir.
İşyerinde işçi sayısı 101 ile 200 arasında ise yıllık en fazla 40 iş günü ücretli izin verilir.
İşyerinde işçi sayısı 201 ile 500 arasında ise yıllık en fazla 60 iş günü ücretli izin verilir.
İşyerinde işçi sayısı 501 ile 1000 arasında ise yıllık en fazla 80 iş günü ücretli izin verilir.
İşyerinde işçi sayısı 1000 işçiden fazla ise yıllık en fazla işçi sayısının % 10'u kadar iş günü ücretli sendikal izin verilir.
(6. Dönem Toplu İş Sözleşmesi / Madde 36)
b) Sendikal faaliyetler için sendikanın yazılı talebi üzerine ve işverenin hizmetlerini aksatmamak suretiyle, işçilere ayrı ayrı olmadan çalışan kişi sayısı karşılığına gelen gün kadar yıllık ücretli sendikal izin verilir.
c) Temsilcilik görevlerini yerine getirmeleri için baştemsilciye haftada 1 gün, diğer temsilcilere ayda 1’er gün ücretli sendikal izin verilir.
d) Toplu iş sözleşmesi yapmak üzere yetkisi kesinleşen sendika; 
işyerinde işçi sayısı </t>
    </r>
    <r>
      <rPr>
        <b/>
        <sz val="16"/>
        <color theme="0"/>
        <rFont val="Calibri"/>
        <family val="2"/>
        <charset val="162"/>
        <scheme val="minor"/>
      </rPr>
      <t>50’ye kadar ise 1</t>
    </r>
    <r>
      <rPr>
        <sz val="16"/>
        <color theme="0"/>
        <rFont val="Calibri"/>
        <family val="2"/>
        <charset val="162"/>
        <scheme val="minor"/>
      </rPr>
      <t xml:space="preserve">,
</t>
    </r>
    <r>
      <rPr>
        <b/>
        <sz val="16"/>
        <color theme="0"/>
        <rFont val="Calibri"/>
        <family val="2"/>
        <charset val="162"/>
        <scheme val="minor"/>
      </rPr>
      <t>51 ile 100 arasında</t>
    </r>
    <r>
      <rPr>
        <sz val="16"/>
        <color theme="0"/>
        <rFont val="Calibri"/>
        <family val="2"/>
        <charset val="162"/>
        <scheme val="minor"/>
      </rPr>
      <t xml:space="preserve"> ise </t>
    </r>
    <r>
      <rPr>
        <b/>
        <sz val="16"/>
        <color theme="0"/>
        <rFont val="Calibri"/>
        <family val="2"/>
        <charset val="162"/>
        <scheme val="minor"/>
      </rPr>
      <t>en çok 2</t>
    </r>
    <r>
      <rPr>
        <sz val="16"/>
        <color theme="0"/>
        <rFont val="Calibri"/>
        <family val="2"/>
        <charset val="162"/>
        <scheme val="minor"/>
      </rPr>
      <t xml:space="preserve">,
</t>
    </r>
    <r>
      <rPr>
        <b/>
        <sz val="16"/>
        <color theme="0"/>
        <rFont val="Calibri"/>
        <family val="2"/>
        <charset val="162"/>
        <scheme val="minor"/>
      </rPr>
      <t>101 ile 500 arasında</t>
    </r>
    <r>
      <rPr>
        <sz val="16"/>
        <color theme="0"/>
        <rFont val="Calibri"/>
        <family val="2"/>
        <charset val="162"/>
        <scheme val="minor"/>
      </rPr>
      <t xml:space="preserve"> ise </t>
    </r>
    <r>
      <rPr>
        <b/>
        <sz val="16"/>
        <color theme="0"/>
        <rFont val="Calibri"/>
        <family val="2"/>
        <charset val="162"/>
        <scheme val="minor"/>
      </rPr>
      <t>en çok 3</t>
    </r>
    <r>
      <rPr>
        <sz val="16"/>
        <color theme="0"/>
        <rFont val="Calibri"/>
        <family val="2"/>
        <charset val="162"/>
        <scheme val="minor"/>
      </rPr>
      <t xml:space="preserve">,
</t>
    </r>
    <r>
      <rPr>
        <b/>
        <sz val="16"/>
        <color theme="0"/>
        <rFont val="Calibri"/>
        <family val="2"/>
        <charset val="162"/>
        <scheme val="minor"/>
      </rPr>
      <t>501 ile 1000 arasında</t>
    </r>
    <r>
      <rPr>
        <sz val="16"/>
        <color theme="0"/>
        <rFont val="Calibri"/>
        <family val="2"/>
        <charset val="162"/>
        <scheme val="minor"/>
      </rPr>
      <t xml:space="preserve"> ise </t>
    </r>
    <r>
      <rPr>
        <b/>
        <sz val="16"/>
        <color theme="0"/>
        <rFont val="Calibri"/>
        <family val="2"/>
        <charset val="162"/>
        <scheme val="minor"/>
      </rPr>
      <t>en çok 4</t>
    </r>
    <r>
      <rPr>
        <sz val="16"/>
        <color theme="0"/>
        <rFont val="Calibri"/>
        <family val="2"/>
        <charset val="162"/>
        <scheme val="minor"/>
      </rPr>
      <t xml:space="preserve">,
</t>
    </r>
    <r>
      <rPr>
        <b/>
        <sz val="16"/>
        <color theme="0"/>
        <rFont val="Calibri"/>
        <family val="2"/>
        <charset val="162"/>
        <scheme val="minor"/>
      </rPr>
      <t>1001 ile 2000 arasında</t>
    </r>
    <r>
      <rPr>
        <sz val="16"/>
        <color theme="0"/>
        <rFont val="Calibri"/>
        <family val="2"/>
        <charset val="162"/>
        <scheme val="minor"/>
      </rPr>
      <t xml:space="preserve"> ise </t>
    </r>
    <r>
      <rPr>
        <b/>
        <sz val="16"/>
        <color theme="0"/>
        <rFont val="Calibri"/>
        <family val="2"/>
        <charset val="162"/>
        <scheme val="minor"/>
      </rPr>
      <t>en çok 6</t>
    </r>
    <r>
      <rPr>
        <sz val="16"/>
        <color theme="0"/>
        <rFont val="Calibri"/>
        <family val="2"/>
        <charset val="162"/>
        <scheme val="minor"/>
      </rPr>
      <t xml:space="preserve">,
</t>
    </r>
    <r>
      <rPr>
        <b/>
        <sz val="16"/>
        <color theme="0"/>
        <rFont val="Calibri"/>
        <family val="2"/>
        <charset val="162"/>
        <scheme val="minor"/>
      </rPr>
      <t>2000’den fazla</t>
    </r>
    <r>
      <rPr>
        <sz val="16"/>
        <color theme="0"/>
        <rFont val="Calibri"/>
        <family val="2"/>
        <charset val="162"/>
        <scheme val="minor"/>
      </rPr>
      <t xml:space="preserve"> ise </t>
    </r>
    <r>
      <rPr>
        <b/>
        <sz val="16"/>
        <color theme="0"/>
        <rFont val="Calibri"/>
        <family val="2"/>
        <charset val="162"/>
        <scheme val="minor"/>
      </rPr>
      <t>en çok 8</t>
    </r>
    <r>
      <rPr>
        <sz val="16"/>
        <color theme="0"/>
        <rFont val="Calibri"/>
        <family val="2"/>
        <charset val="162"/>
        <scheme val="minor"/>
      </rPr>
      <t xml:space="preserve"> işyeri sendika temsilcisini işyerinde çalışan üyeleri arasından atayarak </t>
    </r>
    <r>
      <rPr>
        <b/>
        <sz val="16"/>
        <color theme="0"/>
        <rFont val="Calibri"/>
        <family val="2"/>
        <charset val="162"/>
        <scheme val="minor"/>
      </rPr>
      <t>15 gün içinde</t>
    </r>
    <r>
      <rPr>
        <sz val="16"/>
        <color theme="0"/>
        <rFont val="Calibri"/>
        <family val="2"/>
        <charset val="162"/>
        <scheme val="minor"/>
      </rPr>
      <t xml:space="preserve"> kimliklerini işverene bildirir. Bunlardan </t>
    </r>
    <r>
      <rPr>
        <b/>
        <sz val="16"/>
        <color theme="0"/>
        <rFont val="Calibri"/>
        <family val="2"/>
        <charset val="162"/>
        <scheme val="minor"/>
      </rPr>
      <t>biri baş temsilci</t>
    </r>
    <r>
      <rPr>
        <sz val="16"/>
        <color theme="0"/>
        <rFont val="Calibri"/>
        <family val="2"/>
        <charset val="162"/>
        <scheme val="minor"/>
      </rPr>
      <t xml:space="preserve"> olarak görevlendirilebilir. Temsilcilerin görevi, sendikanın yetkisi süresince devam eder.
(6356 sayılı Sendikalar ve Toplu İş Sözleşmesi Kanunu / Madde 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</si>
</sst>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d/mm/yyyy;@"/>
    <numFmt numFmtId="165" formatCode="0\ &quot;Gün&quot;"/>
    <numFmt numFmtId="166" formatCode="#,##0.00\ &quot;₺&quot;"/>
    <numFmt numFmtId="167" formatCode="0.000000"/>
    <numFmt numFmtId="168" formatCode="%\ 0"/>
    <numFmt numFmtId="169" formatCode="%\ 0.00"/>
    <numFmt numFmtId="170" formatCode="0.0000000"/>
    <numFmt numFmtId="171" formatCode="0.0"/>
  </numFmts>
  <fonts count="14" x14ac:knownFonts="1">
    <font>
      <sz val="11"/>
      <color rgb="FF000000"/>
      <name val="Calibri"/>
      <family val="2"/>
      <charset val="1"/>
    </font>
    <font>
      <sz val="11"/>
      <color rgb="FF000000"/>
      <name val="Calibri"/>
      <family val="2"/>
      <charset val="162"/>
    </font>
    <font>
      <sz val="11"/>
      <color rgb="FF000000"/>
      <name val="Calibri"/>
      <family val="2"/>
      <charset val="1"/>
    </font>
    <font>
      <sz val="10"/>
      <name val="Arial Tur"/>
      <charset val="162"/>
    </font>
    <font>
      <sz val="8"/>
      <name val="Calibri"/>
      <family val="2"/>
      <charset val="1"/>
    </font>
    <font>
      <sz val="16"/>
      <name val="Calibri"/>
      <family val="2"/>
      <charset val="162"/>
      <scheme val="minor"/>
    </font>
    <font>
      <b/>
      <sz val="16"/>
      <name val="Calibri"/>
      <family val="2"/>
      <charset val="162"/>
      <scheme val="minor"/>
    </font>
    <font>
      <sz val="16"/>
      <color rgb="FFFF0000"/>
      <name val="Calibri"/>
      <family val="2"/>
      <charset val="162"/>
      <scheme val="minor"/>
    </font>
    <font>
      <sz val="20"/>
      <name val="Calibri"/>
      <family val="2"/>
      <charset val="162"/>
      <scheme val="minor"/>
    </font>
    <font>
      <b/>
      <sz val="22"/>
      <name val="Calibri"/>
      <family val="2"/>
      <charset val="162"/>
      <scheme val="minor"/>
    </font>
    <font>
      <b/>
      <sz val="22"/>
      <color rgb="FFFF0000"/>
      <name val="Calibri"/>
      <family val="2"/>
      <charset val="162"/>
      <scheme val="minor"/>
    </font>
    <font>
      <sz val="15"/>
      <name val="Calibri"/>
      <family val="2"/>
      <charset val="162"/>
      <scheme val="minor"/>
    </font>
    <font>
      <sz val="16"/>
      <color theme="0"/>
      <name val="Calibri"/>
      <family val="2"/>
      <charset val="162"/>
      <scheme val="minor"/>
    </font>
    <font>
      <b/>
      <sz val="16"/>
      <color theme="0"/>
      <name val="Calibri"/>
      <family val="2"/>
      <charset val="162"/>
      <scheme val="minor"/>
    </font>
  </fonts>
  <fills count="6">
    <fill>
      <patternFill patternType="none"/>
    </fill>
    <fill>
      <patternFill patternType="gray125"/>
    </fill>
    <fill>
      <patternFill patternType="solid">
        <fgColor theme="0" tint="-0.14999847407452621"/>
        <bgColor indexed="64"/>
      </patternFill>
    </fill>
    <fill>
      <patternFill patternType="solid">
        <fgColor rgb="FFC8E1B4"/>
        <bgColor indexed="64"/>
      </patternFill>
    </fill>
    <fill>
      <patternFill patternType="solid">
        <fgColor theme="8" tint="0.79998168889431442"/>
        <bgColor indexed="64"/>
      </patternFill>
    </fill>
    <fill>
      <patternFill patternType="solid">
        <fgColor rgb="FFC8E1B4"/>
        <bgColor rgb="FFC5E0B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0" borderId="0"/>
    <xf numFmtId="0" fontId="2" fillId="0" borderId="0"/>
    <xf numFmtId="9" fontId="3" fillId="0" borderId="0" applyFont="0" applyFill="0" applyBorder="0" applyAlignment="0" applyProtection="0"/>
    <xf numFmtId="0" fontId="3" fillId="0" borderId="0" applyFont="0" applyFill="0" applyBorder="0" applyAlignment="0" applyProtection="0"/>
  </cellStyleXfs>
  <cellXfs count="83">
    <xf numFmtId="0" fontId="0" fillId="0" borderId="0" xfId="0"/>
    <xf numFmtId="0" fontId="5" fillId="2" borderId="1" xfId="2" applyFont="1" applyFill="1" applyBorder="1" applyAlignment="1" applyProtection="1">
      <alignment horizontal="center" vertical="center" wrapText="1"/>
      <protection hidden="1"/>
    </xf>
    <xf numFmtId="0" fontId="5" fillId="0" borderId="0" xfId="2" applyFont="1" applyAlignment="1" applyProtection="1">
      <alignment horizontal="center" vertical="center" wrapText="1"/>
      <protection hidden="1"/>
    </xf>
    <xf numFmtId="4" fontId="5" fillId="2" borderId="1" xfId="2" applyNumberFormat="1" applyFont="1" applyFill="1" applyBorder="1" applyAlignment="1" applyProtection="1">
      <alignment horizontal="center" vertical="center" wrapText="1"/>
      <protection hidden="1"/>
    </xf>
    <xf numFmtId="169" fontId="11" fillId="2" borderId="1" xfId="2" applyNumberFormat="1" applyFont="1" applyFill="1" applyBorder="1" applyAlignment="1" applyProtection="1">
      <alignment horizontal="center" vertical="center" wrapText="1"/>
      <protection hidden="1"/>
    </xf>
    <xf numFmtId="4" fontId="9" fillId="4" borderId="1" xfId="2" applyNumberFormat="1" applyFont="1" applyFill="1" applyBorder="1" applyAlignment="1" applyProtection="1">
      <alignment horizontal="center" vertical="center" wrapText="1"/>
      <protection hidden="1"/>
    </xf>
    <xf numFmtId="4" fontId="10" fillId="4" borderId="1" xfId="2" applyNumberFormat="1" applyFont="1" applyFill="1" applyBorder="1" applyAlignment="1" applyProtection="1">
      <alignment horizontal="center" vertical="center" wrapText="1"/>
      <protection hidden="1"/>
    </xf>
    <xf numFmtId="4" fontId="11" fillId="2" borderId="1" xfId="2" applyNumberFormat="1" applyFont="1" applyFill="1" applyBorder="1" applyAlignment="1" applyProtection="1">
      <alignment horizontal="center" vertical="center" wrapText="1"/>
      <protection hidden="1"/>
    </xf>
    <xf numFmtId="171" fontId="5" fillId="2" borderId="1" xfId="2" applyNumberFormat="1" applyFont="1" applyFill="1" applyBorder="1" applyAlignment="1" applyProtection="1">
      <alignment horizontal="center" vertical="center" wrapText="1"/>
      <protection hidden="1"/>
    </xf>
    <xf numFmtId="1" fontId="5" fillId="2" borderId="1" xfId="2" applyNumberFormat="1" applyFont="1" applyFill="1" applyBorder="1" applyAlignment="1" applyProtection="1">
      <alignment horizontal="center" vertical="center" wrapText="1"/>
      <protection hidden="1"/>
    </xf>
    <xf numFmtId="4" fontId="9" fillId="2" borderId="1" xfId="2" applyNumberFormat="1" applyFont="1" applyFill="1" applyBorder="1" applyAlignment="1" applyProtection="1">
      <alignment horizontal="center" vertical="center" wrapText="1"/>
      <protection hidden="1"/>
    </xf>
    <xf numFmtId="4" fontId="10" fillId="2" borderId="1" xfId="2" applyNumberFormat="1" applyFont="1" applyFill="1" applyBorder="1" applyAlignment="1" applyProtection="1">
      <alignment horizontal="center" vertical="center" wrapText="1"/>
      <protection hidden="1"/>
    </xf>
    <xf numFmtId="0" fontId="5" fillId="0" borderId="0" xfId="2" applyFont="1" applyAlignment="1" applyProtection="1">
      <alignment horizontal="right" vertical="center" wrapText="1"/>
      <protection hidden="1"/>
    </xf>
    <xf numFmtId="0" fontId="12" fillId="0" borderId="0" xfId="2" applyFont="1" applyAlignment="1" applyProtection="1">
      <alignment horizontal="center" vertical="center" wrapText="1"/>
      <protection hidden="1"/>
    </xf>
    <xf numFmtId="166" fontId="12" fillId="0" borderId="0" xfId="2" applyNumberFormat="1" applyFont="1" applyAlignment="1" applyProtection="1">
      <alignment horizontal="center" vertical="center" wrapText="1"/>
      <protection hidden="1"/>
    </xf>
    <xf numFmtId="165" fontId="12" fillId="0" borderId="0" xfId="2" applyNumberFormat="1" applyFont="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12" fillId="0" borderId="0" xfId="0" applyFont="1" applyAlignment="1" applyProtection="1">
      <alignment horizontal="right" vertical="center" wrapText="1"/>
      <protection hidden="1"/>
    </xf>
    <xf numFmtId="49" fontId="12" fillId="0" borderId="0" xfId="0" applyNumberFormat="1" applyFont="1" applyAlignment="1" applyProtection="1">
      <alignment horizontal="center" vertical="center" wrapText="1"/>
      <protection hidden="1"/>
    </xf>
    <xf numFmtId="0" fontId="12" fillId="0" borderId="0" xfId="3" applyFont="1" applyAlignment="1" applyProtection="1">
      <alignment horizontal="center" vertical="center" wrapText="1"/>
      <protection hidden="1"/>
    </xf>
    <xf numFmtId="2" fontId="12" fillId="0" borderId="0" xfId="3" applyNumberFormat="1" applyFont="1" applyAlignment="1" applyProtection="1">
      <alignment horizontal="center" vertical="center" wrapText="1"/>
      <protection hidden="1"/>
    </xf>
    <xf numFmtId="49" fontId="12" fillId="0" borderId="0" xfId="2" applyNumberFormat="1" applyFont="1" applyAlignment="1" applyProtection="1">
      <alignment horizontal="center" vertical="center" wrapText="1"/>
      <protection hidden="1"/>
    </xf>
    <xf numFmtId="2" fontId="12" fillId="0" borderId="0" xfId="2" applyNumberFormat="1" applyFont="1" applyAlignment="1" applyProtection="1">
      <alignment horizontal="right" vertical="center" wrapText="1"/>
      <protection hidden="1"/>
    </xf>
    <xf numFmtId="4" fontId="12" fillId="0" borderId="0" xfId="2" applyNumberFormat="1" applyFont="1" applyAlignment="1" applyProtection="1">
      <alignment horizontal="center" vertical="center" wrapText="1"/>
      <protection hidden="1"/>
    </xf>
    <xf numFmtId="164" fontId="12" fillId="0" borderId="0" xfId="2" applyNumberFormat="1" applyFont="1" applyAlignment="1" applyProtection="1">
      <alignment horizontal="center" vertical="center" wrapText="1"/>
      <protection hidden="1"/>
    </xf>
    <xf numFmtId="164" fontId="12" fillId="0" borderId="0" xfId="0" applyNumberFormat="1" applyFont="1" applyAlignment="1" applyProtection="1">
      <alignment horizontal="center" vertical="center" wrapText="1"/>
      <protection hidden="1"/>
    </xf>
    <xf numFmtId="165" fontId="12" fillId="0" borderId="0" xfId="0" applyNumberFormat="1" applyFont="1" applyAlignment="1" applyProtection="1">
      <alignment horizontal="center" vertical="center" wrapText="1"/>
      <protection hidden="1"/>
    </xf>
    <xf numFmtId="166" fontId="12" fillId="0" borderId="0" xfId="0" applyNumberFormat="1" applyFont="1" applyAlignment="1" applyProtection="1">
      <alignment horizontal="center" vertical="center" wrapText="1"/>
      <protection hidden="1"/>
    </xf>
    <xf numFmtId="2" fontId="12" fillId="0" borderId="0" xfId="2" applyNumberFormat="1" applyFont="1" applyAlignment="1" applyProtection="1">
      <alignment horizontal="center" vertical="center" wrapText="1"/>
      <protection hidden="1"/>
    </xf>
    <xf numFmtId="166" fontId="12" fillId="0" borderId="0" xfId="3" applyNumberFormat="1" applyFont="1" applyAlignment="1" applyProtection="1">
      <alignment horizontal="center" vertical="center" wrapText="1"/>
      <protection hidden="1"/>
    </xf>
    <xf numFmtId="169" fontId="12" fillId="0" borderId="0" xfId="2" applyNumberFormat="1" applyFont="1" applyAlignment="1" applyProtection="1">
      <alignment horizontal="center" vertical="center" wrapText="1"/>
      <protection hidden="1"/>
    </xf>
    <xf numFmtId="168" fontId="12" fillId="0" borderId="0" xfId="2" applyNumberFormat="1" applyFont="1" applyAlignment="1" applyProtection="1">
      <alignment horizontal="center" vertical="center" wrapText="1"/>
      <protection hidden="1"/>
    </xf>
    <xf numFmtId="169" fontId="12" fillId="0" borderId="0" xfId="4" applyNumberFormat="1" applyFont="1" applyFill="1" applyBorder="1" applyAlignment="1" applyProtection="1">
      <alignment horizontal="center" vertical="center" wrapText="1"/>
      <protection hidden="1"/>
    </xf>
    <xf numFmtId="167" fontId="12" fillId="0" borderId="0" xfId="2" applyNumberFormat="1" applyFont="1" applyAlignment="1" applyProtection="1">
      <alignment horizontal="center" vertical="center" wrapText="1"/>
      <protection hidden="1"/>
    </xf>
    <xf numFmtId="3" fontId="12" fillId="0" borderId="0" xfId="2" applyNumberFormat="1" applyFont="1" applyAlignment="1" applyProtection="1">
      <alignment horizontal="center" vertical="center" wrapText="1"/>
      <protection hidden="1"/>
    </xf>
    <xf numFmtId="166" fontId="12" fillId="0" borderId="0" xfId="4" applyNumberFormat="1" applyFont="1" applyFill="1" applyBorder="1" applyAlignment="1" applyProtection="1">
      <alignment horizontal="center" vertical="center" wrapText="1"/>
      <protection hidden="1"/>
    </xf>
    <xf numFmtId="49" fontId="12" fillId="0" borderId="0" xfId="3" applyNumberFormat="1" applyFont="1" applyAlignment="1" applyProtection="1">
      <alignment horizontal="center" vertical="center" wrapText="1"/>
      <protection hidden="1"/>
    </xf>
    <xf numFmtId="170" fontId="12" fillId="0" borderId="0" xfId="2" applyNumberFormat="1" applyFont="1" applyAlignment="1" applyProtection="1">
      <alignment horizontal="center" vertical="center" wrapText="1"/>
      <protection hidden="1"/>
    </xf>
    <xf numFmtId="1" fontId="5" fillId="3" borderId="1" xfId="2" applyNumberFormat="1" applyFont="1" applyFill="1" applyBorder="1" applyAlignment="1" applyProtection="1">
      <alignment horizontal="center" vertical="center" wrapText="1"/>
      <protection locked="0" hidden="1"/>
    </xf>
    <xf numFmtId="171" fontId="5" fillId="3" borderId="1" xfId="3" applyNumberFormat="1" applyFont="1" applyFill="1" applyBorder="1" applyAlignment="1" applyProtection="1">
      <alignment horizontal="center" vertical="center" wrapText="1"/>
      <protection locked="0" hidden="1"/>
    </xf>
    <xf numFmtId="2" fontId="5" fillId="5" borderId="1" xfId="2" applyNumberFormat="1" applyFont="1" applyFill="1" applyBorder="1" applyAlignment="1" applyProtection="1">
      <alignment horizontal="center" vertical="center" wrapText="1"/>
      <protection locked="0" hidden="1"/>
    </xf>
    <xf numFmtId="168" fontId="5" fillId="3" borderId="1" xfId="2" applyNumberFormat="1" applyFont="1" applyFill="1" applyBorder="1" applyAlignment="1" applyProtection="1">
      <alignment horizontal="center" vertical="center" wrapText="1"/>
      <protection locked="0" hidden="1"/>
    </xf>
    <xf numFmtId="2" fontId="5" fillId="2" borderId="12" xfId="2" applyNumberFormat="1" applyFont="1" applyFill="1" applyBorder="1" applyAlignment="1" applyProtection="1">
      <alignment horizontal="center" textRotation="90" wrapText="1"/>
      <protection hidden="1"/>
    </xf>
    <xf numFmtId="2" fontId="5" fillId="2" borderId="13" xfId="2" applyNumberFormat="1" applyFont="1" applyFill="1" applyBorder="1" applyAlignment="1" applyProtection="1">
      <alignment horizontal="center" textRotation="90" wrapText="1"/>
      <protection hidden="1"/>
    </xf>
    <xf numFmtId="2" fontId="5" fillId="2" borderId="14" xfId="2" applyNumberFormat="1" applyFont="1" applyFill="1" applyBorder="1" applyAlignment="1" applyProtection="1">
      <alignment horizontal="center" textRotation="90" wrapText="1"/>
      <protection hidden="1"/>
    </xf>
    <xf numFmtId="2" fontId="5" fillId="2" borderId="5" xfId="2" applyNumberFormat="1" applyFont="1" applyFill="1" applyBorder="1" applyAlignment="1" applyProtection="1">
      <alignment horizontal="center" textRotation="90" wrapText="1"/>
      <protection hidden="1"/>
    </xf>
    <xf numFmtId="2" fontId="5" fillId="2" borderId="6" xfId="2" applyNumberFormat="1" applyFont="1" applyFill="1" applyBorder="1" applyAlignment="1" applyProtection="1">
      <alignment horizontal="center" textRotation="90" wrapText="1"/>
      <protection hidden="1"/>
    </xf>
    <xf numFmtId="2" fontId="5" fillId="2" borderId="7" xfId="2" applyNumberFormat="1" applyFont="1" applyFill="1" applyBorder="1" applyAlignment="1" applyProtection="1">
      <alignment horizontal="center" textRotation="90" wrapText="1"/>
      <protection hidden="1"/>
    </xf>
    <xf numFmtId="2" fontId="5" fillId="2" borderId="8" xfId="2" applyNumberFormat="1" applyFont="1" applyFill="1" applyBorder="1" applyAlignment="1" applyProtection="1">
      <alignment horizontal="center" textRotation="90" wrapText="1"/>
      <protection hidden="1"/>
    </xf>
    <xf numFmtId="2" fontId="5" fillId="2" borderId="0" xfId="2" applyNumberFormat="1" applyFont="1" applyFill="1" applyAlignment="1" applyProtection="1">
      <alignment horizontal="center" textRotation="90" wrapText="1"/>
      <protection hidden="1"/>
    </xf>
    <xf numFmtId="2" fontId="5" fillId="2" borderId="9" xfId="2" applyNumberFormat="1" applyFont="1" applyFill="1" applyBorder="1" applyAlignment="1" applyProtection="1">
      <alignment horizontal="center" textRotation="90" wrapText="1"/>
      <protection hidden="1"/>
    </xf>
    <xf numFmtId="2" fontId="5" fillId="2" borderId="2" xfId="2" applyNumberFormat="1" applyFont="1" applyFill="1" applyBorder="1" applyAlignment="1" applyProtection="1">
      <alignment horizontal="center" textRotation="90" wrapText="1"/>
      <protection hidden="1"/>
    </xf>
    <xf numFmtId="2" fontId="5" fillId="2" borderId="3" xfId="2" applyNumberFormat="1" applyFont="1" applyFill="1" applyBorder="1" applyAlignment="1" applyProtection="1">
      <alignment horizontal="center" textRotation="90" wrapText="1"/>
      <protection hidden="1"/>
    </xf>
    <xf numFmtId="2" fontId="5" fillId="2" borderId="4" xfId="2" applyNumberFormat="1" applyFont="1" applyFill="1" applyBorder="1" applyAlignment="1" applyProtection="1">
      <alignment horizontal="center" textRotation="90" wrapText="1"/>
      <protection hidden="1"/>
    </xf>
    <xf numFmtId="0" fontId="5" fillId="2" borderId="12" xfId="0" applyFont="1" applyFill="1" applyBorder="1" applyAlignment="1" applyProtection="1">
      <alignment horizontal="center" vertical="center" wrapText="1"/>
      <protection hidden="1"/>
    </xf>
    <xf numFmtId="0" fontId="5" fillId="2" borderId="13" xfId="0" applyFont="1" applyFill="1" applyBorder="1" applyAlignment="1" applyProtection="1">
      <alignment horizontal="center" vertical="center" wrapText="1"/>
      <protection hidden="1"/>
    </xf>
    <xf numFmtId="0" fontId="5" fillId="2" borderId="14" xfId="0" applyFont="1" applyFill="1" applyBorder="1" applyAlignment="1" applyProtection="1">
      <alignment horizontal="center" vertical="center" wrapText="1"/>
      <protection hidden="1"/>
    </xf>
    <xf numFmtId="2" fontId="5" fillId="2" borderId="1" xfId="2" applyNumberFormat="1" applyFont="1" applyFill="1" applyBorder="1" applyAlignment="1" applyProtection="1">
      <alignment horizontal="center" textRotation="90" wrapText="1"/>
      <protection hidden="1"/>
    </xf>
    <xf numFmtId="2" fontId="5" fillId="2" borderId="1" xfId="0" applyNumberFormat="1" applyFont="1" applyFill="1" applyBorder="1" applyAlignment="1" applyProtection="1">
      <alignment horizontal="center" textRotation="90" wrapText="1"/>
      <protection hidden="1"/>
    </xf>
    <xf numFmtId="2" fontId="8" fillId="3" borderId="1" xfId="2" applyNumberFormat="1" applyFont="1" applyFill="1" applyBorder="1" applyAlignment="1" applyProtection="1">
      <alignment horizontal="center" vertical="center" textRotation="90" wrapText="1"/>
      <protection locked="0" hidden="1"/>
    </xf>
    <xf numFmtId="0" fontId="5" fillId="2" borderId="9" xfId="0" applyFont="1" applyFill="1" applyBorder="1" applyAlignment="1" applyProtection="1">
      <alignment horizontal="center" vertical="center" wrapText="1"/>
      <protection hidden="1"/>
    </xf>
    <xf numFmtId="0" fontId="5" fillId="2" borderId="0" xfId="0" applyFont="1" applyFill="1" applyAlignment="1" applyProtection="1">
      <alignment horizontal="left" vertical="center" wrapText="1"/>
      <protection hidden="1"/>
    </xf>
    <xf numFmtId="0" fontId="5" fillId="2" borderId="5" xfId="0" applyFont="1" applyFill="1" applyBorder="1" applyAlignment="1" applyProtection="1">
      <alignment horizontal="center" vertical="center" wrapText="1"/>
      <protection hidden="1"/>
    </xf>
    <xf numFmtId="0" fontId="5" fillId="2" borderId="6" xfId="0" applyFont="1" applyFill="1" applyBorder="1" applyAlignment="1" applyProtection="1">
      <alignment horizontal="center" vertical="center" wrapText="1"/>
      <protection hidden="1"/>
    </xf>
    <xf numFmtId="0" fontId="5" fillId="2" borderId="7" xfId="0" applyFont="1" applyFill="1" applyBorder="1" applyAlignment="1" applyProtection="1">
      <alignment horizontal="center" vertical="center" wrapText="1"/>
      <protection hidden="1"/>
    </xf>
    <xf numFmtId="0" fontId="5" fillId="3" borderId="1" xfId="2" applyFont="1" applyFill="1" applyBorder="1" applyAlignment="1" applyProtection="1">
      <alignment horizontal="center" vertical="center" textRotation="90" wrapText="1"/>
      <protection locked="0" hidden="1"/>
    </xf>
    <xf numFmtId="0" fontId="5" fillId="2" borderId="2"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5" fillId="2" borderId="4" xfId="0" applyFont="1" applyFill="1" applyBorder="1" applyAlignment="1" applyProtection="1">
      <alignment horizontal="center" vertical="center" wrapText="1"/>
      <protection hidden="1"/>
    </xf>
    <xf numFmtId="0" fontId="5" fillId="2" borderId="1" xfId="2" applyFont="1" applyFill="1" applyBorder="1" applyAlignment="1" applyProtection="1">
      <alignment horizontal="center" vertical="center" wrapText="1"/>
      <protection hidden="1"/>
    </xf>
    <xf numFmtId="2" fontId="7" fillId="2" borderId="1" xfId="2" applyNumberFormat="1" applyFont="1" applyFill="1" applyBorder="1" applyAlignment="1" applyProtection="1">
      <alignment horizontal="center" textRotation="90" wrapText="1"/>
      <protection hidden="1"/>
    </xf>
    <xf numFmtId="0" fontId="5" fillId="2" borderId="8" xfId="0" applyFont="1" applyFill="1" applyBorder="1" applyAlignment="1" applyProtection="1">
      <alignment horizontal="center" vertical="center" wrapText="1"/>
      <protection hidden="1"/>
    </xf>
    <xf numFmtId="0" fontId="5" fillId="3" borderId="1" xfId="0" applyFont="1" applyFill="1" applyBorder="1" applyAlignment="1" applyProtection="1">
      <alignment horizontal="center" vertical="center" textRotation="90" wrapText="1"/>
      <protection locked="0" hidden="1"/>
    </xf>
    <xf numFmtId="2" fontId="5" fillId="2" borderId="10" xfId="0" applyNumberFormat="1" applyFont="1" applyFill="1" applyBorder="1" applyAlignment="1" applyProtection="1">
      <alignment horizontal="center" vertical="center" wrapText="1"/>
      <protection hidden="1"/>
    </xf>
    <xf numFmtId="2" fontId="5" fillId="2" borderId="11" xfId="0" applyNumberFormat="1" applyFont="1" applyFill="1" applyBorder="1" applyAlignment="1" applyProtection="1">
      <alignment horizontal="center" vertical="center" wrapText="1"/>
      <protection hidden="1"/>
    </xf>
    <xf numFmtId="166" fontId="8" fillId="2" borderId="7" xfId="2" applyNumberFormat="1" applyFont="1" applyFill="1" applyBorder="1" applyAlignment="1" applyProtection="1">
      <alignment horizontal="right" vertical="center" textRotation="90" wrapText="1"/>
      <protection hidden="1"/>
    </xf>
    <xf numFmtId="166" fontId="8" fillId="2" borderId="9" xfId="2" applyNumberFormat="1" applyFont="1" applyFill="1" applyBorder="1" applyAlignment="1" applyProtection="1">
      <alignment horizontal="right" vertical="center" textRotation="90" wrapText="1"/>
      <protection hidden="1"/>
    </xf>
    <xf numFmtId="166" fontId="8" fillId="2" borderId="4" xfId="2" applyNumberFormat="1" applyFont="1" applyFill="1" applyBorder="1" applyAlignment="1" applyProtection="1">
      <alignment horizontal="right" vertical="center" textRotation="90" wrapText="1"/>
      <protection hidden="1"/>
    </xf>
    <xf numFmtId="2" fontId="8" fillId="2" borderId="5" xfId="2" applyNumberFormat="1" applyFont="1" applyFill="1" applyBorder="1" applyAlignment="1" applyProtection="1">
      <alignment horizontal="center" vertical="center" textRotation="90" wrapText="1"/>
      <protection hidden="1"/>
    </xf>
    <xf numFmtId="2" fontId="8" fillId="2" borderId="8" xfId="2" applyNumberFormat="1" applyFont="1" applyFill="1" applyBorder="1" applyAlignment="1" applyProtection="1">
      <alignment horizontal="center" vertical="center" textRotation="90" wrapText="1"/>
      <protection hidden="1"/>
    </xf>
    <xf numFmtId="2" fontId="8" fillId="2" borderId="2" xfId="2" applyNumberFormat="1" applyFont="1" applyFill="1" applyBorder="1" applyAlignment="1" applyProtection="1">
      <alignment horizontal="center" vertical="center" textRotation="90" wrapText="1"/>
      <protection hidden="1"/>
    </xf>
    <xf numFmtId="0" fontId="5" fillId="2" borderId="1" xfId="2" applyFont="1" applyFill="1" applyBorder="1" applyAlignment="1" applyProtection="1">
      <alignment horizontal="center" vertical="center" wrapText="1"/>
      <protection locked="0"/>
    </xf>
    <xf numFmtId="2" fontId="5" fillId="2" borderId="1" xfId="2" applyNumberFormat="1" applyFont="1" applyFill="1" applyBorder="1" applyAlignment="1" applyProtection="1">
      <alignment horizontal="center" vertical="center" wrapText="1"/>
      <protection locked="0"/>
    </xf>
  </cellXfs>
  <cellStyles count="6">
    <cellStyle name="Açıklama Metni" xfId="1" builtinId="53" customBuiltin="1"/>
    <cellStyle name="Normal" xfId="0" builtinId="0"/>
    <cellStyle name="Normal 2" xfId="2" xr:uid="{00000000-0005-0000-0000-000002000000}"/>
    <cellStyle name="Normal 2 2" xfId="3" xr:uid="{00000000-0005-0000-0000-000003000000}"/>
    <cellStyle name="Virgül 2" xfId="5" xr:uid="{00000000-0005-0000-0000-000004000000}"/>
    <cellStyle name="Yüzde 2" xfId="4" xr:uid="{00000000-0005-0000-0000-00000500000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E699"/>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8CBAD"/>
      <rgbColor rgb="FF3366FF"/>
      <rgbColor rgb="FF33CCCC"/>
      <rgbColor rgb="FF99CC00"/>
      <rgbColor rgb="FFFFCC00"/>
      <rgbColor rgb="FFFF9900"/>
      <rgbColor rgb="FFFF3333"/>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DAEEF3"/>
      <color rgb="FFC8E1B4"/>
      <color rgb="FF003300"/>
      <color rgb="FF9933FF"/>
      <color rgb="FFAAD7E1"/>
      <color rgb="FFAAD7DC"/>
      <color rgb="FFAAD7E6"/>
      <color rgb="FFAACDE6"/>
      <color rgb="FFAFCDE6"/>
      <color rgb="FFAFE1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821142851852943"/>
          <c:y val="1.6407513119655142E-2"/>
          <c:w val="0.22938183964581099"/>
          <c:h val="0.96718497376068968"/>
        </c:manualLayout>
      </c:layout>
      <c:barChart>
        <c:barDir val="bar"/>
        <c:grouping val="clustered"/>
        <c:varyColors val="0"/>
        <c:ser>
          <c:idx val="0"/>
          <c:order val="0"/>
          <c:spPr>
            <a:solidFill>
              <a:schemeClr val="tx1"/>
            </a:solidFill>
            <a:ln>
              <a:noFill/>
            </a:ln>
            <a:effectLst/>
          </c:spPr>
          <c:invertIfNegative val="0"/>
          <c:dPt>
            <c:idx val="10"/>
            <c:invertIfNegative val="0"/>
            <c:bubble3D val="0"/>
            <c:spPr>
              <a:solidFill>
                <a:schemeClr val="tx1"/>
              </a:solidFill>
              <a:ln>
                <a:noFill/>
              </a:ln>
              <a:effectLst/>
            </c:spPr>
            <c:extLst>
              <c:ext xmlns:c16="http://schemas.microsoft.com/office/drawing/2014/chart" uri="{C3380CC4-5D6E-409C-BE32-E72D297353CC}">
                <c16:uniqueId val="{00000035-7CFE-44BF-A422-9711557B250B}"/>
              </c:ext>
            </c:extLst>
          </c:dPt>
          <c:dPt>
            <c:idx val="11"/>
            <c:invertIfNegative val="0"/>
            <c:bubble3D val="0"/>
            <c:spPr>
              <a:solidFill>
                <a:srgbClr val="C00000"/>
              </a:solidFill>
              <a:ln>
                <a:noFill/>
              </a:ln>
              <a:effectLst/>
            </c:spPr>
            <c:extLst>
              <c:ext xmlns:c16="http://schemas.microsoft.com/office/drawing/2014/chart" uri="{C3380CC4-5D6E-409C-BE32-E72D297353CC}">
                <c16:uniqueId val="{00000027-15C5-4CF9-A126-8061EA1D968F}"/>
              </c:ext>
            </c:extLst>
          </c:dPt>
          <c:dPt>
            <c:idx val="12"/>
            <c:invertIfNegative val="0"/>
            <c:bubble3D val="0"/>
            <c:spPr>
              <a:solidFill>
                <a:srgbClr val="C00000"/>
              </a:solidFill>
              <a:ln>
                <a:noFill/>
              </a:ln>
              <a:effectLst/>
            </c:spPr>
            <c:extLst>
              <c:ext xmlns:c16="http://schemas.microsoft.com/office/drawing/2014/chart" uri="{C3380CC4-5D6E-409C-BE32-E72D297353CC}">
                <c16:uniqueId val="{00000028-15C5-4CF9-A126-8061EA1D968F}"/>
              </c:ext>
            </c:extLst>
          </c:dPt>
          <c:dPt>
            <c:idx val="13"/>
            <c:invertIfNegative val="0"/>
            <c:bubble3D val="0"/>
            <c:spPr>
              <a:solidFill>
                <a:srgbClr val="C00000"/>
              </a:solidFill>
              <a:ln>
                <a:noFill/>
              </a:ln>
              <a:effectLst/>
            </c:spPr>
            <c:extLst>
              <c:ext xmlns:c16="http://schemas.microsoft.com/office/drawing/2014/chart" uri="{C3380CC4-5D6E-409C-BE32-E72D297353CC}">
                <c16:uniqueId val="{00000029-15C5-4CF9-A126-8061EA1D968F}"/>
              </c:ext>
            </c:extLst>
          </c:dPt>
          <c:dPt>
            <c:idx val="14"/>
            <c:invertIfNegative val="0"/>
            <c:bubble3D val="0"/>
            <c:spPr>
              <a:solidFill>
                <a:srgbClr val="C00000"/>
              </a:solidFill>
              <a:ln>
                <a:noFill/>
              </a:ln>
              <a:effectLst/>
            </c:spPr>
            <c:extLst>
              <c:ext xmlns:c16="http://schemas.microsoft.com/office/drawing/2014/chart" uri="{C3380CC4-5D6E-409C-BE32-E72D297353CC}">
                <c16:uniqueId val="{0000002A-15C5-4CF9-A126-8061EA1D968F}"/>
              </c:ext>
            </c:extLst>
          </c:dPt>
          <c:dPt>
            <c:idx val="15"/>
            <c:invertIfNegative val="0"/>
            <c:bubble3D val="0"/>
            <c:spPr>
              <a:solidFill>
                <a:srgbClr val="C00000"/>
              </a:solidFill>
              <a:ln>
                <a:noFill/>
              </a:ln>
              <a:effectLst/>
            </c:spPr>
            <c:extLst>
              <c:ext xmlns:c16="http://schemas.microsoft.com/office/drawing/2014/chart" uri="{C3380CC4-5D6E-409C-BE32-E72D297353CC}">
                <c16:uniqueId val="{0000002B-15C5-4CF9-A126-8061EA1D968F}"/>
              </c:ext>
            </c:extLst>
          </c:dPt>
          <c:dPt>
            <c:idx val="16"/>
            <c:invertIfNegative val="0"/>
            <c:bubble3D val="0"/>
            <c:spPr>
              <a:solidFill>
                <a:srgbClr val="C00000"/>
              </a:solidFill>
              <a:ln>
                <a:noFill/>
              </a:ln>
              <a:effectLst/>
            </c:spPr>
            <c:extLst>
              <c:ext xmlns:c16="http://schemas.microsoft.com/office/drawing/2014/chart" uri="{C3380CC4-5D6E-409C-BE32-E72D297353CC}">
                <c16:uniqueId val="{0000002C-15C5-4CF9-A126-8061EA1D968F}"/>
              </c:ext>
            </c:extLst>
          </c:dPt>
          <c:dPt>
            <c:idx val="17"/>
            <c:invertIfNegative val="0"/>
            <c:bubble3D val="0"/>
            <c:spPr>
              <a:solidFill>
                <a:srgbClr val="C00000"/>
              </a:solidFill>
              <a:ln>
                <a:noFill/>
              </a:ln>
              <a:effectLst/>
            </c:spPr>
            <c:extLst>
              <c:ext xmlns:c16="http://schemas.microsoft.com/office/drawing/2014/chart" uri="{C3380CC4-5D6E-409C-BE32-E72D297353CC}">
                <c16:uniqueId val="{0000002D-15C5-4CF9-A126-8061EA1D968F}"/>
              </c:ext>
            </c:extLst>
          </c:dPt>
          <c:dPt>
            <c:idx val="18"/>
            <c:invertIfNegative val="0"/>
            <c:bubble3D val="0"/>
            <c:spPr>
              <a:solidFill>
                <a:schemeClr val="bg1">
                  <a:lumMod val="50000"/>
                </a:schemeClr>
              </a:solidFill>
              <a:ln>
                <a:noFill/>
              </a:ln>
              <a:effectLst/>
            </c:spPr>
            <c:extLst>
              <c:ext xmlns:c16="http://schemas.microsoft.com/office/drawing/2014/chart" uri="{C3380CC4-5D6E-409C-BE32-E72D297353CC}">
                <c16:uniqueId val="{00000036-B11B-4591-90FE-4D23434FBFCF}"/>
              </c:ext>
            </c:extLst>
          </c:dPt>
          <c:dPt>
            <c:idx val="20"/>
            <c:invertIfNegative val="0"/>
            <c:bubble3D val="0"/>
            <c:spPr>
              <a:solidFill>
                <a:schemeClr val="tx1"/>
              </a:solidFill>
              <a:ln>
                <a:noFill/>
              </a:ln>
              <a:effectLst/>
            </c:spPr>
            <c:extLst>
              <c:ext xmlns:c16="http://schemas.microsoft.com/office/drawing/2014/chart" uri="{C3380CC4-5D6E-409C-BE32-E72D297353CC}">
                <c16:uniqueId val="{0000000F-45CA-4018-8A5C-C7D91A61B798}"/>
              </c:ext>
            </c:extLst>
          </c:dPt>
          <c:dPt>
            <c:idx val="21"/>
            <c:invertIfNegative val="0"/>
            <c:bubble3D val="0"/>
            <c:spPr>
              <a:solidFill>
                <a:schemeClr val="tx1"/>
              </a:solidFill>
              <a:ln>
                <a:noFill/>
              </a:ln>
              <a:effectLst/>
            </c:spPr>
            <c:extLst>
              <c:ext xmlns:c16="http://schemas.microsoft.com/office/drawing/2014/chart" uri="{C3380CC4-5D6E-409C-BE32-E72D297353CC}">
                <c16:uniqueId val="{0000000E-45CA-4018-8A5C-C7D91A61B798}"/>
              </c:ext>
            </c:extLst>
          </c:dPt>
          <c:dPt>
            <c:idx val="22"/>
            <c:invertIfNegative val="0"/>
            <c:bubble3D val="0"/>
            <c:spPr>
              <a:solidFill>
                <a:schemeClr val="tx1"/>
              </a:solidFill>
              <a:ln>
                <a:noFill/>
              </a:ln>
              <a:effectLst/>
            </c:spPr>
            <c:extLst>
              <c:ext xmlns:c16="http://schemas.microsoft.com/office/drawing/2014/chart" uri="{C3380CC4-5D6E-409C-BE32-E72D297353CC}">
                <c16:uniqueId val="{0000000D-45CA-4018-8A5C-C7D91A61B798}"/>
              </c:ext>
            </c:extLst>
          </c:dPt>
          <c:dPt>
            <c:idx val="23"/>
            <c:invertIfNegative val="0"/>
            <c:bubble3D val="0"/>
            <c:spPr>
              <a:solidFill>
                <a:schemeClr val="tx1"/>
              </a:solidFill>
              <a:ln>
                <a:noFill/>
              </a:ln>
              <a:effectLst/>
            </c:spPr>
            <c:extLst>
              <c:ext xmlns:c16="http://schemas.microsoft.com/office/drawing/2014/chart" uri="{C3380CC4-5D6E-409C-BE32-E72D297353CC}">
                <c16:uniqueId val="{00000015-E42F-428B-802F-3B6F8ADE344D}"/>
              </c:ext>
            </c:extLst>
          </c:dPt>
          <c:dPt>
            <c:idx val="24"/>
            <c:invertIfNegative val="0"/>
            <c:bubble3D val="0"/>
            <c:spPr>
              <a:solidFill>
                <a:schemeClr val="tx1"/>
              </a:solidFill>
              <a:ln>
                <a:noFill/>
              </a:ln>
              <a:effectLst/>
            </c:spPr>
            <c:extLst>
              <c:ext xmlns:c16="http://schemas.microsoft.com/office/drawing/2014/chart" uri="{C3380CC4-5D6E-409C-BE32-E72D297353CC}">
                <c16:uniqueId val="{0000000A-45CA-4018-8A5C-C7D91A61B798}"/>
              </c:ext>
            </c:extLst>
          </c:dPt>
          <c:dPt>
            <c:idx val="25"/>
            <c:invertIfNegative val="0"/>
            <c:bubble3D val="0"/>
            <c:spPr>
              <a:solidFill>
                <a:schemeClr val="tx1"/>
              </a:solidFill>
              <a:ln>
                <a:noFill/>
              </a:ln>
              <a:effectLst/>
            </c:spPr>
            <c:extLst>
              <c:ext xmlns:c16="http://schemas.microsoft.com/office/drawing/2014/chart" uri="{C3380CC4-5D6E-409C-BE32-E72D297353CC}">
                <c16:uniqueId val="{00000009-45CA-4018-8A5C-C7D91A61B798}"/>
              </c:ext>
            </c:extLst>
          </c:dPt>
          <c:dPt>
            <c:idx val="26"/>
            <c:invertIfNegative val="0"/>
            <c:bubble3D val="0"/>
            <c:spPr>
              <a:solidFill>
                <a:srgbClr val="C00000"/>
              </a:solidFill>
              <a:ln>
                <a:noFill/>
              </a:ln>
              <a:effectLst/>
            </c:spPr>
            <c:extLst>
              <c:ext xmlns:c16="http://schemas.microsoft.com/office/drawing/2014/chart" uri="{C3380CC4-5D6E-409C-BE32-E72D297353CC}">
                <c16:uniqueId val="{0000000B-45CA-4018-8A5C-C7D91A61B798}"/>
              </c:ext>
            </c:extLst>
          </c:dPt>
          <c:dPt>
            <c:idx val="27"/>
            <c:invertIfNegative val="0"/>
            <c:bubble3D val="0"/>
            <c:spPr>
              <a:solidFill>
                <a:srgbClr val="C00000"/>
              </a:solidFill>
              <a:ln>
                <a:noFill/>
              </a:ln>
              <a:effectLst/>
            </c:spPr>
            <c:extLst>
              <c:ext xmlns:c16="http://schemas.microsoft.com/office/drawing/2014/chart" uri="{C3380CC4-5D6E-409C-BE32-E72D297353CC}">
                <c16:uniqueId val="{00000008-45CA-4018-8A5C-C7D91A61B798}"/>
              </c:ext>
            </c:extLst>
          </c:dPt>
          <c:dPt>
            <c:idx val="28"/>
            <c:invertIfNegative val="0"/>
            <c:bubble3D val="0"/>
            <c:spPr>
              <a:solidFill>
                <a:srgbClr val="C00000"/>
              </a:solidFill>
              <a:ln>
                <a:noFill/>
              </a:ln>
              <a:effectLst/>
            </c:spPr>
            <c:extLst>
              <c:ext xmlns:c16="http://schemas.microsoft.com/office/drawing/2014/chart" uri="{C3380CC4-5D6E-409C-BE32-E72D297353CC}">
                <c16:uniqueId val="{0000000C-45CA-4018-8A5C-C7D91A61B798}"/>
              </c:ext>
            </c:extLst>
          </c:dPt>
          <c:dPt>
            <c:idx val="29"/>
            <c:invertIfNegative val="0"/>
            <c:bubble3D val="0"/>
            <c:spPr>
              <a:solidFill>
                <a:srgbClr val="C00000"/>
              </a:solidFill>
              <a:ln>
                <a:noFill/>
              </a:ln>
              <a:effectLst/>
            </c:spPr>
            <c:extLst>
              <c:ext xmlns:c16="http://schemas.microsoft.com/office/drawing/2014/chart" uri="{C3380CC4-5D6E-409C-BE32-E72D297353CC}">
                <c16:uniqueId val="{00000007-45CA-4018-8A5C-C7D91A61B798}"/>
              </c:ext>
            </c:extLst>
          </c:dPt>
          <c:dPt>
            <c:idx val="30"/>
            <c:invertIfNegative val="0"/>
            <c:bubble3D val="0"/>
            <c:spPr>
              <a:solidFill>
                <a:srgbClr val="C00000"/>
              </a:solidFill>
              <a:ln>
                <a:noFill/>
              </a:ln>
              <a:effectLst/>
            </c:spPr>
            <c:extLst>
              <c:ext xmlns:c16="http://schemas.microsoft.com/office/drawing/2014/chart" uri="{C3380CC4-5D6E-409C-BE32-E72D297353CC}">
                <c16:uniqueId val="{00000013-D68E-4191-8C49-7635405731D1}"/>
              </c:ext>
            </c:extLst>
          </c:dPt>
          <c:dPt>
            <c:idx val="31"/>
            <c:invertIfNegative val="0"/>
            <c:bubble3D val="0"/>
            <c:spPr>
              <a:solidFill>
                <a:srgbClr val="C00000"/>
              </a:solidFill>
              <a:ln>
                <a:noFill/>
              </a:ln>
              <a:effectLst/>
            </c:spPr>
            <c:extLst>
              <c:ext xmlns:c16="http://schemas.microsoft.com/office/drawing/2014/chart" uri="{C3380CC4-5D6E-409C-BE32-E72D297353CC}">
                <c16:uniqueId val="{00000017-D7E6-45C6-BD44-9DAF6A5B6F82}"/>
              </c:ext>
            </c:extLst>
          </c:dPt>
          <c:dPt>
            <c:idx val="32"/>
            <c:invertIfNegative val="0"/>
            <c:bubble3D val="0"/>
            <c:spPr>
              <a:solidFill>
                <a:srgbClr val="C00000"/>
              </a:solidFill>
              <a:ln>
                <a:noFill/>
              </a:ln>
              <a:effectLst/>
            </c:spPr>
            <c:extLst>
              <c:ext xmlns:c16="http://schemas.microsoft.com/office/drawing/2014/chart" uri="{C3380CC4-5D6E-409C-BE32-E72D297353CC}">
                <c16:uniqueId val="{00000018-D7E6-45C6-BD44-9DAF6A5B6F82}"/>
              </c:ext>
            </c:extLst>
          </c:dPt>
          <c:dPt>
            <c:idx val="33"/>
            <c:invertIfNegative val="0"/>
            <c:bubble3D val="0"/>
            <c:spPr>
              <a:solidFill>
                <a:srgbClr val="C00000"/>
              </a:solidFill>
              <a:ln>
                <a:noFill/>
              </a:ln>
              <a:effectLst/>
            </c:spPr>
            <c:extLst>
              <c:ext xmlns:c16="http://schemas.microsoft.com/office/drawing/2014/chart" uri="{C3380CC4-5D6E-409C-BE32-E72D297353CC}">
                <c16:uniqueId val="{0000001D-B20F-4A15-8DC8-56B8EB5F98BA}"/>
              </c:ext>
            </c:extLst>
          </c:dPt>
          <c:dPt>
            <c:idx val="34"/>
            <c:invertIfNegative val="0"/>
            <c:bubble3D val="0"/>
            <c:spPr>
              <a:solidFill>
                <a:srgbClr val="C00000"/>
              </a:solidFill>
              <a:ln>
                <a:noFill/>
              </a:ln>
              <a:effectLst/>
            </c:spPr>
            <c:extLst>
              <c:ext xmlns:c16="http://schemas.microsoft.com/office/drawing/2014/chart" uri="{C3380CC4-5D6E-409C-BE32-E72D297353CC}">
                <c16:uniqueId val="{0000001C-B20F-4A15-8DC8-56B8EB5F98BA}"/>
              </c:ext>
            </c:extLst>
          </c:dPt>
          <c:dPt>
            <c:idx val="35"/>
            <c:invertIfNegative val="0"/>
            <c:bubble3D val="0"/>
            <c:spPr>
              <a:solidFill>
                <a:srgbClr val="C00000"/>
              </a:solidFill>
              <a:ln>
                <a:noFill/>
              </a:ln>
              <a:effectLst/>
            </c:spPr>
            <c:extLst>
              <c:ext xmlns:c16="http://schemas.microsoft.com/office/drawing/2014/chart" uri="{C3380CC4-5D6E-409C-BE32-E72D297353CC}">
                <c16:uniqueId val="{0000001E-B20F-4A15-8DC8-56B8EB5F98BA}"/>
              </c:ext>
            </c:extLst>
          </c:dPt>
          <c:dPt>
            <c:idx val="36"/>
            <c:invertIfNegative val="0"/>
            <c:bubble3D val="0"/>
            <c:spPr>
              <a:solidFill>
                <a:srgbClr val="C00000"/>
              </a:solidFill>
              <a:ln>
                <a:noFill/>
              </a:ln>
              <a:effectLst/>
            </c:spPr>
            <c:extLst>
              <c:ext xmlns:c16="http://schemas.microsoft.com/office/drawing/2014/chart" uri="{C3380CC4-5D6E-409C-BE32-E72D297353CC}">
                <c16:uniqueId val="{0000001B-B20F-4A15-8DC8-56B8EB5F98BA}"/>
              </c:ext>
            </c:extLst>
          </c:dPt>
          <c:dPt>
            <c:idx val="37"/>
            <c:invertIfNegative val="0"/>
            <c:bubble3D val="0"/>
            <c:spPr>
              <a:solidFill>
                <a:srgbClr val="C00000"/>
              </a:solidFill>
              <a:ln>
                <a:noFill/>
              </a:ln>
              <a:effectLst/>
            </c:spPr>
            <c:extLst>
              <c:ext xmlns:c16="http://schemas.microsoft.com/office/drawing/2014/chart" uri="{C3380CC4-5D6E-409C-BE32-E72D297353CC}">
                <c16:uniqueId val="{00000023-8CC3-4E54-9960-0F980A27CEC9}"/>
              </c:ext>
            </c:extLst>
          </c:dPt>
          <c:dPt>
            <c:idx val="38"/>
            <c:invertIfNegative val="0"/>
            <c:bubble3D val="0"/>
            <c:spPr>
              <a:solidFill>
                <a:schemeClr val="bg1">
                  <a:lumMod val="50000"/>
                </a:schemeClr>
              </a:solidFill>
              <a:ln>
                <a:noFill/>
              </a:ln>
              <a:effectLst/>
            </c:spPr>
            <c:extLst>
              <c:ext xmlns:c16="http://schemas.microsoft.com/office/drawing/2014/chart" uri="{C3380CC4-5D6E-409C-BE32-E72D297353CC}">
                <c16:uniqueId val="{00000024-8CC3-4E54-9960-0F980A27CEC9}"/>
              </c:ext>
            </c:extLst>
          </c:dPt>
          <c:dLbls>
            <c:spPr>
              <a:noFill/>
              <a:ln>
                <a:noFill/>
              </a:ln>
              <a:effectLst/>
            </c:spPr>
            <c:txPr>
              <a:bodyPr rot="0" spcFirstLastPara="1" vertOverflow="ellipsis" vert="horz" wrap="square" anchor="ctr" anchorCtr="1"/>
              <a:lstStyle/>
              <a:p>
                <a:pPr>
                  <a:defRPr sz="1600" b="0" i="0" u="none" strike="noStrike" kern="1200" baseline="0">
                    <a:solidFill>
                      <a:schemeClr val="tx1">
                        <a:lumMod val="75000"/>
                        <a:lumOff val="25000"/>
                      </a:schemeClr>
                    </a:solidFill>
                    <a:latin typeface="+mn-lt"/>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'Özet Tablo'!$Z$1:$Z$18</c:f>
              <c:strCache>
                <c:ptCount val="18"/>
                <c:pt idx="0">
                  <c:v>Normal Çalışma</c:v>
                </c:pt>
                <c:pt idx="1">
                  <c:v>Kıdem Yardımı</c:v>
                </c:pt>
                <c:pt idx="2">
                  <c:v>Fazla Çalışma (% 50)</c:v>
                </c:pt>
                <c:pt idx="3">
                  <c:v>Fazla Sürelerle Çalışma (% 25)</c:v>
                </c:pt>
                <c:pt idx="4">
                  <c:v>Resmi Tatillerde Çalışma (% 100)</c:v>
                </c:pt>
                <c:pt idx="5">
                  <c:v>Gece Çalışma (% 12)</c:v>
                </c:pt>
                <c:pt idx="6">
                  <c:v>Yemek Yardımı</c:v>
                </c:pt>
                <c:pt idx="7">
                  <c:v>Ulaşım Yardımı</c:v>
                </c:pt>
                <c:pt idx="8">
                  <c:v>İkramiye Yardımı</c:v>
                </c:pt>
                <c:pt idx="9">
                  <c:v>Sosyal Yardım</c:v>
                </c:pt>
                <c:pt idx="10">
                  <c:v>Nakdi Yardımlar</c:v>
                </c:pt>
                <c:pt idx="11">
                  <c:v>Sendika Üyelik Aidatı Kesintisi</c:v>
                </c:pt>
                <c:pt idx="12">
                  <c:v>BES Kesintisi</c:v>
                </c:pt>
                <c:pt idx="13">
                  <c:v>Damga Vergisi Kesintisi</c:v>
                </c:pt>
                <c:pt idx="14">
                  <c:v>SGK Prim Kesintisi</c:v>
                </c:pt>
                <c:pt idx="15">
                  <c:v>SGK İşsizlik Primi Kesintisi</c:v>
                </c:pt>
                <c:pt idx="16">
                  <c:v>Gelir Vergisi Kesintisi</c:v>
                </c:pt>
                <c:pt idx="17">
                  <c:v>İşveren Maliyeti</c:v>
                </c:pt>
              </c:strCache>
            </c:strRef>
          </c:cat>
          <c:val>
            <c:numRef>
              <c:f>'Özet Tablo'!$AA$1:$AA$18</c:f>
              <c:numCache>
                <c:formatCode>#,##0.00\ "₺"</c:formatCode>
                <c:ptCount val="18"/>
                <c:pt idx="0">
                  <c:v>55617.708111249136</c:v>
                </c:pt>
                <c:pt idx="1">
                  <c:v>0</c:v>
                </c:pt>
                <c:pt idx="2">
                  <c:v>0</c:v>
                </c:pt>
                <c:pt idx="3">
                  <c:v>0</c:v>
                </c:pt>
                <c:pt idx="4">
                  <c:v>0</c:v>
                </c:pt>
                <c:pt idx="5">
                  <c:v>0</c:v>
                </c:pt>
                <c:pt idx="6">
                  <c:v>7600</c:v>
                </c:pt>
                <c:pt idx="7">
                  <c:v>3376.8333333333335</c:v>
                </c:pt>
                <c:pt idx="8">
                  <c:v>17964.533833370751</c:v>
                </c:pt>
                <c:pt idx="9">
                  <c:v>4667.0301277896033</c:v>
                </c:pt>
                <c:pt idx="10">
                  <c:v>0</c:v>
                </c:pt>
                <c:pt idx="11">
                  <c:v>2567.5072005000006</c:v>
                </c:pt>
                <c:pt idx="12">
                  <c:v>0</c:v>
                </c:pt>
                <c:pt idx="13">
                  <c:v>720.38373819984497</c:v>
                </c:pt>
                <c:pt idx="14">
                  <c:v>17911.910586031398</c:v>
                </c:pt>
                <c:pt idx="15">
                  <c:v>1279.4221847165284</c:v>
                </c:pt>
                <c:pt idx="16">
                  <c:v>20721.076666666664</c:v>
                </c:pt>
                <c:pt idx="17">
                  <c:v>157906.68451947553</c:v>
                </c:pt>
              </c:numCache>
            </c:numRef>
          </c:val>
          <c:extLst>
            <c:ext xmlns:c16="http://schemas.microsoft.com/office/drawing/2014/chart" uri="{C3380CC4-5D6E-409C-BE32-E72D297353CC}">
              <c16:uniqueId val="{00000000-755B-478D-AB69-BF223AA4AC7C}"/>
            </c:ext>
          </c:extLst>
        </c:ser>
        <c:dLbls>
          <c:dLblPos val="outEnd"/>
          <c:showLegendKey val="0"/>
          <c:showVal val="1"/>
          <c:showCatName val="0"/>
          <c:showSerName val="0"/>
          <c:showPercent val="0"/>
          <c:showBubbleSize val="0"/>
        </c:dLbls>
        <c:gapWidth val="182"/>
        <c:axId val="552148752"/>
        <c:axId val="552147112"/>
      </c:barChart>
      <c:catAx>
        <c:axId val="55214875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tr-TR"/>
          </a:p>
        </c:txPr>
        <c:crossAx val="552147112"/>
        <c:crosses val="autoZero"/>
        <c:auto val="1"/>
        <c:lblAlgn val="ctr"/>
        <c:lblOffset val="100"/>
        <c:tickMarkSkip val="1"/>
        <c:noMultiLvlLbl val="0"/>
      </c:catAx>
      <c:valAx>
        <c:axId val="552147112"/>
        <c:scaling>
          <c:orientation val="minMax"/>
        </c:scaling>
        <c:delete val="1"/>
        <c:axPos val="t"/>
        <c:numFmt formatCode="#,##0.00\ &quot;₺&quot;" sourceLinked="1"/>
        <c:majorTickMark val="out"/>
        <c:minorTickMark val="none"/>
        <c:tickLblPos val="nextTo"/>
        <c:crossAx val="5521487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85000"/>
      </a:schemeClr>
    </a:solidFill>
    <a:ln w="9525" cap="flat" cmpd="sng" algn="ctr">
      <a:solidFill>
        <a:schemeClr val="tx1">
          <a:lumMod val="15000"/>
          <a:lumOff val="85000"/>
        </a:schemeClr>
      </a:solidFill>
      <a:round/>
    </a:ln>
    <a:effectLst/>
  </c:spPr>
  <c:txPr>
    <a:bodyPr/>
    <a:lstStyle/>
    <a:p>
      <a:pPr>
        <a:defRPr sz="1600"/>
      </a:pPr>
      <a:endParaRPr lang="tr-T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Pt>
            <c:idx val="0"/>
            <c:bubble3D val="0"/>
            <c:explosion val="4"/>
            <c:spPr>
              <a:solidFill>
                <a:schemeClr val="tx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5D9F-40F4-A256-823C9FF01F41}"/>
              </c:ext>
            </c:extLst>
          </c:dPt>
          <c:dPt>
            <c:idx val="1"/>
            <c:bubble3D val="0"/>
            <c:explosion val="5"/>
            <c:spPr>
              <a:solidFill>
                <a:srgbClr val="C00000"/>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5D9F-40F4-A256-823C9FF01F41}"/>
              </c:ext>
            </c:extLst>
          </c:dPt>
          <c:dLbls>
            <c:dLbl>
              <c:idx val="0"/>
              <c:layout>
                <c:manualLayout>
                  <c:x val="0"/>
                  <c:y val="-0.2727330235099843"/>
                </c:manualLayout>
              </c:layout>
              <c:tx>
                <c:rich>
                  <a:bodyPr rot="0" spcFirstLastPara="1" vertOverflow="ellipsis" vert="horz" wrap="square" lIns="0" tIns="0" rIns="0" bIns="0" anchor="ctr" anchorCtr="0">
                    <a:noAutofit/>
                  </a:bodyPr>
                  <a:lstStyle/>
                  <a:p>
                    <a:pPr lvl="1" algn="ctr" rtl="0">
                      <a:defRPr sz="2000" b="1" i="0" u="none" strike="noStrike" kern="1200" baseline="0">
                        <a:solidFill>
                          <a:sysClr val="windowText" lastClr="000000"/>
                        </a:solidFill>
                        <a:latin typeface="+mn-lt"/>
                        <a:ea typeface="+mn-ea"/>
                        <a:cs typeface="+mn-cs"/>
                      </a:defRPr>
                    </a:pPr>
                    <a:r>
                      <a:rPr lang="en-US" sz="2000" i="0" u="sng" baseline="0">
                        <a:solidFill>
                          <a:sysClr val="windowText" lastClr="000000"/>
                        </a:solidFill>
                      </a:rPr>
                      <a:t>Kazançlar</a:t>
                    </a:r>
                  </a:p>
                  <a:p>
                    <a:pPr lvl="1" algn="ctr" rtl="0">
                      <a:defRPr sz="2000" b="1" i="0" u="none" strike="noStrike" kern="1200" baseline="0">
                        <a:solidFill>
                          <a:sysClr val="windowText" lastClr="000000"/>
                        </a:solidFill>
                        <a:latin typeface="+mn-lt"/>
                        <a:ea typeface="+mn-ea"/>
                        <a:cs typeface="+mn-cs"/>
                      </a:defRPr>
                    </a:pPr>
                    <a:fld id="{18CB9E8E-A975-43C0-A56F-BEEBC923E687}" type="VALUE">
                      <a:rPr lang="en-US" sz="2000" i="0">
                        <a:solidFill>
                          <a:sysClr val="windowText" lastClr="000000"/>
                        </a:solidFill>
                      </a:rPr>
                      <a:pPr lvl="1" algn="ctr" rtl="0">
                        <a:defRPr sz="2000" b="1" i="0" u="none" strike="noStrike" kern="1200" baseline="0">
                          <a:solidFill>
                            <a:sysClr val="windowText" lastClr="000000"/>
                          </a:solidFill>
                          <a:latin typeface="+mn-lt"/>
                          <a:ea typeface="+mn-ea"/>
                          <a:cs typeface="+mn-cs"/>
                        </a:defRPr>
                      </a:pPr>
                      <a:t>[DEĞER]</a:t>
                    </a:fld>
                    <a:endParaRPr lang="en-US" sz="2000" i="0" baseline="0">
                      <a:solidFill>
                        <a:sysClr val="windowText" lastClr="000000"/>
                      </a:solidFill>
                    </a:endParaRPr>
                  </a:p>
                  <a:p>
                    <a:pPr lvl="1" algn="ctr" rtl="0">
                      <a:defRPr sz="2000" b="1" i="0" u="none" strike="noStrike" kern="1200" baseline="0">
                        <a:solidFill>
                          <a:sysClr val="windowText" lastClr="000000"/>
                        </a:solidFill>
                        <a:latin typeface="+mn-lt"/>
                        <a:ea typeface="+mn-ea"/>
                        <a:cs typeface="+mn-cs"/>
                      </a:defRPr>
                    </a:pPr>
                    <a:fld id="{ED1D6583-AC77-4CB8-8AE1-8BB6A6F10BE5}" type="PERCENTAGE">
                      <a:rPr lang="en-US" sz="2000" i="0">
                        <a:solidFill>
                          <a:sysClr val="windowText" lastClr="000000"/>
                        </a:solidFill>
                      </a:rPr>
                      <a:pPr lvl="1" algn="ctr" rtl="0">
                        <a:defRPr sz="2000" b="1" i="0" u="none" strike="noStrike" kern="1200" baseline="0">
                          <a:solidFill>
                            <a:sysClr val="windowText" lastClr="000000"/>
                          </a:solidFill>
                          <a:latin typeface="+mn-lt"/>
                          <a:ea typeface="+mn-ea"/>
                          <a:cs typeface="+mn-cs"/>
                        </a:defRPr>
                      </a:pPr>
                      <a:t>[YÜZDE]</a:t>
                    </a:fld>
                    <a:endParaRPr lang="tr-TR"/>
                  </a:p>
                </c:rich>
              </c:tx>
              <c:numFmt formatCode="%\ 0.00" sourceLinked="0"/>
              <c:spPr>
                <a:noFill/>
                <a:ln>
                  <a:noFill/>
                </a:ln>
                <a:effectLst/>
              </c:spPr>
              <c:dLblPos val="bestFit"/>
              <c:showLegendKey val="0"/>
              <c:showVal val="0"/>
              <c:showCatName val="0"/>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c15:spPr>
                  <c15:layout>
                    <c:manualLayout>
                      <c:w val="1"/>
                      <c:h val="0.2"/>
                    </c:manualLayout>
                  </c15:layout>
                  <c15:dlblFieldTable/>
                  <c15:showDataLabelsRange val="0"/>
                </c:ext>
                <c:ext xmlns:c16="http://schemas.microsoft.com/office/drawing/2014/chart" uri="{C3380CC4-5D6E-409C-BE32-E72D297353CC}">
                  <c16:uniqueId val="{00000001-5D9F-40F4-A256-823C9FF01F41}"/>
                </c:ext>
              </c:extLst>
            </c:dLbl>
            <c:dLbl>
              <c:idx val="1"/>
              <c:layout>
                <c:manualLayout>
                  <c:x val="0"/>
                  <c:y val="0.28660887761598208"/>
                </c:manualLayout>
              </c:layout>
              <c:tx>
                <c:rich>
                  <a:bodyPr rot="0" spcFirstLastPara="1" vertOverflow="ellipsis" vert="horz" wrap="square" lIns="0" tIns="0" rIns="0" bIns="0" anchor="t" anchorCtr="0">
                    <a:noAutofit/>
                  </a:bodyPr>
                  <a:lstStyle/>
                  <a:p>
                    <a:pPr lvl="1" algn="ctr" rtl="0">
                      <a:defRPr sz="2000" b="1" i="0" u="none" strike="noStrike" kern="1200" baseline="0">
                        <a:solidFill>
                          <a:srgbClr val="C00000"/>
                        </a:solidFill>
                        <a:latin typeface="+mn-lt"/>
                        <a:ea typeface="+mn-ea"/>
                        <a:cs typeface="+mn-cs"/>
                      </a:defRPr>
                    </a:pPr>
                    <a:r>
                      <a:rPr lang="en-US" sz="2000" b="1" i="0" u="sng" strike="noStrike" baseline="0">
                        <a:solidFill>
                          <a:srgbClr val="C00000"/>
                        </a:solidFill>
                      </a:rPr>
                      <a:t>Kesintiler</a:t>
                    </a:r>
                    <a:br>
                      <a:rPr lang="en-US" sz="2000" b="1" i="0" u="none" strike="noStrike" baseline="0">
                        <a:solidFill>
                          <a:srgbClr val="C00000"/>
                        </a:solidFill>
                      </a:rPr>
                    </a:br>
                    <a:fld id="{D48269F3-90DB-4B96-9E27-A88140910F88}" type="VALUE">
                      <a:rPr lang="en-US" sz="2000">
                        <a:solidFill>
                          <a:srgbClr val="C00000"/>
                        </a:solidFill>
                      </a:rPr>
                      <a:pPr lvl="1" algn="ctr" rtl="0">
                        <a:defRPr sz="2000" b="1" i="0" u="none" strike="noStrike" kern="1200" baseline="0">
                          <a:solidFill>
                            <a:srgbClr val="C00000"/>
                          </a:solidFill>
                          <a:latin typeface="+mn-lt"/>
                          <a:ea typeface="+mn-ea"/>
                          <a:cs typeface="+mn-cs"/>
                        </a:defRPr>
                      </a:pPr>
                      <a:t>[DEĞER]</a:t>
                    </a:fld>
                    <a:endParaRPr lang="en-US" sz="2000" baseline="0">
                      <a:solidFill>
                        <a:srgbClr val="C00000"/>
                      </a:solidFill>
                    </a:endParaRPr>
                  </a:p>
                  <a:p>
                    <a:pPr lvl="1" algn="ctr" rtl="0">
                      <a:defRPr sz="2000" b="1" i="0" u="none" strike="noStrike" kern="1200" baseline="0">
                        <a:solidFill>
                          <a:srgbClr val="C00000"/>
                        </a:solidFill>
                        <a:latin typeface="+mn-lt"/>
                        <a:ea typeface="+mn-ea"/>
                        <a:cs typeface="+mn-cs"/>
                      </a:defRPr>
                    </a:pPr>
                    <a:fld id="{C4F91586-97B1-4B5B-B426-9B699746C01D}" type="PERCENTAGE">
                      <a:rPr lang="en-US" sz="2000">
                        <a:solidFill>
                          <a:srgbClr val="C00000"/>
                        </a:solidFill>
                      </a:rPr>
                      <a:pPr lvl="1" algn="ctr" rtl="0">
                        <a:defRPr sz="2000" b="1" i="0" u="none" strike="noStrike" kern="1200" baseline="0">
                          <a:solidFill>
                            <a:srgbClr val="C00000"/>
                          </a:solidFill>
                          <a:latin typeface="+mn-lt"/>
                          <a:ea typeface="+mn-ea"/>
                          <a:cs typeface="+mn-cs"/>
                        </a:defRPr>
                      </a:pPr>
                      <a:t>[YÜZDE]</a:t>
                    </a:fld>
                    <a:endParaRPr lang="tr-TR"/>
                  </a:p>
                </c:rich>
              </c:tx>
              <c:numFmt formatCode="%\ 0.00" sourceLinked="0"/>
              <c:spPr>
                <a:noFill/>
                <a:ln>
                  <a:noFill/>
                </a:ln>
                <a:effectLst/>
              </c:spPr>
              <c:dLblPos val="bestFit"/>
              <c:showLegendKey val="0"/>
              <c:showVal val="0"/>
              <c:showCatName val="0"/>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c15:spPr>
                  <c15:layout>
                    <c:manualLayout>
                      <c:w val="1"/>
                      <c:h val="0.18251962962962964"/>
                    </c:manualLayout>
                  </c15:layout>
                  <c15:dlblFieldTable/>
                  <c15:showDataLabelsRange val="0"/>
                </c:ext>
                <c:ext xmlns:c16="http://schemas.microsoft.com/office/drawing/2014/chart" uri="{C3380CC4-5D6E-409C-BE32-E72D297353CC}">
                  <c16:uniqueId val="{00000003-5D9F-40F4-A256-823C9FF01F41}"/>
                </c:ext>
              </c:extLst>
            </c:dLbl>
            <c:numFmt formatCode="%\ 0.00" sourceLinked="0"/>
            <c:spPr>
              <a:noFill/>
              <a:ln>
                <a:noFill/>
              </a:ln>
              <a:effectLst/>
            </c:spPr>
            <c:txPr>
              <a:bodyPr rot="0" spcFirstLastPara="1" vertOverflow="ellipsis" vert="horz" wrap="square" lIns="0" tIns="0" rIns="0" bIns="0" anchor="ctr" anchorCtr="0">
                <a:spAutoFit/>
              </a:bodyPr>
              <a:lstStyle/>
              <a:p>
                <a:pPr algn="ctr">
                  <a:defRPr sz="1300" b="1" i="0" u="none" strike="noStrike" kern="1200" baseline="0">
                    <a:solidFill>
                      <a:schemeClr val="lt1"/>
                    </a:solidFill>
                    <a:latin typeface="+mn-lt"/>
                    <a:ea typeface="+mn-ea"/>
                    <a:cs typeface="+mn-cs"/>
                  </a:defRPr>
                </a:pPr>
                <a:endParaRPr lang="tr-TR"/>
              </a:p>
            </c:txPr>
            <c:dLblPos val="ctr"/>
            <c:showLegendKey val="0"/>
            <c:showVal val="0"/>
            <c:showCatName val="0"/>
            <c:showSerName val="0"/>
            <c:showPercent val="1"/>
            <c:showBubbleSize val="0"/>
            <c:separator>
</c:separator>
            <c:showLeaderLines val="0"/>
            <c:extLst>
              <c:ext xmlns:c15="http://schemas.microsoft.com/office/drawing/2012/chart" uri="{CE6537A1-D6FC-4f65-9D91-7224C49458BB}"/>
            </c:extLst>
          </c:dLbls>
          <c:cat>
            <c:strRef>
              <c:f>'Özet Tablo'!$Z$19:$Z$20</c:f>
              <c:strCache>
                <c:ptCount val="2"/>
                <c:pt idx="0">
                  <c:v>Kazançlar</c:v>
                </c:pt>
                <c:pt idx="1">
                  <c:v>Kesintiler</c:v>
                </c:pt>
              </c:strCache>
            </c:strRef>
          </c:cat>
          <c:val>
            <c:numRef>
              <c:f>'Özet Tablo'!$AA$19:$AA$20</c:f>
              <c:numCache>
                <c:formatCode>#,##0.00\ "₺"</c:formatCode>
                <c:ptCount val="2"/>
                <c:pt idx="0">
                  <c:v>92341.918095538393</c:v>
                </c:pt>
                <c:pt idx="1">
                  <c:v>43200.300376114435</c:v>
                </c:pt>
              </c:numCache>
            </c:numRef>
          </c:val>
          <c:extLst>
            <c:ext xmlns:c16="http://schemas.microsoft.com/office/drawing/2014/chart" uri="{C3380CC4-5D6E-409C-BE32-E72D297353CC}">
              <c16:uniqueId val="{00000004-5D9F-40F4-A256-823C9FF01F41}"/>
            </c:ext>
          </c:extLst>
        </c:ser>
        <c:dLbls>
          <c:dLblPos val="inEnd"/>
          <c:showLegendKey val="0"/>
          <c:showVal val="1"/>
          <c:showCatName val="1"/>
          <c:showSerName val="0"/>
          <c:showPercent val="0"/>
          <c:showBubbleSize val="0"/>
          <c:showLeaderLines val="0"/>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85000"/>
      </a:schemeClr>
    </a:solidFill>
    <a:ln w="9525" cap="flat" cmpd="sng" algn="ctr">
      <a:noFill/>
      <a:round/>
    </a:ln>
    <a:effectLst/>
  </c:spPr>
  <c:txPr>
    <a:bodyPr/>
    <a:lstStyle/>
    <a:p>
      <a:pPr>
        <a:defRPr/>
      </a:pPr>
      <a:endParaRPr lang="tr-T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19</xdr:col>
      <xdr:colOff>53463</xdr:colOff>
      <xdr:row>0</xdr:row>
      <xdr:rowOff>70921</xdr:rowOff>
    </xdr:from>
    <xdr:to>
      <xdr:col>19</xdr:col>
      <xdr:colOff>7290954</xdr:colOff>
      <xdr:row>27</xdr:row>
      <xdr:rowOff>398319</xdr:rowOff>
    </xdr:to>
    <xdr:graphicFrame macro="">
      <xdr:nvGraphicFramePr>
        <xdr:cNvPr id="7" name="Grafik 6">
          <a:extLst>
            <a:ext uri="{FF2B5EF4-FFF2-40B4-BE49-F238E27FC236}">
              <a16:creationId xmlns:a16="http://schemas.microsoft.com/office/drawing/2014/main" id="{80F8C963-D5D5-4BCD-8610-182E47B88E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19</xdr:col>
      <xdr:colOff>4966692</xdr:colOff>
      <xdr:row>8</xdr:row>
      <xdr:rowOff>125886</xdr:rowOff>
    </xdr:from>
    <xdr:to>
      <xdr:col>19</xdr:col>
      <xdr:colOff>7306692</xdr:colOff>
      <xdr:row>19</xdr:row>
      <xdr:rowOff>5969</xdr:rowOff>
    </xdr:to>
    <xdr:graphicFrame macro="">
      <xdr:nvGraphicFramePr>
        <xdr:cNvPr id="3" name="Grafik 2">
          <a:extLst>
            <a:ext uri="{FF2B5EF4-FFF2-40B4-BE49-F238E27FC236}">
              <a16:creationId xmlns:a16="http://schemas.microsoft.com/office/drawing/2014/main" id="{7ADA3213-C9FB-42E9-8CD0-901898DBD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MH363"/>
  <sheetViews>
    <sheetView showGridLines="0" showRowColHeaders="0" tabSelected="1" showWhiteSpace="0" zoomScale="40" zoomScaleNormal="40" zoomScaleSheetLayoutView="40" zoomScalePageLayoutView="55" workbookViewId="0">
      <pane xSplit="3" topLeftCell="D1" activePane="topRight" state="frozen"/>
      <selection activeCell="A6" sqref="A6"/>
      <selection pane="topRight" sqref="A1:A14"/>
    </sheetView>
  </sheetViews>
  <sheetFormatPr defaultColWidth="0" defaultRowHeight="0" customHeight="1" zeroHeight="1" x14ac:dyDescent="0.25"/>
  <cols>
    <col min="1" max="1" width="12.7109375" style="2" customWidth="1"/>
    <col min="2" max="2" width="10.7109375" style="2" customWidth="1"/>
    <col min="3" max="3" width="4.7109375" style="2" customWidth="1"/>
    <col min="4" max="14" width="12.7109375" style="2" customWidth="1"/>
    <col min="15" max="17" width="30.7109375" style="2" customWidth="1"/>
    <col min="18" max="18" width="30.7109375" style="2" hidden="1" customWidth="1"/>
    <col min="19" max="19" width="12.7109375" style="2" customWidth="1"/>
    <col min="20" max="20" width="110.7109375" style="2" customWidth="1"/>
    <col min="21" max="21" width="12.7109375" style="2" customWidth="1"/>
    <col min="22" max="22" width="5.7109375" style="2" customWidth="1"/>
    <col min="23" max="23" width="80.7109375" style="2" customWidth="1"/>
    <col min="24" max="24" width="5.7109375" style="2" customWidth="1"/>
    <col min="25" max="25" width="1.7109375" style="2" customWidth="1"/>
    <col min="26" max="28" width="0.140625" style="13" customWidth="1"/>
    <col min="29" max="55" width="5.7109375" style="13" hidden="1" customWidth="1"/>
    <col min="56" max="58" width="20.7109375" style="13" hidden="1" customWidth="1"/>
    <col min="59" max="59" width="1.7109375" style="2" customWidth="1"/>
    <col min="60" max="346" width="0" style="2" hidden="1" customWidth="1"/>
    <col min="347" max="16384" width="5.7109375" style="2" hidden="1"/>
  </cols>
  <sheetData>
    <row r="1" spans="1:58" ht="39.950000000000003" customHeight="1" x14ac:dyDescent="0.25">
      <c r="A1" s="59" t="s">
        <v>84</v>
      </c>
      <c r="B1" s="78" t="s">
        <v>101</v>
      </c>
      <c r="C1" s="75">
        <f>COUNTIF($A$1,"Amir")*($AA$21)
+COUNTIF($A$1,"Gişe")*($AA$22)
+COUNTIF($A$1,"Çıma")*($AA$23)
+COUNTIF($A$1,"Ustabaşı")*($AA$24)
+COUNTIF($A$1,"İtfaiye Amiri")*($AA$25)
+COUNTIF($A$1,"Usta")*($AA$26)
+COUNTIF($A$1,"Vinç Operatörü")*($AA$27)
+COUNTIF($A$1,"Forklift Operatörü")*($AA$28)
+COUNTIF($A$1,"İtfaiyeci")*($AA$29)
+COUNTIF($A$1,"Usta Yardımcısı")*($AA$30)
+COUNTIF($A$1,"Gemi Havuzlama Personeli")*($AA$31)
+COUNTIF($A$1,"Yakıt Yağ ve Atık Personeli")*($AA$32)
+COUNTIF($A$1,"Tersane Saha Personeli")*($AA$33)</f>
        <v>2354.1</v>
      </c>
      <c r="D1" s="57" t="s">
        <v>55</v>
      </c>
      <c r="E1" s="42" t="s">
        <v>88</v>
      </c>
      <c r="F1" s="57" t="s">
        <v>87</v>
      </c>
      <c r="G1" s="58" t="s">
        <v>80</v>
      </c>
      <c r="H1" s="57" t="s">
        <v>86</v>
      </c>
      <c r="I1" s="57" t="s">
        <v>56</v>
      </c>
      <c r="J1" s="45" t="s">
        <v>57</v>
      </c>
      <c r="K1" s="46"/>
      <c r="L1" s="47"/>
      <c r="M1" s="57" t="s">
        <v>73</v>
      </c>
      <c r="N1" s="57" t="s">
        <v>82</v>
      </c>
      <c r="O1" s="57" t="s">
        <v>70</v>
      </c>
      <c r="P1" s="57" t="s">
        <v>81</v>
      </c>
      <c r="Q1" s="70" t="s">
        <v>68</v>
      </c>
      <c r="R1" s="81" t="s">
        <v>1</v>
      </c>
      <c r="S1" s="65" t="s">
        <v>53</v>
      </c>
      <c r="T1" s="69"/>
      <c r="U1" s="72" t="s">
        <v>38</v>
      </c>
      <c r="V1" s="62"/>
      <c r="W1" s="63"/>
      <c r="X1" s="64"/>
      <c r="Y1" s="54"/>
      <c r="Z1" s="13" t="s">
        <v>18</v>
      </c>
      <c r="AA1" s="14">
        <f t="shared" ref="AA1:AA3" ca="1" si="0">IF(AB1&gt;0,AB1,AB1*-1)</f>
        <v>55617.708111249136</v>
      </c>
      <c r="AB1" s="14">
        <f ca="1">COUNTIF(S1,"Ocak")*(AN15)
+COUNTIF(S1,"Şubat")*(AN16)
+COUNTIF(S1,"Mart")*(AN17)
+COUNTIF(S1,"Nisan")*(AN18)
+COUNTIF(S1,"Mayıs")*(AN19)
+COUNTIF(S1,"Haziran")*(AN20)
+COUNTIF(S1,"Temmuz")*(AN21)
+COUNTIF(S1,"Ağustos")*(AN22)
+COUNTIF(S1,"Eylül")*(AN23)
+COUNTIF(S1,"Ekim")*(AN24)
+COUNTIF(S1,"Kasım")*(AN25)
+COUNTIF(S1,"Aralık")*(AN26)
+COUNTIF(S1,"Yıllık Toplam")*(AN27)
+COUNTIF(S1,"Yıllık Ortalama")*(AN28)</f>
        <v>55617.708111249136</v>
      </c>
      <c r="AC1" s="14">
        <v>3478.97</v>
      </c>
      <c r="AD1" s="14">
        <f t="shared" ref="AD1:AD12" si="1">(AI15/7.5*0.15*H15)</f>
        <v>0</v>
      </c>
      <c r="AE1" s="14">
        <f t="shared" ref="AE1:AE12" ca="1" si="2">(AD1*AX59)</f>
        <v>0</v>
      </c>
      <c r="AF1" s="14">
        <f t="shared" ref="AF1:AF12" si="3">(300*I15)</f>
        <v>7200</v>
      </c>
      <c r="AG1" s="14">
        <f ca="1">(AH1+AK1+AO1+AP1+AT1)</f>
        <v>7200</v>
      </c>
      <c r="AH1" s="14">
        <f>(AF1)</f>
        <v>7200</v>
      </c>
      <c r="AI1" s="14">
        <f>(AH1)</f>
        <v>7200</v>
      </c>
      <c r="AJ1" s="14">
        <f>IF(AH1-AI1&lt;=0,0,AH1-AI1)</f>
        <v>0</v>
      </c>
      <c r="AK1" s="14">
        <f>(AJ1*0.00759*-1)</f>
        <v>0</v>
      </c>
      <c r="AL1" s="14">
        <f>(AH1)</f>
        <v>7200</v>
      </c>
      <c r="AM1" s="14">
        <f t="shared" ref="AM1:AM6" si="4">IF($AB$45*I15&gt;=AL1,AL1,$AB$45*I15)</f>
        <v>7200</v>
      </c>
      <c r="AN1" s="14">
        <f>(AL1-AM1)</f>
        <v>0</v>
      </c>
      <c r="AO1" s="14">
        <f>(AN1*0.14*-1)</f>
        <v>0</v>
      </c>
      <c r="AP1" s="14">
        <f>(AN1*0.01*-1)</f>
        <v>0</v>
      </c>
      <c r="AQ1" s="14">
        <f>(AH1+AO1+AP1)</f>
        <v>7200</v>
      </c>
      <c r="AR1" s="14">
        <f t="shared" ref="AR1:AR6" si="5">IF($AB$46*I15&gt;=AQ1,AQ1,$AB$46*I15)</f>
        <v>7200</v>
      </c>
      <c r="AS1" s="14">
        <f>IF(AQ1-AR1&lt;=0,0,AQ1-AR1)</f>
        <v>0</v>
      </c>
      <c r="AT1" s="14">
        <f t="shared" ref="AT1:AT12" ca="1" si="6">IF(AS1*AS59*-1&gt;=0,0,AS1*AS59*-1)</f>
        <v>0</v>
      </c>
      <c r="AU1" s="15">
        <v>30</v>
      </c>
      <c r="AV1" s="14">
        <f t="shared" ref="AV1:AV12" ca="1" si="7">(AD29/AX59/30*AU1)</f>
        <v>3843.840483417493</v>
      </c>
      <c r="AW1" s="16" t="s">
        <v>11</v>
      </c>
      <c r="AX1" s="16" t="s">
        <v>71</v>
      </c>
    </row>
    <row r="2" spans="1:58" ht="39.950000000000003" customHeight="1" x14ac:dyDescent="0.25">
      <c r="A2" s="59"/>
      <c r="B2" s="79"/>
      <c r="C2" s="76"/>
      <c r="D2" s="57"/>
      <c r="E2" s="43"/>
      <c r="F2" s="57"/>
      <c r="G2" s="58"/>
      <c r="H2" s="57"/>
      <c r="I2" s="57"/>
      <c r="J2" s="48"/>
      <c r="K2" s="49"/>
      <c r="L2" s="50"/>
      <c r="M2" s="57"/>
      <c r="N2" s="57"/>
      <c r="O2" s="57"/>
      <c r="P2" s="57"/>
      <c r="Q2" s="70"/>
      <c r="R2" s="82" t="s">
        <v>49</v>
      </c>
      <c r="S2" s="65"/>
      <c r="T2" s="69"/>
      <c r="U2" s="72"/>
      <c r="V2" s="71"/>
      <c r="W2" s="61" t="str">
        <f>IF($U$1="Analık Hâli İzni",$AX$1,
IF($U$1="Annelik İzni",$AX$2,
IF($U$1="Babalık İzni",$AX$3,
IF($U$1="Cenaze İzni",$AX$4,
IF($U$1="Doğal Afet İzni",$AX$5,
IF($U$1="Engelli Çocuk İzni",$AX$6,
IF($U$1="Evlat Edinme İzni",$AX$7,
IF($U$1="Evlilik İzni",$AX$8,
IF($U$1="İş Arama İzni",$AX$9,
IF($U$1="Mazeret İzni",$AX$10,
IF($U$1="Süt İzni",$AX$11,
IF($U$1="Ücretli Sendikal İzin ve Sendika Temsilci Sayısı",$AX$12,
IF($U$1="Ücretli Yıllık İzin",$AX$13,
IF($U$1="Yol İzni",$AX$14))))))))))))))</f>
        <v>a) 01.01.2009 Tarihinden Önce İşe Başlayanlar İçin:
Hizmeti 6 ay olanlar için 0 iş günü ücretli yıllık izin verilir.
Hizmeti 1-5 yıl olanlar için 14 iş günü ücretli yıllık izin verilir.
Hizmeti 5-10 yıl olanlar için 23 iş günü ücretli yıllık izin verilir.
Hizmeti 10-15 yıl olanlar için 23 iş günü ücretli yıllık izin verilir.
Hizmeti 15 yıldan fazla olanlar için 26 iş günü ücretli yıllık izin verilir.
b) 01.01.2009 Tarihinden Sonra İşe Başlayanlar İçin:
Hizmeti 6 ay olanlar için 0 iş günü ücretli yıllık izin verilir.
Hizmeti 1-5 yıl olanlar için 14 iş günü ücretli yıllık izin verilir.
Hizmeti 5-10 yıl olanlar için 20 iş günü ücretli yıllık izin verilir.
Hizmeti 10-15 yıl olanlar için 20 iş günü ücretli yıllık izin verilir.
Hizmeti 15 yıldan fazla olanlar için 26 iş günü ücretli yıllık izin verilir.</v>
      </c>
      <c r="X2" s="60"/>
      <c r="Y2" s="55"/>
      <c r="Z2" s="13" t="s">
        <v>3</v>
      </c>
      <c r="AA2" s="14">
        <f t="shared" ca="1" si="0"/>
        <v>0</v>
      </c>
      <c r="AB2" s="14">
        <f ca="1">COUNTIF(S1,"Ocak")*(AP15)
+COUNTIF(S1,"Şubat")*(AP16)
+COUNTIF(S1,"Mart")*(AP17)
+COUNTIF(S1,"Nisan")*(AP18)
+COUNTIF(S1,"Mayıs")*(AP19)
+COUNTIF(S1,"Haziran")*(AP20)
+COUNTIF(S1,"Temmuz")*(AP21)
+COUNTIF(S1,"Ağustos")*(AP22)
+COUNTIF(S1,"Eylül")*(AP23)
+COUNTIF(S1,"Ekim")*(AP24)
+COUNTIF(S1,"Kasım")*(AP25)
+COUNTIF(S1,"Aralık")*(AP26)
+COUNTIF(S1,"Yıllık Toplam")*(AP27)
+COUNTIF(S1,"Yıllık Ortalama")*(AP28)</f>
        <v>0</v>
      </c>
      <c r="AC2" s="14">
        <v>3204.31</v>
      </c>
      <c r="AD2" s="14">
        <f t="shared" si="1"/>
        <v>0</v>
      </c>
      <c r="AE2" s="14">
        <f t="shared" ca="1" si="2"/>
        <v>0</v>
      </c>
      <c r="AF2" s="14">
        <f t="shared" si="3"/>
        <v>7200</v>
      </c>
      <c r="AG2" s="14">
        <f t="shared" ref="AG2:AG12" ca="1" si="8">(AH2+AK2+AO2+AP2+AT2)</f>
        <v>7200</v>
      </c>
      <c r="AH2" s="14">
        <f t="shared" ref="AH2:AH12" si="9">(AF2)</f>
        <v>7200</v>
      </c>
      <c r="AI2" s="14">
        <f t="shared" ref="AI2:AI12" si="10">(AH2)</f>
        <v>7200</v>
      </c>
      <c r="AJ2" s="14">
        <f t="shared" ref="AJ2:AJ12" si="11">IF(AH2-AI2&lt;=0,0,AH2-AI2)</f>
        <v>0</v>
      </c>
      <c r="AK2" s="14">
        <f t="shared" ref="AK2:AK12" si="12">(AJ2*0.00759*-1)</f>
        <v>0</v>
      </c>
      <c r="AL2" s="14">
        <f t="shared" ref="AL2:AL12" si="13">(AH2)</f>
        <v>7200</v>
      </c>
      <c r="AM2" s="14">
        <f t="shared" si="4"/>
        <v>7200</v>
      </c>
      <c r="AN2" s="14">
        <f t="shared" ref="AN2:AN12" si="14">(AL2-AM2)</f>
        <v>0</v>
      </c>
      <c r="AO2" s="14">
        <f t="shared" ref="AO2:AO12" si="15">(AN2*0.14*-1)</f>
        <v>0</v>
      </c>
      <c r="AP2" s="14">
        <f t="shared" ref="AP2:AP12" si="16">(AN2*0.01*-1)</f>
        <v>0</v>
      </c>
      <c r="AQ2" s="14">
        <f t="shared" ref="AQ2:AQ12" si="17">(AH2+AO2+AP2)</f>
        <v>7200</v>
      </c>
      <c r="AR2" s="14">
        <f t="shared" si="5"/>
        <v>7200</v>
      </c>
      <c r="AS2" s="14">
        <f t="shared" ref="AS2:AS12" si="18">IF(AQ2-AR2&lt;=0,0,AQ2-AR2)</f>
        <v>0</v>
      </c>
      <c r="AT2" s="14">
        <f t="shared" ca="1" si="6"/>
        <v>0</v>
      </c>
      <c r="AU2" s="15">
        <v>30</v>
      </c>
      <c r="AV2" s="14">
        <f t="shared" ca="1" si="7"/>
        <v>4228.5042872529402</v>
      </c>
      <c r="AW2" s="17" t="s">
        <v>10</v>
      </c>
      <c r="AX2" s="18" t="s">
        <v>104</v>
      </c>
      <c r="BD2" s="13">
        <v>0</v>
      </c>
      <c r="BE2" s="19">
        <v>0</v>
      </c>
      <c r="BF2" s="20">
        <v>0</v>
      </c>
    </row>
    <row r="3" spans="1:58" ht="39.950000000000003" customHeight="1" x14ac:dyDescent="0.25">
      <c r="A3" s="59"/>
      <c r="B3" s="79"/>
      <c r="C3" s="76"/>
      <c r="D3" s="57"/>
      <c r="E3" s="43"/>
      <c r="F3" s="57"/>
      <c r="G3" s="58"/>
      <c r="H3" s="57"/>
      <c r="I3" s="57"/>
      <c r="J3" s="48"/>
      <c r="K3" s="49"/>
      <c r="L3" s="50"/>
      <c r="M3" s="57"/>
      <c r="N3" s="57"/>
      <c r="O3" s="57"/>
      <c r="P3" s="57"/>
      <c r="Q3" s="70"/>
      <c r="R3" s="82" t="s">
        <v>58</v>
      </c>
      <c r="S3" s="65"/>
      <c r="T3" s="69"/>
      <c r="U3" s="72"/>
      <c r="V3" s="71"/>
      <c r="W3" s="61"/>
      <c r="X3" s="60"/>
      <c r="Y3" s="55"/>
      <c r="Z3" s="13" t="s">
        <v>76</v>
      </c>
      <c r="AA3" s="14">
        <f t="shared" ca="1" si="0"/>
        <v>0</v>
      </c>
      <c r="AB3" s="14">
        <f ca="1">COUNTIF(S1,"Ocak")*(AR15)
+COUNTIF(S1,"Şubat")*(AR16)
+COUNTIF(S1,"Mart")*(AR17)
+COUNTIF(S1,"Nisan")*(AR18)
+COUNTIF(S1,"Mayıs")*(AR19)
+COUNTIF(S1,"Haziran")*(AR20)
+COUNTIF(S1,"Temmuz")*(AR21)
+COUNTIF(S1,"Ağustos")*(AR22)
+COUNTIF(S1,"Eylül")*(AR23)
+COUNTIF(S1,"Ekim")*(AR24)
+COUNTIF(S1,"Kasım")*(AR25)
+COUNTIF(S1,"Aralık")*(AR26)
+COUNTIF(S1,"Yıllık Toplam")*(AR27)
+COUNTIF(S1,"Yıllık Ortalama")*(AR28)</f>
        <v>0</v>
      </c>
      <c r="AC3" s="14">
        <v>3112.76</v>
      </c>
      <c r="AD3" s="14">
        <f t="shared" si="1"/>
        <v>0</v>
      </c>
      <c r="AE3" s="14">
        <f t="shared" ca="1" si="2"/>
        <v>0</v>
      </c>
      <c r="AF3" s="14">
        <f t="shared" si="3"/>
        <v>7200</v>
      </c>
      <c r="AG3" s="14">
        <f t="shared" ca="1" si="8"/>
        <v>7200</v>
      </c>
      <c r="AH3" s="14">
        <f t="shared" si="9"/>
        <v>7200</v>
      </c>
      <c r="AI3" s="14">
        <f t="shared" si="10"/>
        <v>7200</v>
      </c>
      <c r="AJ3" s="14">
        <f t="shared" si="11"/>
        <v>0</v>
      </c>
      <c r="AK3" s="14">
        <f t="shared" si="12"/>
        <v>0</v>
      </c>
      <c r="AL3" s="14">
        <f t="shared" si="13"/>
        <v>7200</v>
      </c>
      <c r="AM3" s="14">
        <f t="shared" si="4"/>
        <v>7200</v>
      </c>
      <c r="AN3" s="14">
        <f t="shared" si="14"/>
        <v>0</v>
      </c>
      <c r="AO3" s="14">
        <f t="shared" si="15"/>
        <v>0</v>
      </c>
      <c r="AP3" s="14">
        <f t="shared" si="16"/>
        <v>0</v>
      </c>
      <c r="AQ3" s="14">
        <f t="shared" si="17"/>
        <v>7200</v>
      </c>
      <c r="AR3" s="14">
        <f t="shared" si="5"/>
        <v>7200</v>
      </c>
      <c r="AS3" s="14">
        <f t="shared" si="18"/>
        <v>0</v>
      </c>
      <c r="AT3" s="14">
        <f t="shared" ca="1" si="6"/>
        <v>0</v>
      </c>
      <c r="AU3" s="15">
        <v>30</v>
      </c>
      <c r="AV3" s="14">
        <f t="shared" ca="1" si="7"/>
        <v>4781.740764789085</v>
      </c>
      <c r="AW3" s="17" t="s">
        <v>12</v>
      </c>
      <c r="AX3" s="21" t="s">
        <v>45</v>
      </c>
      <c r="BD3" s="13">
        <v>1</v>
      </c>
      <c r="BE3" s="19">
        <v>0.5</v>
      </c>
      <c r="BF3" s="20">
        <v>0.03</v>
      </c>
    </row>
    <row r="4" spans="1:58" ht="39.950000000000003" customHeight="1" x14ac:dyDescent="0.25">
      <c r="A4" s="59"/>
      <c r="B4" s="80"/>
      <c r="C4" s="77"/>
      <c r="D4" s="57"/>
      <c r="E4" s="43"/>
      <c r="F4" s="57"/>
      <c r="G4" s="58"/>
      <c r="H4" s="57"/>
      <c r="I4" s="57"/>
      <c r="J4" s="48"/>
      <c r="K4" s="49"/>
      <c r="L4" s="50"/>
      <c r="M4" s="57"/>
      <c r="N4" s="57"/>
      <c r="O4" s="57"/>
      <c r="P4" s="57"/>
      <c r="Q4" s="70"/>
      <c r="R4" s="82" t="s">
        <v>59</v>
      </c>
      <c r="S4" s="65"/>
      <c r="T4" s="69"/>
      <c r="U4" s="72"/>
      <c r="V4" s="71"/>
      <c r="W4" s="61"/>
      <c r="X4" s="60"/>
      <c r="Y4" s="55"/>
      <c r="Z4" s="13" t="s">
        <v>77</v>
      </c>
      <c r="AA4" s="14">
        <f t="shared" ref="AA4" ca="1" si="19">IF(AB4&gt;0,AB4,AB4*-1)</f>
        <v>0</v>
      </c>
      <c r="AB4" s="14">
        <f ca="1">COUNTIF(S1,"Ocak")*(AT15)
+COUNTIF(S1,"Şubat")*(AT16)
+COUNTIF(S1,"Mart")*(AT17)
+COUNTIF(S1,"Nisan")*(AT18)
+COUNTIF(S1,"Mayıs")*(AT19)
+COUNTIF(S1,"Haziran")*(AT20)
+COUNTIF(S1,"Temmuz")*(AT21)
+COUNTIF(S1,"Ağustos")*(AT22)
+COUNTIF(S1,"Eylül")*(AT23)
+COUNTIF(S1,"Ekim")*(AT24)
+COUNTIF(S1,"Kasım")*(AT25)
+COUNTIF(S1,"Aralık")*(AT26)
+COUNTIF(S1,"Yıllık Toplam")*(AT27)
+COUNTIF(S1,"Yıllık Ortalama")*(AT28)</f>
        <v>0</v>
      </c>
      <c r="AC4" s="14">
        <v>3753.63</v>
      </c>
      <c r="AD4" s="14">
        <f t="shared" si="1"/>
        <v>0</v>
      </c>
      <c r="AE4" s="14">
        <f t="shared" ca="1" si="2"/>
        <v>0</v>
      </c>
      <c r="AF4" s="14">
        <f t="shared" si="3"/>
        <v>7200</v>
      </c>
      <c r="AG4" s="14">
        <f t="shared" ca="1" si="8"/>
        <v>7200</v>
      </c>
      <c r="AH4" s="14">
        <f t="shared" si="9"/>
        <v>7200</v>
      </c>
      <c r="AI4" s="14">
        <f t="shared" si="10"/>
        <v>7200</v>
      </c>
      <c r="AJ4" s="14">
        <f t="shared" si="11"/>
        <v>0</v>
      </c>
      <c r="AK4" s="14">
        <f t="shared" si="12"/>
        <v>0</v>
      </c>
      <c r="AL4" s="14">
        <f t="shared" si="13"/>
        <v>7200</v>
      </c>
      <c r="AM4" s="14">
        <f t="shared" si="4"/>
        <v>7200</v>
      </c>
      <c r="AN4" s="14">
        <f t="shared" si="14"/>
        <v>0</v>
      </c>
      <c r="AO4" s="14">
        <f t="shared" si="15"/>
        <v>0</v>
      </c>
      <c r="AP4" s="14">
        <f t="shared" si="16"/>
        <v>0</v>
      </c>
      <c r="AQ4" s="14">
        <f t="shared" si="17"/>
        <v>7200</v>
      </c>
      <c r="AR4" s="14">
        <f t="shared" si="5"/>
        <v>7200</v>
      </c>
      <c r="AS4" s="14">
        <f t="shared" si="18"/>
        <v>0</v>
      </c>
      <c r="AT4" s="14">
        <f t="shared" ca="1" si="6"/>
        <v>0</v>
      </c>
      <c r="AU4" s="15">
        <v>30</v>
      </c>
      <c r="AV4" s="14">
        <f t="shared" ca="1" si="7"/>
        <v>4904.7456165137346</v>
      </c>
      <c r="AW4" s="17" t="s">
        <v>41</v>
      </c>
      <c r="AX4" s="14" t="s">
        <v>50</v>
      </c>
      <c r="BD4" s="13">
        <v>2</v>
      </c>
      <c r="BE4" s="19">
        <v>1</v>
      </c>
      <c r="BF4" s="20">
        <v>0.04</v>
      </c>
    </row>
    <row r="5" spans="1:58" ht="39.950000000000003" customHeight="1" x14ac:dyDescent="0.25">
      <c r="A5" s="59"/>
      <c r="B5" s="79" t="s">
        <v>102</v>
      </c>
      <c r="C5" s="76">
        <f>COUNTIF($A$1,"Amir")*($AB$21)
+COUNTIF($A$1,"Gişe")*($AB$22)
+COUNTIF($A$1,"Çıma")*($AB$23)
+COUNTIF($A$1,"Ustabaşı")*($AB$24)
+COUNTIF($A$1,"İtfaiye Amiri")*($AB$25)
+COUNTIF($A$1,"Usta")*($AB$26)
+COUNTIF($A$1,"Vinç Operatörü")*($AB$27)
+COUNTIF($A$1,"Forklift Operatörü")*($AB$28)
+COUNTIF($A$1,"İtfaiyeci")*($AB$29)
+COUNTIF($A$1,"Usta Yardımcısı")*($AB$30)
+COUNTIF($A$1,"Gemi Havuzlama Personeli")*($AB$31)
+COUNTIF($A$1,"Yakıt Yağ ve Atık Personeli")*($AB$32)
+COUNTIF($A$1,"Tersane Saha Personeli")*($AB$33)</f>
        <v>2784.66489</v>
      </c>
      <c r="D5" s="57"/>
      <c r="E5" s="43"/>
      <c r="F5" s="57"/>
      <c r="G5" s="58"/>
      <c r="H5" s="57"/>
      <c r="I5" s="57"/>
      <c r="J5" s="48"/>
      <c r="K5" s="49"/>
      <c r="L5" s="50"/>
      <c r="M5" s="57"/>
      <c r="N5" s="57"/>
      <c r="O5" s="57"/>
      <c r="P5" s="57"/>
      <c r="Q5" s="70"/>
      <c r="R5" s="82" t="s">
        <v>60</v>
      </c>
      <c r="S5" s="65"/>
      <c r="T5" s="69"/>
      <c r="U5" s="72"/>
      <c r="V5" s="71"/>
      <c r="W5" s="61"/>
      <c r="X5" s="60"/>
      <c r="Y5" s="55"/>
      <c r="Z5" s="13" t="s">
        <v>78</v>
      </c>
      <c r="AA5" s="14">
        <f t="shared" ref="AA5:AA10" ca="1" si="20">IF(AB5&gt;0,AB5,AB5*-1)</f>
        <v>0</v>
      </c>
      <c r="AB5" s="14">
        <f ca="1">COUNTIF(S1,"Ocak")*(AV15)
+COUNTIF(S1,"Şubat")*(AV16)
+COUNTIF(S1,"Mart")*(AV17)
+COUNTIF(S1,"Nisan")*(AV18)
+COUNTIF(S1,"Mayıs")*(AV19)
+COUNTIF(S1,"Haziran")*(AV20)
+COUNTIF(S1,"Temmuz")*(AV21)
+COUNTIF(S1,"Ağustos")*(AV22)
+COUNTIF(S1,"Eylül")*(AV23)
+COUNTIF(S1,"Ekim")*(AV24)
+COUNTIF(S1,"Kasım")*(AV25)
+COUNTIF(S1,"Aralık")*(AV26)
+COUNTIF(S1,"Yıllık Toplam")*(AV27)
+COUNTIF(S1,"Yıllık Ortalama")*(AV28)</f>
        <v>0</v>
      </c>
      <c r="AC5" s="14">
        <v>3753.63</v>
      </c>
      <c r="AD5" s="14">
        <f t="shared" si="1"/>
        <v>0</v>
      </c>
      <c r="AE5" s="14">
        <f t="shared" ca="1" si="2"/>
        <v>0</v>
      </c>
      <c r="AF5" s="14">
        <f t="shared" si="3"/>
        <v>7800</v>
      </c>
      <c r="AG5" s="14">
        <f t="shared" ca="1" si="8"/>
        <v>7800</v>
      </c>
      <c r="AH5" s="14">
        <f t="shared" si="9"/>
        <v>7800</v>
      </c>
      <c r="AI5" s="14">
        <f t="shared" si="10"/>
        <v>7800</v>
      </c>
      <c r="AJ5" s="14">
        <f t="shared" si="11"/>
        <v>0</v>
      </c>
      <c r="AK5" s="14">
        <f t="shared" si="12"/>
        <v>0</v>
      </c>
      <c r="AL5" s="14">
        <f t="shared" si="13"/>
        <v>7800</v>
      </c>
      <c r="AM5" s="14">
        <f t="shared" si="4"/>
        <v>7800</v>
      </c>
      <c r="AN5" s="14">
        <f t="shared" si="14"/>
        <v>0</v>
      </c>
      <c r="AO5" s="14">
        <f t="shared" si="15"/>
        <v>0</v>
      </c>
      <c r="AP5" s="14">
        <f t="shared" si="16"/>
        <v>0</v>
      </c>
      <c r="AQ5" s="14">
        <f t="shared" si="17"/>
        <v>7800</v>
      </c>
      <c r="AR5" s="14">
        <f t="shared" si="5"/>
        <v>7800</v>
      </c>
      <c r="AS5" s="14">
        <f t="shared" si="18"/>
        <v>0</v>
      </c>
      <c r="AT5" s="14">
        <f t="shared" ca="1" si="6"/>
        <v>0</v>
      </c>
      <c r="AU5" s="15">
        <v>30</v>
      </c>
      <c r="AV5" s="14">
        <f t="shared" ca="1" si="7"/>
        <v>5103.747700440992</v>
      </c>
      <c r="AW5" s="17" t="s">
        <v>16</v>
      </c>
      <c r="AX5" s="21" t="s">
        <v>46</v>
      </c>
      <c r="BD5" s="13">
        <v>3</v>
      </c>
      <c r="BE5" s="19">
        <v>1.5</v>
      </c>
      <c r="BF5" s="20">
        <v>0.05</v>
      </c>
    </row>
    <row r="6" spans="1:58" ht="39.950000000000003" customHeight="1" x14ac:dyDescent="0.25">
      <c r="A6" s="59"/>
      <c r="B6" s="79"/>
      <c r="C6" s="76"/>
      <c r="D6" s="57"/>
      <c r="E6" s="43"/>
      <c r="F6" s="57"/>
      <c r="G6" s="58"/>
      <c r="H6" s="57"/>
      <c r="I6" s="57"/>
      <c r="J6" s="48"/>
      <c r="K6" s="49"/>
      <c r="L6" s="50"/>
      <c r="M6" s="57"/>
      <c r="N6" s="57"/>
      <c r="O6" s="57"/>
      <c r="P6" s="57"/>
      <c r="Q6" s="70"/>
      <c r="R6" s="82" t="s">
        <v>61</v>
      </c>
      <c r="S6" s="65"/>
      <c r="T6" s="69"/>
      <c r="U6" s="72"/>
      <c r="V6" s="71"/>
      <c r="W6" s="61"/>
      <c r="X6" s="60"/>
      <c r="Y6" s="55"/>
      <c r="Z6" s="13" t="s">
        <v>79</v>
      </c>
      <c r="AA6" s="14">
        <f t="shared" ca="1" si="20"/>
        <v>0</v>
      </c>
      <c r="AB6" s="14">
        <f ca="1">COUNTIF(S1,"Ocak")*(AE1)
+COUNTIF(S1,"Şubat")*(AE2)
+COUNTIF(S1,"Mart")*(AE3)
+COUNTIF(S1,"Nisan")*(AE4)
+COUNTIF(S1,"Mayıs")*(AE5)
+COUNTIF(S1,"Haziran")*(AE6)
+COUNTIF(S1,"Temmuz")*(AE7)
+COUNTIF(S1,"Ağustos")*(AE8)
+COUNTIF(S1,"Eylül")*(AE9)
+COUNTIF(S1,"Ekim")*(AE10)
+COUNTIF(S1,"Kasım")*(AE11)
+COUNTIF(S1,"Aralık")*(AE12)
+COUNTIF(S1,"Yıllık Toplam")*(AE13)
+COUNTIF(S1,"Yıllık Ortalama")*(AE14)</f>
        <v>0</v>
      </c>
      <c r="AC6" s="14">
        <v>3295.87</v>
      </c>
      <c r="AD6" s="14">
        <f t="shared" si="1"/>
        <v>0</v>
      </c>
      <c r="AE6" s="14">
        <f t="shared" ca="1" si="2"/>
        <v>0</v>
      </c>
      <c r="AF6" s="14">
        <f t="shared" si="3"/>
        <v>7800</v>
      </c>
      <c r="AG6" s="14">
        <f t="shared" ca="1" si="8"/>
        <v>7800</v>
      </c>
      <c r="AH6" s="14">
        <f t="shared" si="9"/>
        <v>7800</v>
      </c>
      <c r="AI6" s="14">
        <f t="shared" si="10"/>
        <v>7800</v>
      </c>
      <c r="AJ6" s="14">
        <f t="shared" si="11"/>
        <v>0</v>
      </c>
      <c r="AK6" s="14">
        <f t="shared" si="12"/>
        <v>0</v>
      </c>
      <c r="AL6" s="14">
        <f t="shared" si="13"/>
        <v>7800</v>
      </c>
      <c r="AM6" s="14">
        <f t="shared" si="4"/>
        <v>7800</v>
      </c>
      <c r="AN6" s="14">
        <f t="shared" si="14"/>
        <v>0</v>
      </c>
      <c r="AO6" s="14">
        <f t="shared" si="15"/>
        <v>0</v>
      </c>
      <c r="AP6" s="14">
        <f t="shared" si="16"/>
        <v>0</v>
      </c>
      <c r="AQ6" s="14">
        <f t="shared" si="17"/>
        <v>7800</v>
      </c>
      <c r="AR6" s="14">
        <f t="shared" si="5"/>
        <v>7800</v>
      </c>
      <c r="AS6" s="14">
        <f t="shared" si="18"/>
        <v>0</v>
      </c>
      <c r="AT6" s="14">
        <f t="shared" ca="1" si="6"/>
        <v>0</v>
      </c>
      <c r="AU6" s="15">
        <v>30</v>
      </c>
      <c r="AV6" s="14">
        <f t="shared" ca="1" si="7"/>
        <v>5380.8878954495767</v>
      </c>
      <c r="AW6" s="17" t="s">
        <v>14</v>
      </c>
      <c r="AX6" s="18" t="s">
        <v>105</v>
      </c>
      <c r="BD6" s="13">
        <v>4</v>
      </c>
      <c r="BE6" s="19">
        <v>2</v>
      </c>
      <c r="BF6" s="20">
        <v>0.06</v>
      </c>
    </row>
    <row r="7" spans="1:58" ht="39.950000000000003" customHeight="1" x14ac:dyDescent="0.25">
      <c r="A7" s="59"/>
      <c r="B7" s="79"/>
      <c r="C7" s="76"/>
      <c r="D7" s="57"/>
      <c r="E7" s="43"/>
      <c r="F7" s="57"/>
      <c r="G7" s="58"/>
      <c r="H7" s="57"/>
      <c r="I7" s="57"/>
      <c r="J7" s="48"/>
      <c r="K7" s="49"/>
      <c r="L7" s="50"/>
      <c r="M7" s="57"/>
      <c r="N7" s="57"/>
      <c r="O7" s="57"/>
      <c r="P7" s="57"/>
      <c r="Q7" s="70"/>
      <c r="R7" s="82" t="s">
        <v>2</v>
      </c>
      <c r="S7" s="65"/>
      <c r="T7" s="69"/>
      <c r="U7" s="72"/>
      <c r="V7" s="71"/>
      <c r="W7" s="61"/>
      <c r="X7" s="60"/>
      <c r="Y7" s="55"/>
      <c r="Z7" s="13" t="s">
        <v>6</v>
      </c>
      <c r="AA7" s="14">
        <f t="shared" ca="1" si="20"/>
        <v>7600</v>
      </c>
      <c r="AB7" s="14">
        <f ca="1">COUNTIF(S1,"Ocak")*(AG1)
+COUNTIF(S1,"Şubat")*(AG2)
+COUNTIF(S1,"Mart")*(AG3)
+COUNTIF(S1,"Nisan")*(AG4)
+COUNTIF(S1,"Mayıs")*(AG5)
+COUNTIF(S1,"Haziran")*(AG6)
+COUNTIF(S1,"Temmuz")*(AG7)
+COUNTIF(S1,"Ağustos")*(AG8)
+COUNTIF(S1,"Eylül")*(AG9)
+COUNTIF(S1,"Ekim")*(AG10)
+COUNTIF(S1,"Kasım")*(AG11)
+COUNTIF(S1,"Aralık")*(AG12)
+COUNTIF(S1,"Yıllık Toplam")*(AG13)
+COUNTIF(S1,"Yıllık Ortalama")*(AG14)</f>
        <v>7600</v>
      </c>
      <c r="AC7" s="14">
        <v>3295.87</v>
      </c>
      <c r="AD7" s="14">
        <f t="shared" si="1"/>
        <v>0</v>
      </c>
      <c r="AE7" s="14">
        <f t="shared" ca="1" si="2"/>
        <v>0</v>
      </c>
      <c r="AF7" s="14">
        <f t="shared" si="3"/>
        <v>7800</v>
      </c>
      <c r="AG7" s="14">
        <f t="shared" ca="1" si="8"/>
        <v>7800</v>
      </c>
      <c r="AH7" s="14">
        <f t="shared" si="9"/>
        <v>7800</v>
      </c>
      <c r="AI7" s="14">
        <f t="shared" si="10"/>
        <v>7800</v>
      </c>
      <c r="AJ7" s="14">
        <f t="shared" si="11"/>
        <v>0</v>
      </c>
      <c r="AK7" s="14">
        <f t="shared" si="12"/>
        <v>0</v>
      </c>
      <c r="AL7" s="14">
        <f t="shared" si="13"/>
        <v>7800</v>
      </c>
      <c r="AM7" s="14">
        <f t="shared" ref="AM7:AM12" si="21">IF($AC$25*I21&gt;=AL7,AL7,$AC$25*I21)</f>
        <v>7800</v>
      </c>
      <c r="AN7" s="14">
        <f t="shared" si="14"/>
        <v>0</v>
      </c>
      <c r="AO7" s="14">
        <f t="shared" si="15"/>
        <v>0</v>
      </c>
      <c r="AP7" s="14">
        <f t="shared" si="16"/>
        <v>0</v>
      </c>
      <c r="AQ7" s="14">
        <f t="shared" si="17"/>
        <v>7800</v>
      </c>
      <c r="AR7" s="14">
        <f t="shared" ref="AR7:AR12" si="22">IF($AC$26*I21&gt;=AQ7,AQ7,$AC$26*I21)</f>
        <v>7800</v>
      </c>
      <c r="AS7" s="14">
        <f t="shared" si="18"/>
        <v>0</v>
      </c>
      <c r="AT7" s="14">
        <f t="shared" ca="1" si="6"/>
        <v>0</v>
      </c>
      <c r="AU7" s="15">
        <v>30</v>
      </c>
      <c r="AV7" s="14">
        <f t="shared" ca="1" si="7"/>
        <v>5578.3067660831121</v>
      </c>
      <c r="AW7" s="17" t="s">
        <v>15</v>
      </c>
      <c r="AX7" s="18" t="s">
        <v>106</v>
      </c>
      <c r="BD7" s="13">
        <v>5</v>
      </c>
      <c r="BE7" s="19">
        <v>2.5</v>
      </c>
      <c r="BF7" s="20">
        <v>7.0000000000000007E-2</v>
      </c>
    </row>
    <row r="8" spans="1:58" ht="39.950000000000003" customHeight="1" x14ac:dyDescent="0.25">
      <c r="A8" s="59"/>
      <c r="B8" s="79"/>
      <c r="C8" s="76"/>
      <c r="D8" s="57"/>
      <c r="E8" s="43"/>
      <c r="F8" s="57"/>
      <c r="G8" s="58"/>
      <c r="H8" s="57"/>
      <c r="I8" s="57"/>
      <c r="J8" s="48"/>
      <c r="K8" s="49"/>
      <c r="L8" s="50"/>
      <c r="M8" s="57"/>
      <c r="N8" s="57"/>
      <c r="O8" s="57"/>
      <c r="P8" s="57"/>
      <c r="Q8" s="70"/>
      <c r="R8" s="82" t="s">
        <v>64</v>
      </c>
      <c r="S8" s="65"/>
      <c r="T8" s="69"/>
      <c r="U8" s="72"/>
      <c r="V8" s="71"/>
      <c r="W8" s="61"/>
      <c r="X8" s="60"/>
      <c r="Y8" s="55"/>
      <c r="Z8" s="13" t="s">
        <v>17</v>
      </c>
      <c r="AA8" s="14">
        <f t="shared" si="20"/>
        <v>3376.8333333333335</v>
      </c>
      <c r="AB8" s="14">
        <f>COUNTIF(S1,"Ocak")*(AD29)
+COUNTIF(S1,"Şubat")*(AD30)
+COUNTIF(S1,"Mart")*(AD31)
+COUNTIF(S1,"Nisan")*(AD32)
+COUNTIF(S1,"Mayıs")*(AD33)
+COUNTIF(S1,"Haziran")*(AD34)
+COUNTIF(S1,"Temmuz")*(AD35)
+COUNTIF(S1,"Ağustos")*(AD36)
+COUNTIF(S1,"Eylül")*(AD37)
+COUNTIF(S1,"Ekim")*(AD38)
+COUNTIF(S1,"Kasım")*(AD39)
+COUNTIF(S1,"Aralık")*(AD40)
+COUNTIF(S1,"Yıllık Toplam")*(AD41)
+COUNTIF(S1,"Yıllık Ortalama")*(AD42)</f>
        <v>3376.8333333333335</v>
      </c>
      <c r="AC8" s="14">
        <v>3295.87</v>
      </c>
      <c r="AD8" s="14">
        <f t="shared" si="1"/>
        <v>0</v>
      </c>
      <c r="AE8" s="14">
        <f t="shared" ca="1" si="2"/>
        <v>0</v>
      </c>
      <c r="AF8" s="14">
        <f t="shared" si="3"/>
        <v>7800</v>
      </c>
      <c r="AG8" s="14">
        <f t="shared" ca="1" si="8"/>
        <v>7800</v>
      </c>
      <c r="AH8" s="14">
        <f t="shared" si="9"/>
        <v>7800</v>
      </c>
      <c r="AI8" s="14">
        <f t="shared" si="10"/>
        <v>7800</v>
      </c>
      <c r="AJ8" s="14">
        <f t="shared" si="11"/>
        <v>0</v>
      </c>
      <c r="AK8" s="14">
        <f t="shared" si="12"/>
        <v>0</v>
      </c>
      <c r="AL8" s="14">
        <f t="shared" si="13"/>
        <v>7800</v>
      </c>
      <c r="AM8" s="14">
        <f t="shared" si="21"/>
        <v>7800</v>
      </c>
      <c r="AN8" s="14">
        <f t="shared" si="14"/>
        <v>0</v>
      </c>
      <c r="AO8" s="14">
        <f t="shared" si="15"/>
        <v>0</v>
      </c>
      <c r="AP8" s="14">
        <f t="shared" si="16"/>
        <v>0</v>
      </c>
      <c r="AQ8" s="14">
        <f t="shared" si="17"/>
        <v>7800</v>
      </c>
      <c r="AR8" s="14">
        <f t="shared" si="22"/>
        <v>7800</v>
      </c>
      <c r="AS8" s="14">
        <f t="shared" si="18"/>
        <v>0</v>
      </c>
      <c r="AT8" s="14">
        <f t="shared" ca="1" si="6"/>
        <v>0</v>
      </c>
      <c r="AU8" s="15">
        <v>30</v>
      </c>
      <c r="AV8" s="14">
        <f t="shared" ca="1" si="7"/>
        <v>5919.3029971774004</v>
      </c>
      <c r="AW8" s="17" t="s">
        <v>42</v>
      </c>
      <c r="AX8" s="21" t="s">
        <v>47</v>
      </c>
      <c r="BD8" s="13">
        <v>6</v>
      </c>
      <c r="BE8" s="19">
        <v>3</v>
      </c>
      <c r="BF8" s="20">
        <v>0.08</v>
      </c>
    </row>
    <row r="9" spans="1:58" ht="39.950000000000003" customHeight="1" x14ac:dyDescent="0.25">
      <c r="A9" s="59"/>
      <c r="B9" s="80"/>
      <c r="C9" s="77"/>
      <c r="D9" s="57"/>
      <c r="E9" s="43"/>
      <c r="F9" s="57"/>
      <c r="G9" s="58"/>
      <c r="H9" s="57"/>
      <c r="I9" s="57"/>
      <c r="J9" s="48"/>
      <c r="K9" s="49"/>
      <c r="L9" s="50"/>
      <c r="M9" s="57"/>
      <c r="N9" s="57"/>
      <c r="O9" s="57"/>
      <c r="P9" s="57"/>
      <c r="Q9" s="70"/>
      <c r="R9" s="82" t="s">
        <v>65</v>
      </c>
      <c r="S9" s="65"/>
      <c r="T9" s="69"/>
      <c r="U9" s="72"/>
      <c r="V9" s="71"/>
      <c r="W9" s="61"/>
      <c r="X9" s="60"/>
      <c r="Y9" s="55"/>
      <c r="Z9" s="13" t="s">
        <v>22</v>
      </c>
      <c r="AA9" s="14">
        <f t="shared" ca="1" si="20"/>
        <v>17964.533833370751</v>
      </c>
      <c r="AB9" s="14">
        <f ca="1">COUNTIF(S1,"Ocak")*(AH29)
+COUNTIF(S1,"Şubat")*(AH30)
+COUNTIF(S1,"Mart")*(AH31)
+COUNTIF(S1,"Nisan")*(AH32)
+COUNTIF(S1,"Mayıs")*(AH33)
+COUNTIF(S1,"Haziran")*(AH34)
+COUNTIF(S1,"Temmuz")*(AH35)
+COUNTIF(S1,"Ağustos")*(AH36)
+COUNTIF(S1,"Eylül")*(AH37)
+COUNTIF(S1,"Ekim")*(AH38)
+COUNTIF(S1,"Kasım")*(AH39)
+COUNTIF(S1,"Aralık")*(AH40)
+COUNTIF(S1,"Yıllık Toplam")*(AH41)
+COUNTIF(S1,"Yıllık Ortalama")*(AH42)</f>
        <v>17964.533833370751</v>
      </c>
      <c r="AC9" s="14">
        <v>3295.87</v>
      </c>
      <c r="AD9" s="14">
        <f t="shared" si="1"/>
        <v>0</v>
      </c>
      <c r="AE9" s="14">
        <f t="shared" ca="1" si="2"/>
        <v>0</v>
      </c>
      <c r="AF9" s="14">
        <f t="shared" si="3"/>
        <v>7800</v>
      </c>
      <c r="AG9" s="14">
        <f t="shared" ca="1" si="8"/>
        <v>7800</v>
      </c>
      <c r="AH9" s="14">
        <f t="shared" si="9"/>
        <v>7800</v>
      </c>
      <c r="AI9" s="14">
        <f t="shared" si="10"/>
        <v>7800</v>
      </c>
      <c r="AJ9" s="14">
        <f t="shared" si="11"/>
        <v>0</v>
      </c>
      <c r="AK9" s="14">
        <f t="shared" si="12"/>
        <v>0</v>
      </c>
      <c r="AL9" s="14">
        <f t="shared" si="13"/>
        <v>7800</v>
      </c>
      <c r="AM9" s="14">
        <f t="shared" si="21"/>
        <v>7800</v>
      </c>
      <c r="AN9" s="14">
        <f t="shared" si="14"/>
        <v>0</v>
      </c>
      <c r="AO9" s="14">
        <f t="shared" si="15"/>
        <v>0</v>
      </c>
      <c r="AP9" s="14">
        <f t="shared" si="16"/>
        <v>0</v>
      </c>
      <c r="AQ9" s="14">
        <f t="shared" si="17"/>
        <v>7800</v>
      </c>
      <c r="AR9" s="14">
        <f t="shared" si="22"/>
        <v>7800</v>
      </c>
      <c r="AS9" s="14">
        <f t="shared" si="18"/>
        <v>0</v>
      </c>
      <c r="AT9" s="14">
        <f t="shared" ca="1" si="6"/>
        <v>0</v>
      </c>
      <c r="AU9" s="15">
        <v>30</v>
      </c>
      <c r="AV9" s="14">
        <f t="shared" ca="1" si="7"/>
        <v>5919.3029971774004</v>
      </c>
      <c r="AW9" s="17" t="s">
        <v>37</v>
      </c>
      <c r="AX9" s="18" t="s">
        <v>107</v>
      </c>
      <c r="BD9" s="13">
        <v>7</v>
      </c>
      <c r="BE9" s="19">
        <v>3.5</v>
      </c>
      <c r="BF9" s="20">
        <v>0.09</v>
      </c>
    </row>
    <row r="10" spans="1:58" ht="39.950000000000003" customHeight="1" x14ac:dyDescent="0.25">
      <c r="A10" s="59"/>
      <c r="B10" s="78" t="s">
        <v>103</v>
      </c>
      <c r="C10" s="75">
        <f>COUNTIF($A$1,"Amir")*($AC$1)
+COUNTIF($A$1,"Gişe")*($AC$2)
+COUNTIF($A$1,"Çıma")*($AC$3)
+COUNTIF($A$1,"Ustabaşı")*($AC$4)
+COUNTIF($A$1,"İtfaiye Amiri")*($AC$5)
+COUNTIF($A$1,"Usta")*($AC$6)
+COUNTIF($A$1,"Vinç Operatörü")*($AC$7)
+COUNTIF($A$1,"Forklift Operatörü")*($AC$8)
+COUNTIF($A$1,"İtfaiyeci")*($AC$9)
+COUNTIF($A$1,"Usta Yardımcısı")*($AC$10)
+COUNTIF($A$1,"Gemi Havuzlama Personeli")*($AC$11)
+COUNTIF($A$1,"Yakıt Yağ ve Atık Personeli")*($AC$12)
+COUNTIF($A$1,"Tersane Saha Personeli")*($AC$13)</f>
        <v>3204.31</v>
      </c>
      <c r="D10" s="57"/>
      <c r="E10" s="43"/>
      <c r="F10" s="57"/>
      <c r="G10" s="58"/>
      <c r="H10" s="57"/>
      <c r="I10" s="57"/>
      <c r="J10" s="48"/>
      <c r="K10" s="49"/>
      <c r="L10" s="50"/>
      <c r="M10" s="57"/>
      <c r="N10" s="57"/>
      <c r="O10" s="57"/>
      <c r="P10" s="57"/>
      <c r="Q10" s="70"/>
      <c r="R10" s="82" t="s">
        <v>66</v>
      </c>
      <c r="S10" s="65"/>
      <c r="T10" s="69"/>
      <c r="U10" s="72"/>
      <c r="V10" s="71"/>
      <c r="W10" s="61"/>
      <c r="X10" s="60"/>
      <c r="Y10" s="55"/>
      <c r="Z10" s="13" t="s">
        <v>7</v>
      </c>
      <c r="AA10" s="14">
        <f t="shared" ca="1" si="20"/>
        <v>4667.0301277896033</v>
      </c>
      <c r="AB10" s="14">
        <f ca="1">COUNTIF(S1,"Ocak")*(AK29)
+COUNTIF(S1,"Şubat")*(AK30)
+COUNTIF(S1,"Mart")*(AK31)
+COUNTIF(S1,"Nisan")*(AK32)
+COUNTIF(S1,"Mayıs")*(AK33)
+COUNTIF(S1,"Haziran")*(AK34)
+COUNTIF(S1,"Temmuz")*(AK35)
+COUNTIF(S1,"Ağustos")*(AK36)
+COUNTIF(S1,"Eylül")*(AK37)
+COUNTIF(S1,"Ekim")*(AK38)
+COUNTIF(S1,"Kasım")*(AK39)
+COUNTIF(S1,"Aralık")*(AK40)
+COUNTIF(S1,"Yıllık Toplam")*(AK41)
+COUNTIF(S1,"Yıllık Ortalama")*(AK42)</f>
        <v>4667.0301277896033</v>
      </c>
      <c r="AC10" s="14">
        <v>3066.98</v>
      </c>
      <c r="AD10" s="14">
        <f t="shared" si="1"/>
        <v>0</v>
      </c>
      <c r="AE10" s="14">
        <f t="shared" ca="1" si="2"/>
        <v>0</v>
      </c>
      <c r="AF10" s="14">
        <f t="shared" si="3"/>
        <v>7800</v>
      </c>
      <c r="AG10" s="14">
        <f t="shared" ca="1" si="8"/>
        <v>7800</v>
      </c>
      <c r="AH10" s="14">
        <f t="shared" si="9"/>
        <v>7800</v>
      </c>
      <c r="AI10" s="14">
        <f t="shared" si="10"/>
        <v>7800</v>
      </c>
      <c r="AJ10" s="14">
        <f t="shared" si="11"/>
        <v>0</v>
      </c>
      <c r="AK10" s="14">
        <f t="shared" si="12"/>
        <v>0</v>
      </c>
      <c r="AL10" s="14">
        <f t="shared" si="13"/>
        <v>7800</v>
      </c>
      <c r="AM10" s="14">
        <f t="shared" si="21"/>
        <v>7800</v>
      </c>
      <c r="AN10" s="14">
        <f t="shared" si="14"/>
        <v>0</v>
      </c>
      <c r="AO10" s="14">
        <f t="shared" si="15"/>
        <v>0</v>
      </c>
      <c r="AP10" s="14">
        <f t="shared" si="16"/>
        <v>0</v>
      </c>
      <c r="AQ10" s="14">
        <f t="shared" si="17"/>
        <v>7800</v>
      </c>
      <c r="AR10" s="14">
        <f t="shared" si="22"/>
        <v>7800</v>
      </c>
      <c r="AS10" s="14">
        <f t="shared" si="18"/>
        <v>0</v>
      </c>
      <c r="AT10" s="14">
        <f t="shared" ca="1" si="6"/>
        <v>0</v>
      </c>
      <c r="AU10" s="15">
        <v>30</v>
      </c>
      <c r="AV10" s="14">
        <f t="shared" ca="1" si="7"/>
        <v>5919.3029971774004</v>
      </c>
      <c r="AW10" s="17" t="s">
        <v>43</v>
      </c>
      <c r="AX10" s="21" t="s">
        <v>48</v>
      </c>
      <c r="BD10" s="13">
        <v>8</v>
      </c>
      <c r="BE10" s="19">
        <v>4</v>
      </c>
      <c r="BF10" s="20">
        <v>0.1</v>
      </c>
    </row>
    <row r="11" spans="1:58" ht="39.950000000000003" customHeight="1" x14ac:dyDescent="0.25">
      <c r="A11" s="59"/>
      <c r="B11" s="79"/>
      <c r="C11" s="76"/>
      <c r="D11" s="57"/>
      <c r="E11" s="43"/>
      <c r="F11" s="57"/>
      <c r="G11" s="58"/>
      <c r="H11" s="57"/>
      <c r="I11" s="57"/>
      <c r="J11" s="48"/>
      <c r="K11" s="49"/>
      <c r="L11" s="50"/>
      <c r="M11" s="57"/>
      <c r="N11" s="57"/>
      <c r="O11" s="57"/>
      <c r="P11" s="57"/>
      <c r="Q11" s="70"/>
      <c r="R11" s="82" t="s">
        <v>67</v>
      </c>
      <c r="S11" s="65"/>
      <c r="T11" s="69"/>
      <c r="U11" s="72"/>
      <c r="V11" s="71"/>
      <c r="W11" s="61"/>
      <c r="X11" s="60"/>
      <c r="Y11" s="55"/>
      <c r="Z11" s="13" t="s">
        <v>33</v>
      </c>
      <c r="AA11" s="14">
        <f t="shared" ref="AA11:AA20" si="23">IF(AB11&gt;0,AB11,AB11*-1)</f>
        <v>0</v>
      </c>
      <c r="AB11" s="14">
        <f>COUNTIF(S1,"Ocak")*(AN29)
+COUNTIF(S1,"Şubat")*(AN30)
+COUNTIF(S1,"Mart")*(AN31)
+COUNTIF(S1,"Nisan")*(AN32)
+COUNTIF(S1,"Mayıs")*(AN33)
+COUNTIF(S1,"Haziran")*(AN34)
+COUNTIF(S1,"Temmuz")*(AN35)
+COUNTIF(S1,"Ağustos")*(AN36)
+COUNTIF(S1,"Eylül")*(AN37)
+COUNTIF(S1,"Ekim")*(AN38)
+COUNTIF(S1,"Kasım")*(AN39)
+COUNTIF(S1,"Aralık")*(AN40)
+COUNTIF(S1,"Yıllık Toplam")*(AN41)
+COUNTIF(S1,"Yıllık Ortalama")*(AN42)</f>
        <v>0</v>
      </c>
      <c r="AC11" s="14">
        <v>2929.66</v>
      </c>
      <c r="AD11" s="14">
        <f t="shared" si="1"/>
        <v>0</v>
      </c>
      <c r="AE11" s="14">
        <f t="shared" ca="1" si="2"/>
        <v>0</v>
      </c>
      <c r="AF11" s="14">
        <f t="shared" si="3"/>
        <v>7800</v>
      </c>
      <c r="AG11" s="14">
        <f t="shared" ca="1" si="8"/>
        <v>7800</v>
      </c>
      <c r="AH11" s="14">
        <f t="shared" si="9"/>
        <v>7800</v>
      </c>
      <c r="AI11" s="14">
        <f t="shared" si="10"/>
        <v>7800</v>
      </c>
      <c r="AJ11" s="14">
        <f t="shared" si="11"/>
        <v>0</v>
      </c>
      <c r="AK11" s="14">
        <f t="shared" si="12"/>
        <v>0</v>
      </c>
      <c r="AL11" s="14">
        <f t="shared" si="13"/>
        <v>7800</v>
      </c>
      <c r="AM11" s="14">
        <f t="shared" si="21"/>
        <v>7800</v>
      </c>
      <c r="AN11" s="14">
        <f t="shared" si="14"/>
        <v>0</v>
      </c>
      <c r="AO11" s="14">
        <f t="shared" si="15"/>
        <v>0</v>
      </c>
      <c r="AP11" s="14">
        <f t="shared" si="16"/>
        <v>0</v>
      </c>
      <c r="AQ11" s="14">
        <f t="shared" si="17"/>
        <v>7800</v>
      </c>
      <c r="AR11" s="14">
        <f t="shared" si="22"/>
        <v>7800</v>
      </c>
      <c r="AS11" s="14">
        <f t="shared" si="18"/>
        <v>0</v>
      </c>
      <c r="AT11" s="14">
        <f t="shared" ca="1" si="6"/>
        <v>0</v>
      </c>
      <c r="AU11" s="15">
        <v>30</v>
      </c>
      <c r="AV11" s="14">
        <f t="shared" ca="1" si="7"/>
        <v>5919.3029971774004</v>
      </c>
      <c r="AW11" s="17" t="s">
        <v>13</v>
      </c>
      <c r="AX11" s="18" t="s">
        <v>108</v>
      </c>
      <c r="BD11" s="13">
        <v>9</v>
      </c>
      <c r="BE11" s="19">
        <v>4.5</v>
      </c>
      <c r="BF11" s="20">
        <v>0.11</v>
      </c>
    </row>
    <row r="12" spans="1:58" ht="39.950000000000003" customHeight="1" x14ac:dyDescent="0.25">
      <c r="A12" s="59"/>
      <c r="B12" s="79"/>
      <c r="C12" s="76"/>
      <c r="D12" s="57"/>
      <c r="E12" s="43"/>
      <c r="F12" s="57"/>
      <c r="G12" s="58"/>
      <c r="H12" s="57"/>
      <c r="I12" s="57"/>
      <c r="J12" s="48"/>
      <c r="K12" s="49"/>
      <c r="L12" s="50"/>
      <c r="M12" s="57"/>
      <c r="N12" s="57"/>
      <c r="O12" s="57"/>
      <c r="P12" s="57"/>
      <c r="Q12" s="70"/>
      <c r="R12" s="82" t="s">
        <v>62</v>
      </c>
      <c r="S12" s="65"/>
      <c r="T12" s="69"/>
      <c r="U12" s="72"/>
      <c r="V12" s="71"/>
      <c r="W12" s="61"/>
      <c r="X12" s="60"/>
      <c r="Y12" s="55"/>
      <c r="Z12" s="13" t="s">
        <v>34</v>
      </c>
      <c r="AA12" s="14">
        <f t="shared" si="23"/>
        <v>2567.5072005000006</v>
      </c>
      <c r="AB12" s="14">
        <f>COUNTIF(S1,"Ocak")*(AP29)*-1
+COUNTIF(S1,"Şubat")*(AP30)*-1
+COUNTIF(S1,"Mart")*(AP31)*-1
+COUNTIF(S1,"Nisan")*(AP32)*-1
+COUNTIF(S1,"Mayıs")*(AP33)*-1
+COUNTIF(S1,"Haziran")*(AP34)*-1
+COUNTIF(S1,"Temmuz")*(AP35)*-1
+COUNTIF(S1,"Ağustos")*(AP36)*-1
+COUNTIF(S1,"Eylül")*(AP37)*-1
+COUNTIF(S1,"Ekim")*(AP38)*-1
+COUNTIF(S1,"Kasım")*(AP39)*-1
+COUNTIF(S1,"Aralık")*(AP40)*-1
+COUNTIF(S1,"Yıllık Toplam")*(AP41)*-1
+COUNTIF(S1,"Yıllık Ortalama")*(AP42)*-1</f>
        <v>2567.5072005000006</v>
      </c>
      <c r="AC12" s="14">
        <v>2929.66</v>
      </c>
      <c r="AD12" s="14">
        <f t="shared" si="1"/>
        <v>0</v>
      </c>
      <c r="AE12" s="14">
        <f t="shared" ca="1" si="2"/>
        <v>0</v>
      </c>
      <c r="AF12" s="14">
        <f t="shared" si="3"/>
        <v>7800</v>
      </c>
      <c r="AG12" s="14">
        <f t="shared" ca="1" si="8"/>
        <v>7800</v>
      </c>
      <c r="AH12" s="14">
        <f t="shared" si="9"/>
        <v>7800</v>
      </c>
      <c r="AI12" s="14">
        <f t="shared" si="10"/>
        <v>7800</v>
      </c>
      <c r="AJ12" s="14">
        <f t="shared" si="11"/>
        <v>0</v>
      </c>
      <c r="AK12" s="14">
        <f t="shared" si="12"/>
        <v>0</v>
      </c>
      <c r="AL12" s="14">
        <f t="shared" si="13"/>
        <v>7800</v>
      </c>
      <c r="AM12" s="14">
        <f t="shared" si="21"/>
        <v>7800</v>
      </c>
      <c r="AN12" s="14">
        <f t="shared" si="14"/>
        <v>0</v>
      </c>
      <c r="AO12" s="14">
        <f t="shared" si="15"/>
        <v>0</v>
      </c>
      <c r="AP12" s="14">
        <f t="shared" si="16"/>
        <v>0</v>
      </c>
      <c r="AQ12" s="14">
        <f t="shared" si="17"/>
        <v>7800</v>
      </c>
      <c r="AR12" s="14">
        <f t="shared" si="22"/>
        <v>7800</v>
      </c>
      <c r="AS12" s="14">
        <f t="shared" si="18"/>
        <v>0</v>
      </c>
      <c r="AT12" s="14">
        <f t="shared" ca="1" si="6"/>
        <v>0</v>
      </c>
      <c r="AU12" s="15">
        <v>30</v>
      </c>
      <c r="AV12" s="14">
        <f t="shared" ca="1" si="7"/>
        <v>5919.3029971774004</v>
      </c>
      <c r="AW12" s="17" t="s">
        <v>36</v>
      </c>
      <c r="AX12" s="18" t="s">
        <v>109</v>
      </c>
      <c r="BD12" s="13">
        <v>10</v>
      </c>
      <c r="BE12" s="19">
        <v>5</v>
      </c>
      <c r="BF12" s="20">
        <v>0.12</v>
      </c>
    </row>
    <row r="13" spans="1:58" ht="39.950000000000003" customHeight="1" x14ac:dyDescent="0.25">
      <c r="A13" s="59"/>
      <c r="B13" s="79"/>
      <c r="C13" s="76"/>
      <c r="D13" s="57"/>
      <c r="E13" s="43"/>
      <c r="F13" s="57"/>
      <c r="G13" s="58"/>
      <c r="H13" s="57"/>
      <c r="I13" s="57"/>
      <c r="J13" s="48"/>
      <c r="K13" s="49"/>
      <c r="L13" s="50"/>
      <c r="M13" s="57"/>
      <c r="N13" s="57"/>
      <c r="O13" s="57"/>
      <c r="P13" s="57"/>
      <c r="Q13" s="70"/>
      <c r="R13" s="82" t="s">
        <v>63</v>
      </c>
      <c r="S13" s="65"/>
      <c r="T13" s="69"/>
      <c r="U13" s="72"/>
      <c r="V13" s="71"/>
      <c r="W13" s="61"/>
      <c r="X13" s="60"/>
      <c r="Y13" s="55"/>
      <c r="Z13" s="13" t="s">
        <v>19</v>
      </c>
      <c r="AA13" s="14">
        <f t="shared" ca="1" si="23"/>
        <v>0</v>
      </c>
      <c r="AB13" s="14">
        <f ca="1">COUNTIF(S1,"Ocak")*(AT29)*-1
+COUNTIF(S1,"Şubat")*(AT30)*-1
+COUNTIF(S1,"Mart")*(AT31)*-1
+COUNTIF(S1,"Nisan")*(AT32)*-1
+COUNTIF(S1,"Mayıs")*(AT33)*-1
+COUNTIF(S1,"Haziran")*(AT34)*-1
+COUNTIF(S1,"Temmuz")*(AT35)*-1
+COUNTIF(S1,"Ağustos")*(AT36)*-1
+COUNTIF(S1,"Eylül")*(AT37)*-1
+COUNTIF(S1,"Ekim")*(AT38)*-1
+COUNTIF(S1,"Kasım")*(AT39)*-1
+COUNTIF(S1,"Aralık")*(AT40)*-1
+COUNTIF(S1,"Yıllık Toplam")*(AT41)*-1
+COUNTIF(S1,"Yıllık Ortalama")*(AT42)*-1</f>
        <v>0</v>
      </c>
      <c r="AC13" s="14">
        <v>2929.66</v>
      </c>
      <c r="AD13" s="14">
        <f t="shared" ref="AD13:AE13" si="24">(AD1+AD2+AD3+AD4+AD5+AD6+AD7+AD8+AD9+AD10+AD11+AD12)</f>
        <v>0</v>
      </c>
      <c r="AE13" s="14">
        <f t="shared" ca="1" si="24"/>
        <v>0</v>
      </c>
      <c r="AF13" s="14">
        <f>(AF1+AF2+AF3+AF4+AF5+AF6+AF7+AF8+AF9+AF10+AF11+AF12)</f>
        <v>91200</v>
      </c>
      <c r="AG13" s="14">
        <f ca="1">(AG1+AG2+AG3+AG4+AG5+AG6+AG7+AG8+AG9+AG10+AG11+AG12)</f>
        <v>91200</v>
      </c>
      <c r="AH13" s="14">
        <f t="shared" ref="AH13:AT13" si="25">(AH1+AH2+AH3+AH4+AH5+AH6+AH7+AH8+AH9+AH10+AH11+AH12)</f>
        <v>91200</v>
      </c>
      <c r="AI13" s="14">
        <f t="shared" ref="AI13" si="26">(AI1+AI2+AI3+AI4+AI5+AI6+AI7+AI8+AI9+AI10+AI11+AI12)</f>
        <v>91200</v>
      </c>
      <c r="AJ13" s="14">
        <f t="shared" si="25"/>
        <v>0</v>
      </c>
      <c r="AK13" s="14">
        <f t="shared" si="25"/>
        <v>0</v>
      </c>
      <c r="AL13" s="14">
        <f t="shared" ref="AL13" si="27">(AL1+AL2+AL3+AL4+AL5+AL6+AL7+AL8+AL9+AL10+AL11+AL12)</f>
        <v>91200</v>
      </c>
      <c r="AM13" s="14">
        <f t="shared" si="25"/>
        <v>91200</v>
      </c>
      <c r="AN13" s="14">
        <f t="shared" si="25"/>
        <v>0</v>
      </c>
      <c r="AO13" s="14">
        <f t="shared" si="25"/>
        <v>0</v>
      </c>
      <c r="AP13" s="14">
        <f t="shared" si="25"/>
        <v>0</v>
      </c>
      <c r="AQ13" s="14">
        <f t="shared" ref="AQ13" si="28">(AQ1+AQ2+AQ3+AQ4+AQ5+AQ6+AQ7+AQ8+AQ9+AQ10+AQ11+AQ12)</f>
        <v>91200</v>
      </c>
      <c r="AR13" s="14">
        <f t="shared" si="25"/>
        <v>91200</v>
      </c>
      <c r="AS13" s="14">
        <f t="shared" si="25"/>
        <v>0</v>
      </c>
      <c r="AT13" s="14">
        <f t="shared" ca="1" si="25"/>
        <v>0</v>
      </c>
      <c r="AU13" s="15">
        <f>(AU1+AU2+AU3+AU4+AU5+AU6+AU7+AU8+AU9+AU10+AU11+AU12)</f>
        <v>360</v>
      </c>
      <c r="AV13" s="14">
        <f ca="1">(AV1+AV2+AV3+AV4+AV5+AV6+AV7+AV8+AV9+AV10+AV11+AV12)</f>
        <v>63418.288499833943</v>
      </c>
      <c r="AW13" s="22" t="s">
        <v>38</v>
      </c>
      <c r="AX13" s="21" t="s">
        <v>52</v>
      </c>
      <c r="BD13" s="13">
        <v>11</v>
      </c>
      <c r="BE13" s="19">
        <v>5.5</v>
      </c>
      <c r="BF13" s="20">
        <v>0.13</v>
      </c>
    </row>
    <row r="14" spans="1:58" ht="39.950000000000003" customHeight="1" x14ac:dyDescent="0.25">
      <c r="A14" s="59"/>
      <c r="B14" s="80"/>
      <c r="C14" s="77"/>
      <c r="D14" s="57"/>
      <c r="E14" s="44"/>
      <c r="F14" s="57"/>
      <c r="G14" s="58"/>
      <c r="H14" s="57"/>
      <c r="I14" s="57"/>
      <c r="J14" s="51"/>
      <c r="K14" s="52"/>
      <c r="L14" s="53"/>
      <c r="M14" s="57"/>
      <c r="N14" s="57"/>
      <c r="O14" s="57"/>
      <c r="P14" s="57"/>
      <c r="Q14" s="70"/>
      <c r="R14" s="82" t="s">
        <v>8</v>
      </c>
      <c r="S14" s="65"/>
      <c r="T14" s="69"/>
      <c r="U14" s="72"/>
      <c r="V14" s="71"/>
      <c r="W14" s="61"/>
      <c r="X14" s="60"/>
      <c r="Y14" s="55"/>
      <c r="Z14" s="13" t="s">
        <v>20</v>
      </c>
      <c r="AA14" s="14">
        <f t="shared" ca="1" si="23"/>
        <v>720.38373819984497</v>
      </c>
      <c r="AB14" s="14">
        <f ca="1">COUNTIF(S1,"Ocak")*(AG59)*-1
+COUNTIF(S1,"Şubat")*(AG60)*-1
+COUNTIF(S1,"Mart")*(AG61)*-1
+COUNTIF(S1,"Nisan")*(AG62)*-1
+COUNTIF(S1,"Mayıs")*(AG63)*-1
+COUNTIF(S1,"Haziran")*(AG64)*-1
+COUNTIF(S1,"Temmuz")*(AG65)*-1
+COUNTIF(S1,"Ağustos")*(AG66)*-1
+COUNTIF(S1,"Eylül")*(AG67)*-1
+COUNTIF(S1,"Ekim")*(AG68)*-1
+COUNTIF(S1,"Kasım")*(AG69)*-1
+COUNTIF(S1,"Aralık")*(AG70)*-1
+COUNTIF(S1,"Yıllık Toplam")*(AG71)*-1
+COUNTIF(S1,"Yıllık Ortalama")*(AG72)*-1</f>
        <v>720.38373819984497</v>
      </c>
      <c r="AC14" s="14">
        <f>($AC$20*$Z$34)</f>
        <v>3303</v>
      </c>
      <c r="AD14" s="14">
        <f t="shared" ref="AD14:AE14" si="29">(AD13/12)</f>
        <v>0</v>
      </c>
      <c r="AE14" s="14">
        <f t="shared" ca="1" si="29"/>
        <v>0</v>
      </c>
      <c r="AF14" s="14">
        <f>(AF13/12)</f>
        <v>7600</v>
      </c>
      <c r="AG14" s="14">
        <f ca="1">(AG13/12)</f>
        <v>7600</v>
      </c>
      <c r="AH14" s="14">
        <f t="shared" ref="AH14:AT14" si="30">(AH13/12)</f>
        <v>7600</v>
      </c>
      <c r="AI14" s="14">
        <f t="shared" ref="AI14" si="31">(AI13/12)</f>
        <v>7600</v>
      </c>
      <c r="AJ14" s="14">
        <f t="shared" si="30"/>
        <v>0</v>
      </c>
      <c r="AK14" s="14">
        <f t="shared" si="30"/>
        <v>0</v>
      </c>
      <c r="AL14" s="14">
        <f t="shared" ref="AL14" si="32">(AL13/12)</f>
        <v>7600</v>
      </c>
      <c r="AM14" s="14">
        <f t="shared" si="30"/>
        <v>7600</v>
      </c>
      <c r="AN14" s="14">
        <f t="shared" si="30"/>
        <v>0</v>
      </c>
      <c r="AO14" s="14">
        <f t="shared" si="30"/>
        <v>0</v>
      </c>
      <c r="AP14" s="14">
        <f t="shared" si="30"/>
        <v>0</v>
      </c>
      <c r="AQ14" s="14">
        <f t="shared" ref="AQ14" si="33">(AQ13/12)</f>
        <v>7600</v>
      </c>
      <c r="AR14" s="14">
        <f t="shared" si="30"/>
        <v>7600</v>
      </c>
      <c r="AS14" s="14">
        <f t="shared" si="30"/>
        <v>0</v>
      </c>
      <c r="AT14" s="14">
        <f t="shared" ca="1" si="30"/>
        <v>0</v>
      </c>
      <c r="AU14" s="23" t="s">
        <v>0</v>
      </c>
      <c r="AV14" s="14">
        <f ca="1">(AV13/12)</f>
        <v>5284.8573749861616</v>
      </c>
      <c r="AW14" s="17" t="s">
        <v>44</v>
      </c>
      <c r="AX14" s="18" t="s">
        <v>51</v>
      </c>
      <c r="BD14" s="13">
        <v>12</v>
      </c>
      <c r="BE14" s="19">
        <v>6</v>
      </c>
      <c r="BF14" s="20">
        <v>0.14000000000000001</v>
      </c>
    </row>
    <row r="15" spans="1:58" ht="39.950000000000003" customHeight="1" x14ac:dyDescent="0.25">
      <c r="A15" s="4">
        <f t="shared" ref="A15:A26" ca="1" si="34">(AS59)</f>
        <v>0.15</v>
      </c>
      <c r="B15" s="73" t="s">
        <v>89</v>
      </c>
      <c r="C15" s="74"/>
      <c r="D15" s="38">
        <v>0</v>
      </c>
      <c r="E15" s="39">
        <v>0</v>
      </c>
      <c r="F15" s="39">
        <v>0</v>
      </c>
      <c r="G15" s="39">
        <v>0</v>
      </c>
      <c r="H15" s="39">
        <v>0</v>
      </c>
      <c r="I15" s="38">
        <v>24</v>
      </c>
      <c r="J15" s="40" t="s">
        <v>1</v>
      </c>
      <c r="K15" s="40" t="s">
        <v>1</v>
      </c>
      <c r="L15" s="40" t="s">
        <v>1</v>
      </c>
      <c r="M15" s="41">
        <v>0</v>
      </c>
      <c r="N15" s="41" t="s">
        <v>1</v>
      </c>
      <c r="O15" s="5">
        <f t="shared" ref="O15:O26" ca="1" si="35">(AD59+AP29+AR29+AG59+AK59+AL59+AU59-P15)</f>
        <v>61967.883932635727</v>
      </c>
      <c r="P15" s="5">
        <f t="shared" ref="P15:P26" ca="1" si="36">(AR15+AT15+AV15+AE1+AG1+AS29)</f>
        <v>7200</v>
      </c>
      <c r="Q15" s="6">
        <f ca="1">(O15+P15)</f>
        <v>69167.883932635727</v>
      </c>
      <c r="R15" s="82" t="s">
        <v>35</v>
      </c>
      <c r="S15" s="65"/>
      <c r="T15" s="69"/>
      <c r="U15" s="72"/>
      <c r="V15" s="71"/>
      <c r="W15" s="61"/>
      <c r="X15" s="60"/>
      <c r="Y15" s="55"/>
      <c r="Z15" s="13" t="s">
        <v>4</v>
      </c>
      <c r="AA15" s="14">
        <f t="shared" ca="1" si="23"/>
        <v>17911.910586031398</v>
      </c>
      <c r="AB15" s="14">
        <f ca="1">COUNTIF(S1,"Ocak")*(AK59)*-1
+COUNTIF(S1,"Şubat")*(AK60)*-1
+COUNTIF(S1,"Mart")*(AK61)*-1
+COUNTIF(S1,"Nisan")*(AK62)*-1
+COUNTIF(S1,"Mayıs")*(AK63)*-1
+COUNTIF(S1,"Haziran")*(AK64)*-1
+COUNTIF(S1,"Temmuz")*(AK65)*-1
+COUNTIF(S1,"Ağustos")*(AK66)*-1
+COUNTIF(S1,"Eylül")*(AK67)*-1
+COUNTIF(S1,"Ekim")*(AK68)*-1
+COUNTIF(S1,"Kasım")*(AK69)*-1
+COUNTIF(S1,"Aralık")*(AK70)*-1
+COUNTIF(S1,"Yıllık Toplam")*(AK71)*-1
+COUNTIF(S1,"Yıllık Ortalama")*(AK72)*-1</f>
        <v>17911.910586031398</v>
      </c>
      <c r="AC15" s="14">
        <f>($AC$20*$Z$35)</f>
        <v>660.6</v>
      </c>
      <c r="AD15" s="24">
        <v>46023</v>
      </c>
      <c r="AE15" s="25">
        <f t="shared" ref="AE15:AE26" si="37">EOMONTH(AD15,0)</f>
        <v>46053</v>
      </c>
      <c r="AF15" s="26">
        <f>COUNTIF($A$1,"Amir")*(DAY(AE15))
+COUNTIF($A$1,"Gişe")*(DAY(AE15))
+COUNTIF($A$1,"Çıma")*(DAY(AE15))
+COUNTIF($A$1,"Ustabaşı")*(DAY(AE15))
+COUNTIF($A$1,"İtfaiye Amiri")*(DAY(AE15))
+COUNTIF($A$1,"Usta")*(DAY(AE15))
+COUNTIF($A$1,"Vinç Operatörü")*(DAY(AE15))
+COUNTIF($A$1,"Forklift Operatörü")*(DAY(AE15))
+COUNTIF($A$1,"İtfaiyeci")*(DAY(AE15))
+COUNTIF($A$1,"Usta Yardımcısı")*(DAY(AE15))
+COUNTIF($A$1,"Gemi Havuzlama Personeli")*(DAY(AE15))
+COUNTIF($A$1,"Yakıt Yağ ve Atık Personeli")*(DAY(AE15))
+COUNTIF($A$1,"Tersane Saha Personeli")*(DAY(AE15))</f>
        <v>31</v>
      </c>
      <c r="AG15" s="26">
        <f>NETWORKDAYS.INTL(AD15,AE15,11)</f>
        <v>27</v>
      </c>
      <c r="AH15" s="26">
        <f>(AF15-AG15)</f>
        <v>4</v>
      </c>
      <c r="AI15" s="14">
        <f>COUNTIF($A$1,"Amir")*($AA$21)
+COUNTIF($A$1,"Gişe")*($AA$22)
+COUNTIF($A$1,"Çıma")*($AA$23)
+COUNTIF($A$1,"Ustabaşı")*($AA$24)
+COUNTIF($A$1,"İtfaiye Amiri")*($AA$25)
+COUNTIF($A$1,"Usta")*($AA$26)
+COUNTIF($A$1,"Vinç Operatörü")*($AA$27)
+COUNTIF($A$1,"Forklift Operatörü")*($AA$28)
+COUNTIF($A$1,"İtfaiyeci")*($AA$29)
+COUNTIF($A$1,"Usta Yardımcısı")*($AA$30)
+COUNTIF($A$1,"Gemi Havuzlama Personeli")*($AA$31)
+COUNTIF($A$1,"Yakıt Yağ ve Atık Personeli")*($AA$32)
+COUNTIF($A$1,"Tersane Saha Personeli")*($AA$33)</f>
        <v>2354.1</v>
      </c>
      <c r="AJ15" s="14">
        <f t="shared" ref="AJ15:AJ26" ca="1" si="38">(AI15*AX59)</f>
        <v>1682.9696309999999</v>
      </c>
      <c r="AK15" s="14">
        <f>COUNTIF($A$1,"Amir")*($AA$21)
+COUNTIF($A$1,"Gişe")*($AA$22)
+COUNTIF($A$1,"Çıma")*($AA$23)
+COUNTIF($A$1,"Ustabaşı")*($AA$24)
+COUNTIF($A$1,"İtfaiye Amiri")*($AA$25)
+COUNTIF($A$1,"Usta")*($AA$26)
+COUNTIF($A$1,"Vinç Operatörü")*($AA$27)
+COUNTIF($A$1,"Forklift Operatörü")*($AA$28)
+COUNTIF($A$1,"İtfaiyeci")*($AA$29)
+COUNTIF($A$1,"Usta Yardımcısı")*($AA$30)
+COUNTIF($A$1,"Gemi Havuzlama Personeli")*($AA$31)
+COUNTIF($A$1,"Yakıt Yağ ve Atık Personeli")*($AA$32)
+COUNTIF($A$1,"Tersane Saha Personeli")*($AA$33)</f>
        <v>2354.1</v>
      </c>
      <c r="AL15" s="14">
        <f t="shared" ref="AL15:AL26" ca="1" si="39">(AK15*AX59+AI44/30+AZ44/30)</f>
        <v>1831.7038876666668</v>
      </c>
      <c r="AM15" s="27">
        <f t="shared" ref="AM15:AM26" si="40">(AI15*AF15)</f>
        <v>72977.099999999991</v>
      </c>
      <c r="AN15" s="14">
        <f t="shared" ref="AN15:AN26" ca="1" si="41">(AM15*AX59)</f>
        <v>52172.058560999998</v>
      </c>
      <c r="AO15" s="14">
        <f t="shared" ref="AO15:AO26" si="42">(75*D15)</f>
        <v>0</v>
      </c>
      <c r="AP15" s="14">
        <f t="shared" ref="AP15:AP26" ca="1" si="43">(AO15*AX59)</f>
        <v>0</v>
      </c>
      <c r="AQ15" s="14">
        <f t="shared" ref="AQ15:AQ26" si="44">(AI15/7.5*1.6*E15)</f>
        <v>0</v>
      </c>
      <c r="AR15" s="14">
        <f t="shared" ref="AR15:AR26" ca="1" si="45">(AQ15*AX59)</f>
        <v>0</v>
      </c>
      <c r="AS15" s="14">
        <f t="shared" ref="AS15:AS26" si="46">(AI15/7.5*1.3*F15)</f>
        <v>0</v>
      </c>
      <c r="AT15" s="14">
        <f t="shared" ref="AT15:AT26" ca="1" si="47">(AS15*AX59)</f>
        <v>0</v>
      </c>
      <c r="AU15" s="14">
        <f t="shared" ref="AU15:AU26" si="48">(AI15/7.5*2*G15)</f>
        <v>0</v>
      </c>
      <c r="AV15" s="14">
        <f t="shared" ref="AV15:AV26" ca="1" si="49">(AU15*AX59)</f>
        <v>0</v>
      </c>
      <c r="BD15" s="13">
        <v>13</v>
      </c>
      <c r="BE15" s="19">
        <v>6.5</v>
      </c>
      <c r="BF15" s="20">
        <v>0.15</v>
      </c>
    </row>
    <row r="16" spans="1:58" ht="39.950000000000003" customHeight="1" x14ac:dyDescent="0.25">
      <c r="A16" s="4">
        <f t="shared" ca="1" si="34"/>
        <v>0.15</v>
      </c>
      <c r="B16" s="73" t="s">
        <v>90</v>
      </c>
      <c r="C16" s="74"/>
      <c r="D16" s="38">
        <v>0</v>
      </c>
      <c r="E16" s="39">
        <v>0</v>
      </c>
      <c r="F16" s="39">
        <v>0</v>
      </c>
      <c r="G16" s="39">
        <v>0</v>
      </c>
      <c r="H16" s="39">
        <v>0</v>
      </c>
      <c r="I16" s="38">
        <v>24</v>
      </c>
      <c r="J16" s="40" t="s">
        <v>1</v>
      </c>
      <c r="K16" s="40" t="s">
        <v>1</v>
      </c>
      <c r="L16" s="40" t="s">
        <v>1</v>
      </c>
      <c r="M16" s="41">
        <v>0</v>
      </c>
      <c r="N16" s="41" t="s">
        <v>1</v>
      </c>
      <c r="O16" s="5">
        <f t="shared" ca="1" si="35"/>
        <v>57193.976424624765</v>
      </c>
      <c r="P16" s="5">
        <f t="shared" ca="1" si="36"/>
        <v>7200</v>
      </c>
      <c r="Q16" s="6">
        <f t="shared" ref="Q16:Q26" ca="1" si="50">(O16+P16)</f>
        <v>64393.976424624765</v>
      </c>
      <c r="R16" s="82" t="s">
        <v>23</v>
      </c>
      <c r="S16" s="65"/>
      <c r="T16" s="69"/>
      <c r="U16" s="72"/>
      <c r="V16" s="71"/>
      <c r="W16" s="61"/>
      <c r="X16" s="60"/>
      <c r="Y16" s="55"/>
      <c r="Z16" s="13" t="s">
        <v>5</v>
      </c>
      <c r="AA16" s="14">
        <f t="shared" ca="1" si="23"/>
        <v>1279.4221847165284</v>
      </c>
      <c r="AB16" s="14">
        <f ca="1">COUNTIF(S1,"Ocak")*(AL59)*-1
+COUNTIF(S1,"Şubat")*(AL60)*-1
+COUNTIF(S1,"Mart")*(AL61)*-1
+COUNTIF(S1,"Nisan")*(AL62)*-1
+COUNTIF(S1,"Mayıs")*(AL63)*-1
+COUNTIF(S1,"Haziran")*(AL64)*-1
+COUNTIF(S1,"Temmuz")*(AL65)*-1
+COUNTIF(S1,"Ağustos")*(AL66)*-1
+COUNTIF(S1,"Eylül")*(AL67)*-1
+COUNTIF(S1,"Ekim")*(AL68)*-1
+COUNTIF(S1,"Kasım")*(AL69)*-1
+COUNTIF(S1,"Aralık")*(AL70)*-1
+COUNTIF(S1,"Yıllık Toplam")*(AL71)*-1
+COUNTIF(S1,"Yıllık Ortalama")*(AL72)*-1</f>
        <v>1279.4221847165284</v>
      </c>
      <c r="AC16" s="14">
        <f>($AC$20*$Z$36)</f>
        <v>330.3</v>
      </c>
      <c r="AD16" s="25">
        <f>(AE15+1)</f>
        <v>46054</v>
      </c>
      <c r="AE16" s="25">
        <f t="shared" si="37"/>
        <v>46081</v>
      </c>
      <c r="AF16" s="26">
        <f t="shared" ref="AF16:AF26" si="51">COUNTIF($A$1,"Amir")*(DAY(AE16))
+COUNTIF($A$1,"Gişe")*(DAY(AE16))
+COUNTIF($A$1,"Çıma")*(DAY(AE16))
+COUNTIF($A$1,"Ustabaşı")*(DAY(AE16))
+COUNTIF($A$1,"İtfaiye Amiri")*(DAY(AE16))
+COUNTIF($A$1,"Usta")*(DAY(AE16))
+COUNTIF($A$1,"Vinç Operatörü")*(DAY(AE16))
+COUNTIF($A$1,"Forklift Operatörü")*(DAY(AE16))
+COUNTIF($A$1,"İtfaiyeci")*(DAY(AE16))
+COUNTIF($A$1,"Usta Yardımcısı")*(DAY(AE16))
+COUNTIF($A$1,"Gemi Havuzlama Personeli")*(DAY(AE16))
+COUNTIF($A$1,"Yakıt Yağ ve Atık Personeli")*(DAY(AE16))
+COUNTIF($A$1,"Tersane Saha Personeli")*(DAY(AE16))</f>
        <v>28</v>
      </c>
      <c r="AG16" s="26">
        <f t="shared" ref="AG16:AG26" si="52">NETWORKDAYS.INTL(AD16,AE16,11)</f>
        <v>24</v>
      </c>
      <c r="AH16" s="26">
        <f t="shared" ref="AH16:AH26" si="53">(AF16-AG16)</f>
        <v>4</v>
      </c>
      <c r="AI16" s="14">
        <f>COUNTIF($A$1,"Amir")*($AA$21)
+COUNTIF($A$1,"Gişe")*($AA$22)
+COUNTIF($A$1,"Çıma")*($AA$23)
+COUNTIF($A$1,"Ustabaşı")*($AA$24)
+COUNTIF($A$1,"İtfaiye Amiri")*($AA$25)
+COUNTIF($A$1,"Usta")*($AA$26)
+COUNTIF($A$1,"Vinç Operatörü")*($AA$27)
+COUNTIF($A$1,"Forklift Operatörü")*($AA$28)
+COUNTIF($A$1,"İtfaiyeci")*($AA$29)
+COUNTIF($A$1,"Usta Yardımcısı")*($AA$30)
+COUNTIF($A$1,"Gemi Havuzlama Personeli")*($AA$31)
+COUNTIF($A$1,"Yakıt Yağ ve Atık Personeli")*($AA$32)
+COUNTIF($A$1,"Tersane Saha Personeli")*($AA$33)</f>
        <v>2354.1</v>
      </c>
      <c r="AJ16" s="14">
        <f t="shared" ca="1" si="38"/>
        <v>1682.9696309999999</v>
      </c>
      <c r="AK16" s="14">
        <f>COUNTIF($A$1,"Amir")*($AA$21)
+COUNTIF($A$1,"Gişe")*($AA$22)
+COUNTIF($A$1,"Çıma")*($AA$23)
+COUNTIF($A$1,"Ustabaşı")*($AA$24)
+COUNTIF($A$1,"İtfaiye Amiri")*($AA$25)
+COUNTIF($A$1,"Usta")*($AA$26)
+COUNTIF($A$1,"Vinç Operatörü")*($AA$27)
+COUNTIF($A$1,"Forklift Operatörü")*($AA$28)
+COUNTIF($A$1,"İtfaiyeci")*($AA$29)
+COUNTIF($A$1,"Usta Yardımcısı")*($AA$30)
+COUNTIF($A$1,"Gemi Havuzlama Personeli")*($AA$31)
+COUNTIF($A$1,"Yakıt Yağ ve Atık Personeli")*($AA$32)
+COUNTIF($A$1,"Tersane Saha Personeli")*($AA$33)</f>
        <v>2354.1</v>
      </c>
      <c r="AL16" s="14">
        <f t="shared" ca="1" si="39"/>
        <v>1831.7038876666668</v>
      </c>
      <c r="AM16" s="27">
        <f t="shared" si="40"/>
        <v>65914.8</v>
      </c>
      <c r="AN16" s="14">
        <f t="shared" ca="1" si="41"/>
        <v>47123.149668000005</v>
      </c>
      <c r="AO16" s="14">
        <f t="shared" si="42"/>
        <v>0</v>
      </c>
      <c r="AP16" s="14">
        <f t="shared" ca="1" si="43"/>
        <v>0</v>
      </c>
      <c r="AQ16" s="14">
        <f t="shared" si="44"/>
        <v>0</v>
      </c>
      <c r="AR16" s="14">
        <f t="shared" ca="1" si="45"/>
        <v>0</v>
      </c>
      <c r="AS16" s="14">
        <f t="shared" si="46"/>
        <v>0</v>
      </c>
      <c r="AT16" s="14">
        <f t="shared" ca="1" si="47"/>
        <v>0</v>
      </c>
      <c r="AU16" s="14">
        <f t="shared" si="48"/>
        <v>0</v>
      </c>
      <c r="AV16" s="14">
        <f t="shared" ca="1" si="49"/>
        <v>0</v>
      </c>
      <c r="BD16" s="13">
        <v>14</v>
      </c>
      <c r="BE16" s="19">
        <v>7</v>
      </c>
      <c r="BF16" s="20">
        <v>0.16</v>
      </c>
    </row>
    <row r="17" spans="1:58" ht="39.950000000000003" customHeight="1" x14ac:dyDescent="0.25">
      <c r="A17" s="4">
        <f t="shared" ca="1" si="34"/>
        <v>0.17965060734238567</v>
      </c>
      <c r="B17" s="73" t="s">
        <v>91</v>
      </c>
      <c r="C17" s="74"/>
      <c r="D17" s="38">
        <v>0</v>
      </c>
      <c r="E17" s="39">
        <v>0</v>
      </c>
      <c r="F17" s="39">
        <v>0</v>
      </c>
      <c r="G17" s="39">
        <v>0</v>
      </c>
      <c r="H17" s="39">
        <v>0</v>
      </c>
      <c r="I17" s="38">
        <v>24</v>
      </c>
      <c r="J17" s="40" t="s">
        <v>1</v>
      </c>
      <c r="K17" s="40" t="s">
        <v>1</v>
      </c>
      <c r="L17" s="40" t="s">
        <v>1</v>
      </c>
      <c r="M17" s="41">
        <v>0</v>
      </c>
      <c r="N17" s="41" t="s">
        <v>1</v>
      </c>
      <c r="O17" s="5">
        <f t="shared" ca="1" si="35"/>
        <v>121843.00338154685</v>
      </c>
      <c r="P17" s="5">
        <f t="shared" ca="1" si="36"/>
        <v>7200</v>
      </c>
      <c r="Q17" s="6">
        <f t="shared" ca="1" si="50"/>
        <v>129043.00338154685</v>
      </c>
      <c r="R17" s="6"/>
      <c r="S17" s="65"/>
      <c r="T17" s="69"/>
      <c r="U17" s="72"/>
      <c r="V17" s="71"/>
      <c r="W17" s="61"/>
      <c r="X17" s="60"/>
      <c r="Y17" s="55"/>
      <c r="Z17" s="13" t="s">
        <v>21</v>
      </c>
      <c r="AA17" s="14">
        <f t="shared" ca="1" si="23"/>
        <v>20721.076666666664</v>
      </c>
      <c r="AB17" s="14">
        <f ca="1">COUNTIF(S1,"Ocak")*(AU59)*-1
+COUNTIF(S1,"Şubat")*(AU60)*-1
+COUNTIF(S1,"Mart")*(AU61)*-1
+COUNTIF(S1,"Nisan")*(AU62)*-1
+COUNTIF(S1,"Mayıs")*(AU63)*-1
+COUNTIF(S1,"Haziran")*(AU64)*-1
+COUNTIF(S1,"Temmuz")*(AU65)*-1
+COUNTIF(S1,"Ağustos")*(AU66)*-1
+COUNTIF(S1,"Eylül")*(AU67)*-1
+COUNTIF(S1,"Ekim")*(AU68)*-1
+COUNTIF(S1,"Kasım")*(AU69)*-1
+COUNTIF(S1,"Aralık")*(AU70)*-1
+COUNTIF(S1,"Yıllık Toplam")*(AU71)*-1
+COUNTIF(S1,"Yıllık Ortalama")*(AU72)*-1</f>
        <v>20721.076666666664</v>
      </c>
      <c r="AC17" s="14">
        <f>($AC$28)</f>
        <v>3581.1387760000002</v>
      </c>
      <c r="AD17" s="25">
        <f t="shared" ref="AD17:AD26" si="54">(AE16+1)</f>
        <v>46082</v>
      </c>
      <c r="AE17" s="25">
        <f t="shared" si="37"/>
        <v>46112</v>
      </c>
      <c r="AF17" s="26">
        <f t="shared" si="51"/>
        <v>31</v>
      </c>
      <c r="AG17" s="26">
        <f t="shared" si="52"/>
        <v>26</v>
      </c>
      <c r="AH17" s="26">
        <f t="shared" si="53"/>
        <v>5</v>
      </c>
      <c r="AI17" s="14">
        <f t="shared" ref="AI17:AI22" si="55">COUNTIF($A$1,"Amir")*($AB$21)
+COUNTIF($A$1,"Gişe")*($AB$22)
+COUNTIF($A$1,"Çıma")*($AB$23)
+COUNTIF($A$1,"Ustabaşı")*($AB$24)
+COUNTIF($A$1,"İtfaiye Amiri")*($AB$25)
+COUNTIF($A$1,"Usta")*($AB$26)
+COUNTIF($A$1,"Vinç Operatörü")*($AB$27)
+COUNTIF($A$1,"Forklift Operatörü")*($AB$28)
+COUNTIF($A$1,"İtfaiyeci")*($AB$29)
+COUNTIF($A$1,"Usta Yardımcısı")*($AB$30)
+COUNTIF($A$1,"Gemi Havuzlama Personeli")*($AB$31)
+COUNTIF($A$1,"Yakıt Yağ ve Atık Personeli")*($AB$32)
+COUNTIF($A$1,"Tersane Saha Personeli")*($AB$33)</f>
        <v>2784.66489</v>
      </c>
      <c r="AJ17" s="14">
        <f t="shared" ca="1" si="38"/>
        <v>1920.6028220614098</v>
      </c>
      <c r="AK17" s="14">
        <f t="shared" ref="AK17:AK22" si="56">COUNTIF($A$1,"Amir")*($AB$21)
+COUNTIF($A$1,"Gişe")*($AB$22)
+COUNTIF($A$1,"Çıma")*($AB$23)
+COUNTIF($A$1,"Ustabaşı")*($AB$24)
+COUNTIF($A$1,"İtfaiye Amiri")*($AB$25)
+COUNTIF($A$1,"Usta")*($AB$26)
+COUNTIF($A$1,"Vinç Operatörü")*($AB$27)
+COUNTIF($A$1,"Forklift Operatörü")*($AB$28)
+COUNTIF($A$1,"İtfaiyeci")*($AB$29)
+COUNTIF($A$1,"Usta Yardımcısı")*($AB$30)
+COUNTIF($A$1,"Gemi Havuzlama Personeli")*($AB$31)
+COUNTIF($A$1,"Yakıt Yağ ve Atık Personeli")*($AB$32)
+COUNTIF($A$1,"Tersane Saha Personeli")*($AB$33)</f>
        <v>2784.66489</v>
      </c>
      <c r="AL17" s="14">
        <f t="shared" ca="1" si="39"/>
        <v>2069.3370787280764</v>
      </c>
      <c r="AM17" s="27">
        <f t="shared" si="40"/>
        <v>86324.61159</v>
      </c>
      <c r="AN17" s="14">
        <f t="shared" ca="1" si="41"/>
        <v>59538.687483903705</v>
      </c>
      <c r="AO17" s="14">
        <f t="shared" si="42"/>
        <v>0</v>
      </c>
      <c r="AP17" s="14">
        <f t="shared" ca="1" si="43"/>
        <v>0</v>
      </c>
      <c r="AQ17" s="14">
        <f t="shared" si="44"/>
        <v>0</v>
      </c>
      <c r="AR17" s="14">
        <f t="shared" ca="1" si="45"/>
        <v>0</v>
      </c>
      <c r="AS17" s="14">
        <f t="shared" si="46"/>
        <v>0</v>
      </c>
      <c r="AT17" s="14">
        <f t="shared" ca="1" si="47"/>
        <v>0</v>
      </c>
      <c r="AU17" s="14">
        <f t="shared" si="48"/>
        <v>0</v>
      </c>
      <c r="AV17" s="14">
        <f t="shared" ca="1" si="49"/>
        <v>0</v>
      </c>
      <c r="BD17" s="13">
        <v>15</v>
      </c>
      <c r="BE17" s="19">
        <v>7.5</v>
      </c>
      <c r="BF17" s="20">
        <v>0.17</v>
      </c>
    </row>
    <row r="18" spans="1:58" ht="39.950000000000003" customHeight="1" x14ac:dyDescent="0.25">
      <c r="A18" s="4">
        <f t="shared" ca="1" si="34"/>
        <v>0.2</v>
      </c>
      <c r="B18" s="73" t="s">
        <v>92</v>
      </c>
      <c r="C18" s="74"/>
      <c r="D18" s="38">
        <v>0</v>
      </c>
      <c r="E18" s="39">
        <v>0</v>
      </c>
      <c r="F18" s="39">
        <v>0</v>
      </c>
      <c r="G18" s="39">
        <v>0</v>
      </c>
      <c r="H18" s="39">
        <v>0</v>
      </c>
      <c r="I18" s="38">
        <v>24</v>
      </c>
      <c r="J18" s="40" t="s">
        <v>1</v>
      </c>
      <c r="K18" s="40" t="s">
        <v>1</v>
      </c>
      <c r="L18" s="40" t="s">
        <v>1</v>
      </c>
      <c r="M18" s="41">
        <v>0</v>
      </c>
      <c r="N18" s="41" t="s">
        <v>1</v>
      </c>
      <c r="O18" s="5">
        <f t="shared" ca="1" si="35"/>
        <v>66726.181228854344</v>
      </c>
      <c r="P18" s="5">
        <f t="shared" ca="1" si="36"/>
        <v>7200</v>
      </c>
      <c r="Q18" s="6">
        <f t="shared" ca="1" si="50"/>
        <v>73926.181228854344</v>
      </c>
      <c r="R18" s="6"/>
      <c r="S18" s="65"/>
      <c r="T18" s="69"/>
      <c r="U18" s="72"/>
      <c r="V18" s="71"/>
      <c r="W18" s="61"/>
      <c r="X18" s="60"/>
      <c r="Y18" s="55"/>
      <c r="Z18" s="13" t="s">
        <v>69</v>
      </c>
      <c r="AA18" s="14">
        <f t="shared" ca="1" si="23"/>
        <v>157906.68451947553</v>
      </c>
      <c r="AB18" s="14">
        <f ca="1">COUNTIF(S1,"Ocak")*(AY29)
+COUNTIF(S1,"Şubat")*(AY30)
+COUNTIF(S1,"Mart")*(AY31)
+COUNTIF(S1,"Nisan")*(AY32)
+COUNTIF(S1,"Mayıs")*(AY33)
+COUNTIF(S1,"Haziran")*(AY34)
+COUNTIF(S1,"Temmuz")*(AY35)
+COUNTIF(S1,"Ağustos")*(AY36)
+COUNTIF(S1,"Eylül")*(AY37)
+COUNTIF(S1,"Ekim")*(AY38)
+COUNTIF(S1,"Kasım")*(AY39)
+COUNTIF(S1,"Aralık")*(AY40)
+COUNTIF(S1,"Yıllık Toplam")*(AY41)
+COUNTIF(S1,"Yıllık Ortalama")*(AY42)</f>
        <v>157906.68451947553</v>
      </c>
      <c r="AC18" s="14">
        <f>($AC$29)</f>
        <v>787.75599999999997</v>
      </c>
      <c r="AD18" s="25">
        <f t="shared" si="54"/>
        <v>46113</v>
      </c>
      <c r="AE18" s="25">
        <f t="shared" si="37"/>
        <v>46142</v>
      </c>
      <c r="AF18" s="26">
        <f t="shared" si="51"/>
        <v>30</v>
      </c>
      <c r="AG18" s="26">
        <f t="shared" si="52"/>
        <v>26</v>
      </c>
      <c r="AH18" s="26">
        <f t="shared" si="53"/>
        <v>4</v>
      </c>
      <c r="AI18" s="14">
        <f t="shared" si="55"/>
        <v>2784.66489</v>
      </c>
      <c r="AJ18" s="14">
        <f t="shared" ca="1" si="38"/>
        <v>1872.4365186849</v>
      </c>
      <c r="AK18" s="14">
        <f t="shared" si="56"/>
        <v>2784.66489</v>
      </c>
      <c r="AL18" s="14">
        <f t="shared" ca="1" si="39"/>
        <v>2021.1707753515668</v>
      </c>
      <c r="AM18" s="27">
        <f t="shared" si="40"/>
        <v>83539.9467</v>
      </c>
      <c r="AN18" s="14">
        <f t="shared" ca="1" si="41"/>
        <v>56173.095560546994</v>
      </c>
      <c r="AO18" s="14">
        <f t="shared" si="42"/>
        <v>0</v>
      </c>
      <c r="AP18" s="14">
        <f t="shared" ca="1" si="43"/>
        <v>0</v>
      </c>
      <c r="AQ18" s="14">
        <f t="shared" si="44"/>
        <v>0</v>
      </c>
      <c r="AR18" s="14">
        <f t="shared" ca="1" si="45"/>
        <v>0</v>
      </c>
      <c r="AS18" s="14">
        <f t="shared" si="46"/>
        <v>0</v>
      </c>
      <c r="AT18" s="14">
        <f t="shared" ca="1" si="47"/>
        <v>0</v>
      </c>
      <c r="AU18" s="14">
        <f t="shared" si="48"/>
        <v>0</v>
      </c>
      <c r="AV18" s="14">
        <f t="shared" ca="1" si="49"/>
        <v>0</v>
      </c>
      <c r="BD18" s="13">
        <v>16</v>
      </c>
      <c r="BE18" s="19">
        <v>8</v>
      </c>
      <c r="BF18" s="20">
        <v>0.18</v>
      </c>
    </row>
    <row r="19" spans="1:58" ht="39.950000000000003" customHeight="1" x14ac:dyDescent="0.25">
      <c r="A19" s="4">
        <f t="shared" ca="1" si="34"/>
        <v>0.23084492118973338</v>
      </c>
      <c r="B19" s="73" t="s">
        <v>93</v>
      </c>
      <c r="C19" s="74"/>
      <c r="D19" s="38">
        <v>0</v>
      </c>
      <c r="E19" s="39">
        <v>0</v>
      </c>
      <c r="F19" s="39">
        <v>0</v>
      </c>
      <c r="G19" s="39">
        <v>0</v>
      </c>
      <c r="H19" s="39">
        <v>0</v>
      </c>
      <c r="I19" s="38">
        <v>26</v>
      </c>
      <c r="J19" s="40" t="s">
        <v>1</v>
      </c>
      <c r="K19" s="40" t="s">
        <v>1</v>
      </c>
      <c r="L19" s="40" t="s">
        <v>1</v>
      </c>
      <c r="M19" s="41">
        <v>0</v>
      </c>
      <c r="N19" s="41" t="s">
        <v>1</v>
      </c>
      <c r="O19" s="5">
        <f t="shared" ca="1" si="35"/>
        <v>66225.562124360396</v>
      </c>
      <c r="P19" s="5">
        <f t="shared" ca="1" si="36"/>
        <v>7800</v>
      </c>
      <c r="Q19" s="6">
        <f t="shared" ca="1" si="50"/>
        <v>74025.562124360396</v>
      </c>
      <c r="R19" s="6"/>
      <c r="S19" s="65"/>
      <c r="T19" s="69"/>
      <c r="U19" s="72"/>
      <c r="V19" s="71"/>
      <c r="W19" s="61"/>
      <c r="X19" s="60"/>
      <c r="Y19" s="55"/>
      <c r="Z19" s="28" t="s">
        <v>39</v>
      </c>
      <c r="AA19" s="14">
        <f t="shared" ca="1" si="23"/>
        <v>92341.918095538393</v>
      </c>
      <c r="AB19" s="14">
        <f ca="1">COUNTIF(S1,"Ocak")*Q15
+COUNTIF(S1,"Şubat")*Q16
+COUNTIF(S1,"Mart")*Q17
+COUNTIF(S1,"Nisan")*Q18
+COUNTIF(S1,"Mayıs")*Q19
+COUNTIF(S1,"Haziran")*Q20
+COUNTIF(S1,"Temmuz")*Q21
+COUNTIF(S1,"Ağustos")*Q22
+COUNTIF(S1,"Eylül")*Q23
+COUNTIF(S1,"Ekim")*Q24
+COUNTIF(S1,"Kasım")*Q25
+COUNTIF(S1,"Aralık")*Q26
+COUNTIF(S1,"Yıllık Toplam")*(Q27)*-1
+COUNTIF(S1,"Yıllık Ortalama")*(Q28)*-1</f>
        <v>-92341.918095538393</v>
      </c>
      <c r="AC19" s="14">
        <f>($AC$30)</f>
        <v>393.87799999999999</v>
      </c>
      <c r="AD19" s="25">
        <f t="shared" si="54"/>
        <v>46143</v>
      </c>
      <c r="AE19" s="25">
        <f t="shared" si="37"/>
        <v>46173</v>
      </c>
      <c r="AF19" s="26">
        <f t="shared" si="51"/>
        <v>31</v>
      </c>
      <c r="AG19" s="26">
        <f t="shared" si="52"/>
        <v>26</v>
      </c>
      <c r="AH19" s="26">
        <f t="shared" si="53"/>
        <v>5</v>
      </c>
      <c r="AI19" s="14">
        <f t="shared" si="55"/>
        <v>2784.66489</v>
      </c>
      <c r="AJ19" s="14">
        <f t="shared" ca="1" si="38"/>
        <v>1799.4276649738126</v>
      </c>
      <c r="AK19" s="14">
        <f t="shared" si="56"/>
        <v>2784.66489</v>
      </c>
      <c r="AL19" s="14">
        <f t="shared" ca="1" si="39"/>
        <v>1948.1619216404795</v>
      </c>
      <c r="AM19" s="27">
        <f t="shared" si="40"/>
        <v>86324.61159</v>
      </c>
      <c r="AN19" s="14">
        <f t="shared" ca="1" si="41"/>
        <v>55782.257614188187</v>
      </c>
      <c r="AO19" s="14">
        <f t="shared" si="42"/>
        <v>0</v>
      </c>
      <c r="AP19" s="14">
        <f t="shared" ca="1" si="43"/>
        <v>0</v>
      </c>
      <c r="AQ19" s="14">
        <f t="shared" si="44"/>
        <v>0</v>
      </c>
      <c r="AR19" s="14">
        <f t="shared" ca="1" si="45"/>
        <v>0</v>
      </c>
      <c r="AS19" s="14">
        <f t="shared" si="46"/>
        <v>0</v>
      </c>
      <c r="AT19" s="14">
        <f t="shared" ca="1" si="47"/>
        <v>0</v>
      </c>
      <c r="AU19" s="14">
        <f t="shared" si="48"/>
        <v>0</v>
      </c>
      <c r="AV19" s="14">
        <f t="shared" ca="1" si="49"/>
        <v>0</v>
      </c>
      <c r="BD19" s="13">
        <v>17</v>
      </c>
      <c r="BE19" s="19">
        <v>8.5</v>
      </c>
      <c r="BF19" s="20">
        <v>0.19</v>
      </c>
    </row>
    <row r="20" spans="1:58" ht="39.950000000000003" customHeight="1" x14ac:dyDescent="0.25">
      <c r="A20" s="4">
        <f t="shared" ca="1" si="34"/>
        <v>0.27</v>
      </c>
      <c r="B20" s="73" t="s">
        <v>94</v>
      </c>
      <c r="C20" s="74"/>
      <c r="D20" s="38">
        <v>0</v>
      </c>
      <c r="E20" s="39">
        <v>0</v>
      </c>
      <c r="F20" s="39">
        <v>0</v>
      </c>
      <c r="G20" s="39">
        <v>0</v>
      </c>
      <c r="H20" s="39">
        <v>0</v>
      </c>
      <c r="I20" s="38">
        <v>26</v>
      </c>
      <c r="J20" s="40" t="s">
        <v>1</v>
      </c>
      <c r="K20" s="40" t="s">
        <v>1</v>
      </c>
      <c r="L20" s="40" t="s">
        <v>1</v>
      </c>
      <c r="M20" s="41">
        <v>0</v>
      </c>
      <c r="N20" s="41" t="s">
        <v>1</v>
      </c>
      <c r="O20" s="5">
        <f t="shared" ca="1" si="35"/>
        <v>112708.89474559965</v>
      </c>
      <c r="P20" s="5">
        <f t="shared" ca="1" si="36"/>
        <v>7800</v>
      </c>
      <c r="Q20" s="6">
        <f t="shared" ca="1" si="50"/>
        <v>120508.89474559965</v>
      </c>
      <c r="R20" s="6"/>
      <c r="S20" s="65"/>
      <c r="T20" s="69"/>
      <c r="U20" s="72"/>
      <c r="V20" s="71"/>
      <c r="W20" s="61"/>
      <c r="X20" s="60"/>
      <c r="Y20" s="55"/>
      <c r="Z20" s="28" t="s">
        <v>40</v>
      </c>
      <c r="AA20" s="14">
        <f t="shared" ca="1" si="23"/>
        <v>43200.300376114435</v>
      </c>
      <c r="AB20" s="14">
        <f ca="1">COUNTIF(S1,"Ocak")*(AD59-Q15)
+COUNTIF(S1,"Şubat")*(AD60-Q16)
+COUNTIF(S1,"Mart")*(AD61-Q17)
+COUNTIF(S1,"Nisan")*(AD62-Q18)
+COUNTIF(S1,"Mayıs")*(AD63-Q19)
+COUNTIF(S1,"Haziran")*(AD64-Q20)
+COUNTIF(S1,"Temmuz")*(AD65-Q21)
+COUNTIF(S1,"Ağustos")*(AD66-Q22)
+COUNTIF(S1,"Eylül")*(AD67-Q23)
+COUNTIF(S1,"Ekim")*(AD68-Q24)
+COUNTIF(S1,"Kasım")*(AD69-Q25)
+COUNTIF(S1,"Aralık")*(AD70-Q26)
+COUNTIF(S1,"Yıllık Toplam")*(AD71-Q27)*-1
+COUNTIF(S1,"Yıllık Ortalama")*(AD72-Q28)*-1</f>
        <v>-43200.300376114435</v>
      </c>
      <c r="AC20" s="14">
        <v>33030</v>
      </c>
      <c r="AD20" s="25">
        <f t="shared" si="54"/>
        <v>46174</v>
      </c>
      <c r="AE20" s="25">
        <f t="shared" si="37"/>
        <v>46203</v>
      </c>
      <c r="AF20" s="26">
        <f t="shared" si="51"/>
        <v>30</v>
      </c>
      <c r="AG20" s="26">
        <f t="shared" si="52"/>
        <v>26</v>
      </c>
      <c r="AH20" s="26">
        <f t="shared" si="53"/>
        <v>4</v>
      </c>
      <c r="AI20" s="14">
        <f t="shared" si="55"/>
        <v>2784.66489</v>
      </c>
      <c r="AJ20" s="14">
        <f t="shared" ca="1" si="38"/>
        <v>1706.7489577299</v>
      </c>
      <c r="AK20" s="14">
        <f t="shared" si="56"/>
        <v>2784.66489</v>
      </c>
      <c r="AL20" s="14">
        <f t="shared" ca="1" si="39"/>
        <v>1855.4832143965668</v>
      </c>
      <c r="AM20" s="27">
        <f t="shared" si="40"/>
        <v>83539.9467</v>
      </c>
      <c r="AN20" s="14">
        <f t="shared" ca="1" si="41"/>
        <v>51202.468731896995</v>
      </c>
      <c r="AO20" s="14">
        <f t="shared" si="42"/>
        <v>0</v>
      </c>
      <c r="AP20" s="14">
        <f t="shared" ca="1" si="43"/>
        <v>0</v>
      </c>
      <c r="AQ20" s="14">
        <f t="shared" si="44"/>
        <v>0</v>
      </c>
      <c r="AR20" s="14">
        <f t="shared" ca="1" si="45"/>
        <v>0</v>
      </c>
      <c r="AS20" s="14">
        <f t="shared" si="46"/>
        <v>0</v>
      </c>
      <c r="AT20" s="14">
        <f t="shared" ca="1" si="47"/>
        <v>0</v>
      </c>
      <c r="AU20" s="14">
        <f t="shared" si="48"/>
        <v>0</v>
      </c>
      <c r="AV20" s="14">
        <f t="shared" ca="1" si="49"/>
        <v>0</v>
      </c>
      <c r="BD20" s="13">
        <v>18</v>
      </c>
      <c r="BE20" s="19">
        <v>9</v>
      </c>
      <c r="BF20" s="20">
        <v>0.2</v>
      </c>
    </row>
    <row r="21" spans="1:58" ht="39.950000000000003" customHeight="1" x14ac:dyDescent="0.25">
      <c r="A21" s="4">
        <f t="shared" ca="1" si="34"/>
        <v>0.27</v>
      </c>
      <c r="B21" s="73" t="s">
        <v>95</v>
      </c>
      <c r="C21" s="74"/>
      <c r="D21" s="38">
        <v>0</v>
      </c>
      <c r="E21" s="39">
        <v>0</v>
      </c>
      <c r="F21" s="39">
        <v>0</v>
      </c>
      <c r="G21" s="39">
        <v>0</v>
      </c>
      <c r="H21" s="39">
        <v>0</v>
      </c>
      <c r="I21" s="38">
        <v>26</v>
      </c>
      <c r="J21" s="40" t="s">
        <v>1</v>
      </c>
      <c r="K21" s="40" t="s">
        <v>1</v>
      </c>
      <c r="L21" s="40" t="s">
        <v>1</v>
      </c>
      <c r="M21" s="41">
        <v>0</v>
      </c>
      <c r="N21" s="41" t="s">
        <v>1</v>
      </c>
      <c r="O21" s="5">
        <f t="shared" ca="1" si="35"/>
        <v>63660.595426847984</v>
      </c>
      <c r="P21" s="5">
        <f t="shared" ca="1" si="36"/>
        <v>7800</v>
      </c>
      <c r="Q21" s="6">
        <f t="shared" ca="1" si="50"/>
        <v>71460.595426847984</v>
      </c>
      <c r="R21" s="6"/>
      <c r="S21" s="65"/>
      <c r="T21" s="69"/>
      <c r="U21" s="72"/>
      <c r="V21" s="71"/>
      <c r="W21" s="61"/>
      <c r="X21" s="60"/>
      <c r="Y21" s="55"/>
      <c r="Z21" s="20" t="s">
        <v>83</v>
      </c>
      <c r="AA21" s="14">
        <v>2555.88</v>
      </c>
      <c r="AB21" s="14">
        <f>AA21*1.1829</f>
        <v>3023.3504520000001</v>
      </c>
      <c r="AC21" s="14">
        <v>0</v>
      </c>
      <c r="AD21" s="25">
        <f t="shared" si="54"/>
        <v>46204</v>
      </c>
      <c r="AE21" s="25">
        <f t="shared" si="37"/>
        <v>46234</v>
      </c>
      <c r="AF21" s="26">
        <f t="shared" si="51"/>
        <v>31</v>
      </c>
      <c r="AG21" s="26">
        <f t="shared" si="52"/>
        <v>27</v>
      </c>
      <c r="AH21" s="26">
        <f t="shared" si="53"/>
        <v>4</v>
      </c>
      <c r="AI21" s="14">
        <f t="shared" si="55"/>
        <v>2784.66489</v>
      </c>
      <c r="AJ21" s="14">
        <f t="shared" ca="1" si="38"/>
        <v>1706.7489577299</v>
      </c>
      <c r="AK21" s="14">
        <f t="shared" si="56"/>
        <v>2784.66489</v>
      </c>
      <c r="AL21" s="14">
        <f t="shared" ca="1" si="39"/>
        <v>1866.3638810632333</v>
      </c>
      <c r="AM21" s="27">
        <f t="shared" si="40"/>
        <v>86324.61159</v>
      </c>
      <c r="AN21" s="14">
        <f t="shared" ca="1" si="41"/>
        <v>52909.217689626894</v>
      </c>
      <c r="AO21" s="14">
        <f t="shared" si="42"/>
        <v>0</v>
      </c>
      <c r="AP21" s="14">
        <f t="shared" ca="1" si="43"/>
        <v>0</v>
      </c>
      <c r="AQ21" s="14">
        <f t="shared" si="44"/>
        <v>0</v>
      </c>
      <c r="AR21" s="14">
        <f t="shared" ca="1" si="45"/>
        <v>0</v>
      </c>
      <c r="AS21" s="14">
        <f t="shared" si="46"/>
        <v>0</v>
      </c>
      <c r="AT21" s="14">
        <f t="shared" ca="1" si="47"/>
        <v>0</v>
      </c>
      <c r="AU21" s="14">
        <f t="shared" si="48"/>
        <v>0</v>
      </c>
      <c r="AV21" s="14">
        <f t="shared" ca="1" si="49"/>
        <v>0</v>
      </c>
      <c r="BD21" s="13">
        <v>19</v>
      </c>
      <c r="BE21" s="19">
        <v>9.5</v>
      </c>
      <c r="BF21" s="20">
        <v>0.21</v>
      </c>
    </row>
    <row r="22" spans="1:58" ht="39.950000000000003" customHeight="1" x14ac:dyDescent="0.25">
      <c r="A22" s="4">
        <f t="shared" ca="1" si="34"/>
        <v>0.27</v>
      </c>
      <c r="B22" s="73" t="s">
        <v>96</v>
      </c>
      <c r="C22" s="74"/>
      <c r="D22" s="38">
        <v>0</v>
      </c>
      <c r="E22" s="39">
        <v>0</v>
      </c>
      <c r="F22" s="39">
        <v>0</v>
      </c>
      <c r="G22" s="39">
        <v>0</v>
      </c>
      <c r="H22" s="39">
        <v>0</v>
      </c>
      <c r="I22" s="38">
        <v>26</v>
      </c>
      <c r="J22" s="40" t="s">
        <v>1</v>
      </c>
      <c r="K22" s="40" t="s">
        <v>1</v>
      </c>
      <c r="L22" s="40" t="s">
        <v>1</v>
      </c>
      <c r="M22" s="41">
        <v>0</v>
      </c>
      <c r="N22" s="41" t="s">
        <v>1</v>
      </c>
      <c r="O22" s="5">
        <f t="shared" ca="1" si="35"/>
        <v>64946.944061884118</v>
      </c>
      <c r="P22" s="5">
        <f t="shared" ca="1" si="36"/>
        <v>7800</v>
      </c>
      <c r="Q22" s="6">
        <f t="shared" ca="1" si="50"/>
        <v>72746.944061884118</v>
      </c>
      <c r="R22" s="6"/>
      <c r="S22" s="65"/>
      <c r="T22" s="69"/>
      <c r="U22" s="72"/>
      <c r="V22" s="71"/>
      <c r="W22" s="61"/>
      <c r="X22" s="60"/>
      <c r="Y22" s="55"/>
      <c r="Z22" s="20" t="s">
        <v>84</v>
      </c>
      <c r="AA22" s="14">
        <v>2354.1</v>
      </c>
      <c r="AB22" s="14">
        <f t="shared" ref="AB22:AB33" si="57">AA22*1.1829</f>
        <v>2784.66489</v>
      </c>
      <c r="AC22" s="14">
        <v>158</v>
      </c>
      <c r="AD22" s="25">
        <f t="shared" si="54"/>
        <v>46235</v>
      </c>
      <c r="AE22" s="25">
        <f t="shared" si="37"/>
        <v>46265</v>
      </c>
      <c r="AF22" s="26">
        <f t="shared" si="51"/>
        <v>31</v>
      </c>
      <c r="AG22" s="26">
        <f t="shared" si="52"/>
        <v>26</v>
      </c>
      <c r="AH22" s="26">
        <f t="shared" si="53"/>
        <v>5</v>
      </c>
      <c r="AI22" s="14">
        <f t="shared" si="55"/>
        <v>2784.66489</v>
      </c>
      <c r="AJ22" s="14">
        <f t="shared" ca="1" si="38"/>
        <v>1706.7489577299</v>
      </c>
      <c r="AK22" s="14">
        <f t="shared" si="56"/>
        <v>2784.66489</v>
      </c>
      <c r="AL22" s="14">
        <f t="shared" ca="1" si="39"/>
        <v>1902.2755477299002</v>
      </c>
      <c r="AM22" s="27">
        <f t="shared" si="40"/>
        <v>86324.61159</v>
      </c>
      <c r="AN22" s="14">
        <f t="shared" ca="1" si="41"/>
        <v>52909.217689626894</v>
      </c>
      <c r="AO22" s="14">
        <f t="shared" si="42"/>
        <v>0</v>
      </c>
      <c r="AP22" s="14">
        <f t="shared" ca="1" si="43"/>
        <v>0</v>
      </c>
      <c r="AQ22" s="14">
        <f t="shared" si="44"/>
        <v>0</v>
      </c>
      <c r="AR22" s="14">
        <f t="shared" ca="1" si="45"/>
        <v>0</v>
      </c>
      <c r="AS22" s="14">
        <f t="shared" si="46"/>
        <v>0</v>
      </c>
      <c r="AT22" s="14">
        <f t="shared" ca="1" si="47"/>
        <v>0</v>
      </c>
      <c r="AU22" s="14">
        <f t="shared" si="48"/>
        <v>0</v>
      </c>
      <c r="AV22" s="14">
        <f t="shared" ca="1" si="49"/>
        <v>0</v>
      </c>
      <c r="BD22" s="13">
        <v>20</v>
      </c>
      <c r="BE22" s="19">
        <v>10</v>
      </c>
      <c r="BF22" s="20">
        <v>0.22</v>
      </c>
    </row>
    <row r="23" spans="1:58" ht="39.950000000000003" customHeight="1" x14ac:dyDescent="0.25">
      <c r="A23" s="4">
        <f t="shared" ca="1" si="34"/>
        <v>0.27</v>
      </c>
      <c r="B23" s="73" t="s">
        <v>97</v>
      </c>
      <c r="C23" s="74"/>
      <c r="D23" s="38">
        <v>0</v>
      </c>
      <c r="E23" s="39">
        <v>0</v>
      </c>
      <c r="F23" s="39">
        <v>0</v>
      </c>
      <c r="G23" s="39">
        <v>0</v>
      </c>
      <c r="H23" s="39">
        <v>0</v>
      </c>
      <c r="I23" s="38">
        <v>26</v>
      </c>
      <c r="J23" s="40" t="s">
        <v>1</v>
      </c>
      <c r="K23" s="40" t="s">
        <v>1</v>
      </c>
      <c r="L23" s="40" t="s">
        <v>1</v>
      </c>
      <c r="M23" s="41">
        <v>0</v>
      </c>
      <c r="N23" s="41" t="s">
        <v>1</v>
      </c>
      <c r="O23" s="5">
        <f t="shared" ca="1" si="35"/>
        <v>125026.74831125024</v>
      </c>
      <c r="P23" s="5">
        <f t="shared" ca="1" si="36"/>
        <v>7800</v>
      </c>
      <c r="Q23" s="6">
        <f t="shared" ca="1" si="50"/>
        <v>132826.74831125024</v>
      </c>
      <c r="R23" s="6"/>
      <c r="S23" s="65"/>
      <c r="T23" s="69"/>
      <c r="U23" s="72"/>
      <c r="V23" s="71"/>
      <c r="W23" s="61"/>
      <c r="X23" s="60"/>
      <c r="Y23" s="55"/>
      <c r="Z23" s="20" t="s">
        <v>85</v>
      </c>
      <c r="AA23" s="14">
        <v>2286.84</v>
      </c>
      <c r="AB23" s="14">
        <f t="shared" si="57"/>
        <v>2705.1030360000004</v>
      </c>
      <c r="AC23" s="14">
        <v>1000</v>
      </c>
      <c r="AD23" s="25">
        <f t="shared" si="54"/>
        <v>46266</v>
      </c>
      <c r="AE23" s="25">
        <f t="shared" si="37"/>
        <v>46295</v>
      </c>
      <c r="AF23" s="26">
        <f t="shared" si="51"/>
        <v>30</v>
      </c>
      <c r="AG23" s="26">
        <f t="shared" si="52"/>
        <v>26</v>
      </c>
      <c r="AH23" s="26">
        <f t="shared" si="53"/>
        <v>4</v>
      </c>
      <c r="AI23" s="14">
        <f>COUNTIF($A$1,"Amir")*($AC$1)
+COUNTIF($A$1,"Gişe")*($AC$2)
+COUNTIF($A$1,"Çıma")*($AC$3)
+COUNTIF($A$1,"Ustabaşı")*($AC$4)
+COUNTIF($A$1,"İtfaiye Amiri")*($AC$5)
+COUNTIF($A$1,"Usta")*($AC$6)
+COUNTIF($A$1,"Vinç Operatörü")*($AC$7)
+COUNTIF($A$1,"Forklift Operatörü")*($AC$8)
+COUNTIF($A$1,"İtfaiyeci")*($AC$9)
+COUNTIF($A$1,"Usta Yardımcısı")*($AC$10)
+COUNTIF($A$1,"Gemi Havuzlama Personeli")*($AC$11)
+COUNTIF($A$1,"Yakıt Yağ ve Atık Personeli")*($AC$12)
+COUNTIF($A$1,"Tersane Saha Personeli")*($AC$13)</f>
        <v>3204.31</v>
      </c>
      <c r="AJ23" s="14">
        <f t="shared" ca="1" si="38"/>
        <v>1963.9536420999998</v>
      </c>
      <c r="AK23" s="14">
        <f>COUNTIF($A$1,"Amir")*($AC$1)
+COUNTIF($A$1,"Gişe")*($AC$2)
+COUNTIF($A$1,"Çıma")*($AC$3)
+COUNTIF($A$1,"Ustabaşı")*($AC$4)
+COUNTIF($A$1,"İtfaiye Amiri")*($AC$5)
+COUNTIF($A$1,"Usta")*($AC$6)
+COUNTIF($A$1,"Vinç Operatörü")*($AC$7)
+COUNTIF($A$1,"Forklift Operatörü")*($AC$8)
+COUNTIF($A$1,"İtfaiyeci")*($AC$9)
+COUNTIF($A$1,"Usta Yardımcısı")*($AC$10)
+COUNTIF($A$1,"Gemi Havuzlama Personeli")*($AC$11)
+COUNTIF($A$1,"Yakıt Yağ ve Atık Personeli")*($AC$12)
+COUNTIF($A$1,"Tersane Saha Personeli")*($AC$13)</f>
        <v>3204.31</v>
      </c>
      <c r="AL23" s="14">
        <f t="shared" ca="1" si="39"/>
        <v>2159.4802320999997</v>
      </c>
      <c r="AM23" s="27">
        <f t="shared" si="40"/>
        <v>96129.3</v>
      </c>
      <c r="AN23" s="14">
        <f t="shared" ca="1" si="41"/>
        <v>58918.609262999998</v>
      </c>
      <c r="AO23" s="14">
        <f t="shared" si="42"/>
        <v>0</v>
      </c>
      <c r="AP23" s="14">
        <f t="shared" ca="1" si="43"/>
        <v>0</v>
      </c>
      <c r="AQ23" s="14">
        <f t="shared" si="44"/>
        <v>0</v>
      </c>
      <c r="AR23" s="14">
        <f t="shared" ca="1" si="45"/>
        <v>0</v>
      </c>
      <c r="AS23" s="14">
        <f t="shared" si="46"/>
        <v>0</v>
      </c>
      <c r="AT23" s="14">
        <f t="shared" ca="1" si="47"/>
        <v>0</v>
      </c>
      <c r="AU23" s="14">
        <f t="shared" si="48"/>
        <v>0</v>
      </c>
      <c r="AV23" s="14">
        <f t="shared" ca="1" si="49"/>
        <v>0</v>
      </c>
      <c r="BD23" s="13">
        <v>21</v>
      </c>
      <c r="BE23" s="19">
        <v>10.5</v>
      </c>
      <c r="BF23" s="20">
        <v>0.23</v>
      </c>
    </row>
    <row r="24" spans="1:58" ht="39.950000000000003" customHeight="1" x14ac:dyDescent="0.25">
      <c r="A24" s="4">
        <f t="shared" ca="1" si="34"/>
        <v>0.27</v>
      </c>
      <c r="B24" s="73" t="s">
        <v>98</v>
      </c>
      <c r="C24" s="74"/>
      <c r="D24" s="38">
        <v>0</v>
      </c>
      <c r="E24" s="39">
        <v>0</v>
      </c>
      <c r="F24" s="39">
        <v>0</v>
      </c>
      <c r="G24" s="39">
        <v>0</v>
      </c>
      <c r="H24" s="39">
        <v>0</v>
      </c>
      <c r="I24" s="38">
        <v>26</v>
      </c>
      <c r="J24" s="40" t="s">
        <v>1</v>
      </c>
      <c r="K24" s="40" t="s">
        <v>1</v>
      </c>
      <c r="L24" s="40" t="s">
        <v>1</v>
      </c>
      <c r="M24" s="41">
        <v>0</v>
      </c>
      <c r="N24" s="41" t="s">
        <v>1</v>
      </c>
      <c r="O24" s="5">
        <f t="shared" ca="1" si="35"/>
        <v>73216.192227652195</v>
      </c>
      <c r="P24" s="5">
        <f t="shared" ca="1" si="36"/>
        <v>7800</v>
      </c>
      <c r="Q24" s="6">
        <f t="shared" ca="1" si="50"/>
        <v>81016.192227652195</v>
      </c>
      <c r="R24" s="6"/>
      <c r="S24" s="65"/>
      <c r="T24" s="69"/>
      <c r="U24" s="72"/>
      <c r="V24" s="71"/>
      <c r="W24" s="61"/>
      <c r="X24" s="60"/>
      <c r="Y24" s="55"/>
      <c r="Z24" s="20" t="s">
        <v>24</v>
      </c>
      <c r="AA24" s="14">
        <v>2757.66</v>
      </c>
      <c r="AB24" s="14">
        <f t="shared" si="57"/>
        <v>3262.0360139999998</v>
      </c>
      <c r="AC24" s="14">
        <v>1000</v>
      </c>
      <c r="AD24" s="25">
        <f t="shared" si="54"/>
        <v>46296</v>
      </c>
      <c r="AE24" s="25">
        <f t="shared" si="37"/>
        <v>46326</v>
      </c>
      <c r="AF24" s="26">
        <f t="shared" si="51"/>
        <v>31</v>
      </c>
      <c r="AG24" s="26">
        <f t="shared" si="52"/>
        <v>27</v>
      </c>
      <c r="AH24" s="26">
        <f t="shared" si="53"/>
        <v>4</v>
      </c>
      <c r="AI24" s="14">
        <f>COUNTIF($A$1,"Amir")*($AC$1)
+COUNTIF($A$1,"Gişe")*($AC$2)
+COUNTIF($A$1,"Çıma")*($AC$3)
+COUNTIF($A$1,"Ustabaşı")*($AC$4)
+COUNTIF($A$1,"İtfaiye Amiri")*($AC$5)
+COUNTIF($A$1,"Usta")*($AC$6)
+COUNTIF($A$1,"Vinç Operatörü")*($AC$7)
+COUNTIF($A$1,"Forklift Operatörü")*($AC$8)
+COUNTIF($A$1,"İtfaiyeci")*($AC$9)
+COUNTIF($A$1,"Usta Yardımcısı")*($AC$10)
+COUNTIF($A$1,"Gemi Havuzlama Personeli")*($AC$11)
+COUNTIF($A$1,"Yakıt Yağ ve Atık Personeli")*($AC$12)
+COUNTIF($A$1,"Tersane Saha Personeli")*($AC$13)</f>
        <v>3204.31</v>
      </c>
      <c r="AJ24" s="14">
        <f t="shared" ca="1" si="38"/>
        <v>1963.9536420999998</v>
      </c>
      <c r="AK24" s="14">
        <f>COUNTIF($A$1,"Amir")*($AC$1)
+COUNTIF($A$1,"Gişe")*($AC$2)
+COUNTIF($A$1,"Çıma")*($AC$3)
+COUNTIF($A$1,"Ustabaşı")*($AC$4)
+COUNTIF($A$1,"İtfaiye Amiri")*($AC$5)
+COUNTIF($A$1,"Usta")*($AC$6)
+COUNTIF($A$1,"Vinç Operatörü")*($AC$7)
+COUNTIF($A$1,"Forklift Operatörü")*($AC$8)
+COUNTIF($A$1,"İtfaiyeci")*($AC$9)
+COUNTIF($A$1,"Usta Yardımcısı")*($AC$10)
+COUNTIF($A$1,"Gemi Havuzlama Personeli")*($AC$11)
+COUNTIF($A$1,"Yakıt Yağ ve Atık Personeli")*($AC$12)
+COUNTIF($A$1,"Tersane Saha Personeli")*($AC$13)</f>
        <v>3204.31</v>
      </c>
      <c r="AL24" s="14">
        <f t="shared" ca="1" si="39"/>
        <v>2159.4802320999997</v>
      </c>
      <c r="AM24" s="27">
        <f t="shared" si="40"/>
        <v>99333.61</v>
      </c>
      <c r="AN24" s="14">
        <f t="shared" ca="1" si="41"/>
        <v>60882.562905099992</v>
      </c>
      <c r="AO24" s="14">
        <f t="shared" si="42"/>
        <v>0</v>
      </c>
      <c r="AP24" s="14">
        <f t="shared" ca="1" si="43"/>
        <v>0</v>
      </c>
      <c r="AQ24" s="14">
        <f t="shared" si="44"/>
        <v>0</v>
      </c>
      <c r="AR24" s="14">
        <f t="shared" ca="1" si="45"/>
        <v>0</v>
      </c>
      <c r="AS24" s="14">
        <f t="shared" si="46"/>
        <v>0</v>
      </c>
      <c r="AT24" s="14">
        <f t="shared" ca="1" si="47"/>
        <v>0</v>
      </c>
      <c r="AU24" s="14">
        <f t="shared" si="48"/>
        <v>0</v>
      </c>
      <c r="AV24" s="14">
        <f t="shared" ca="1" si="49"/>
        <v>0</v>
      </c>
      <c r="BD24" s="13">
        <v>22</v>
      </c>
      <c r="BE24" s="19">
        <v>11</v>
      </c>
      <c r="BF24" s="20">
        <v>0.24</v>
      </c>
    </row>
    <row r="25" spans="1:58" ht="39.950000000000003" customHeight="1" x14ac:dyDescent="0.25">
      <c r="A25" s="4">
        <f t="shared" ca="1" si="34"/>
        <v>0.27</v>
      </c>
      <c r="B25" s="73" t="s">
        <v>99</v>
      </c>
      <c r="C25" s="74"/>
      <c r="D25" s="38">
        <v>0</v>
      </c>
      <c r="E25" s="39">
        <v>0</v>
      </c>
      <c r="F25" s="39">
        <v>0</v>
      </c>
      <c r="G25" s="39">
        <v>0</v>
      </c>
      <c r="H25" s="39">
        <v>0</v>
      </c>
      <c r="I25" s="38">
        <v>26</v>
      </c>
      <c r="J25" s="40" t="s">
        <v>1</v>
      </c>
      <c r="K25" s="40" t="s">
        <v>1</v>
      </c>
      <c r="L25" s="40" t="s">
        <v>1</v>
      </c>
      <c r="M25" s="41">
        <v>0</v>
      </c>
      <c r="N25" s="41" t="s">
        <v>1</v>
      </c>
      <c r="O25" s="5">
        <f t="shared" ca="1" si="35"/>
        <v>71252.239440552206</v>
      </c>
      <c r="P25" s="5">
        <f t="shared" ca="1" si="36"/>
        <v>7800</v>
      </c>
      <c r="Q25" s="6">
        <f t="shared" ca="1" si="50"/>
        <v>79052.239440552206</v>
      </c>
      <c r="R25" s="6"/>
      <c r="S25" s="65"/>
      <c r="T25" s="69"/>
      <c r="U25" s="72"/>
      <c r="V25" s="71"/>
      <c r="W25" s="61"/>
      <c r="X25" s="60"/>
      <c r="Y25" s="55"/>
      <c r="Z25" s="28" t="s">
        <v>28</v>
      </c>
      <c r="AA25" s="14">
        <v>2757.66</v>
      </c>
      <c r="AB25" s="14">
        <f t="shared" si="57"/>
        <v>3262.0360139999998</v>
      </c>
      <c r="AC25" s="14">
        <v>300</v>
      </c>
      <c r="AD25" s="25">
        <f t="shared" si="54"/>
        <v>46327</v>
      </c>
      <c r="AE25" s="25">
        <f t="shared" si="37"/>
        <v>46356</v>
      </c>
      <c r="AF25" s="26">
        <f t="shared" si="51"/>
        <v>30</v>
      </c>
      <c r="AG25" s="26">
        <f t="shared" si="52"/>
        <v>25</v>
      </c>
      <c r="AH25" s="26">
        <f t="shared" si="53"/>
        <v>5</v>
      </c>
      <c r="AI25" s="14">
        <f>COUNTIF($A$1,"Amir")*($AC$1)
+COUNTIF($A$1,"Gişe")*($AC$2)
+COUNTIF($A$1,"Çıma")*($AC$3)
+COUNTIF($A$1,"Ustabaşı")*($AC$4)
+COUNTIF($A$1,"İtfaiye Amiri")*($AC$5)
+COUNTIF($A$1,"Usta")*($AC$6)
+COUNTIF($A$1,"Vinç Operatörü")*($AC$7)
+COUNTIF($A$1,"Forklift Operatörü")*($AC$8)
+COUNTIF($A$1,"İtfaiyeci")*($AC$9)
+COUNTIF($A$1,"Usta Yardımcısı")*($AC$10)
+COUNTIF($A$1,"Gemi Havuzlama Personeli")*($AC$11)
+COUNTIF($A$1,"Yakıt Yağ ve Atık Personeli")*($AC$12)
+COUNTIF($A$1,"Tersane Saha Personeli")*($AC$13)</f>
        <v>3204.31</v>
      </c>
      <c r="AJ25" s="14">
        <f t="shared" ca="1" si="38"/>
        <v>1963.9536420999998</v>
      </c>
      <c r="AK25" s="14">
        <f>COUNTIF($A$1,"Amir")*($AC$1)
+COUNTIF($A$1,"Gişe")*($AC$2)
+COUNTIF($A$1,"Çıma")*($AC$3)
+COUNTIF($A$1,"Ustabaşı")*($AC$4)
+COUNTIF($A$1,"İtfaiye Amiri")*($AC$5)
+COUNTIF($A$1,"Usta")*($AC$6)
+COUNTIF($A$1,"Vinç Operatörü")*($AC$7)
+COUNTIF($A$1,"Forklift Operatörü")*($AC$8)
+COUNTIF($A$1,"İtfaiyeci")*($AC$9)
+COUNTIF($A$1,"Usta Yardımcısı")*($AC$10)
+COUNTIF($A$1,"Gemi Havuzlama Personeli")*($AC$11)
+COUNTIF($A$1,"Yakıt Yağ ve Atık Personeli")*($AC$12)
+COUNTIF($A$1,"Tersane Saha Personeli")*($AC$13)</f>
        <v>3204.31</v>
      </c>
      <c r="AL25" s="14">
        <f t="shared" ca="1" si="39"/>
        <v>2159.4802320999997</v>
      </c>
      <c r="AM25" s="27">
        <f t="shared" si="40"/>
        <v>96129.3</v>
      </c>
      <c r="AN25" s="14">
        <f t="shared" ca="1" si="41"/>
        <v>58918.609262999998</v>
      </c>
      <c r="AO25" s="14">
        <f t="shared" si="42"/>
        <v>0</v>
      </c>
      <c r="AP25" s="14">
        <f t="shared" ca="1" si="43"/>
        <v>0</v>
      </c>
      <c r="AQ25" s="14">
        <f t="shared" si="44"/>
        <v>0</v>
      </c>
      <c r="AR25" s="14">
        <f t="shared" ca="1" si="45"/>
        <v>0</v>
      </c>
      <c r="AS25" s="14">
        <f t="shared" si="46"/>
        <v>0</v>
      </c>
      <c r="AT25" s="14">
        <f t="shared" ca="1" si="47"/>
        <v>0</v>
      </c>
      <c r="AU25" s="14">
        <f t="shared" si="48"/>
        <v>0</v>
      </c>
      <c r="AV25" s="14">
        <f t="shared" ca="1" si="49"/>
        <v>0</v>
      </c>
      <c r="BD25" s="13">
        <v>23</v>
      </c>
      <c r="BE25" s="19">
        <v>11.5</v>
      </c>
      <c r="BF25" s="20">
        <v>0.25</v>
      </c>
    </row>
    <row r="26" spans="1:58" ht="39.950000000000003" customHeight="1" x14ac:dyDescent="0.25">
      <c r="A26" s="4">
        <f t="shared" ca="1" si="34"/>
        <v>0.27</v>
      </c>
      <c r="B26" s="73" t="s">
        <v>100</v>
      </c>
      <c r="C26" s="74"/>
      <c r="D26" s="38">
        <v>0</v>
      </c>
      <c r="E26" s="39">
        <v>0</v>
      </c>
      <c r="F26" s="39">
        <v>0</v>
      </c>
      <c r="G26" s="39">
        <v>0</v>
      </c>
      <c r="H26" s="39">
        <v>0</v>
      </c>
      <c r="I26" s="38">
        <v>26</v>
      </c>
      <c r="J26" s="40" t="s">
        <v>1</v>
      </c>
      <c r="K26" s="40" t="s">
        <v>1</v>
      </c>
      <c r="L26" s="40" t="s">
        <v>1</v>
      </c>
      <c r="M26" s="41">
        <v>0</v>
      </c>
      <c r="N26" s="41" t="s">
        <v>1</v>
      </c>
      <c r="O26" s="5">
        <f t="shared" ca="1" si="35"/>
        <v>132134.79584065222</v>
      </c>
      <c r="P26" s="5">
        <f t="shared" ca="1" si="36"/>
        <v>7800</v>
      </c>
      <c r="Q26" s="6">
        <f t="shared" ca="1" si="50"/>
        <v>139934.79584065222</v>
      </c>
      <c r="R26" s="6"/>
      <c r="S26" s="65"/>
      <c r="T26" s="69"/>
      <c r="U26" s="72"/>
      <c r="V26" s="71"/>
      <c r="W26" s="61"/>
      <c r="X26" s="60"/>
      <c r="Y26" s="55"/>
      <c r="Z26" s="28" t="s">
        <v>25</v>
      </c>
      <c r="AA26" s="14">
        <v>2421.36</v>
      </c>
      <c r="AB26" s="14">
        <f t="shared" si="57"/>
        <v>2864.2267440000005</v>
      </c>
      <c r="AC26" s="14">
        <v>300</v>
      </c>
      <c r="AD26" s="25">
        <f t="shared" si="54"/>
        <v>46357</v>
      </c>
      <c r="AE26" s="25">
        <f t="shared" si="37"/>
        <v>46387</v>
      </c>
      <c r="AF26" s="26">
        <f t="shared" si="51"/>
        <v>31</v>
      </c>
      <c r="AG26" s="26">
        <f t="shared" si="52"/>
        <v>27</v>
      </c>
      <c r="AH26" s="26">
        <f t="shared" si="53"/>
        <v>4</v>
      </c>
      <c r="AI26" s="14">
        <f>COUNTIF($A$1,"Amir")*($AC$1)
+COUNTIF($A$1,"Gişe")*($AC$2)
+COUNTIF($A$1,"Çıma")*($AC$3)
+COUNTIF($A$1,"Ustabaşı")*($AC$4)
+COUNTIF($A$1,"İtfaiye Amiri")*($AC$5)
+COUNTIF($A$1,"Usta")*($AC$6)
+COUNTIF($A$1,"Vinç Operatörü")*($AC$7)
+COUNTIF($A$1,"Forklift Operatörü")*($AC$8)
+COUNTIF($A$1,"İtfaiyeci")*($AC$9)
+COUNTIF($A$1,"Usta Yardımcısı")*($AC$10)
+COUNTIF($A$1,"Gemi Havuzlama Personeli")*($AC$11)
+COUNTIF($A$1,"Yakıt Yağ ve Atık Personeli")*($AC$12)
+COUNTIF($A$1,"Tersane Saha Personeli")*($AC$13)</f>
        <v>3204.31</v>
      </c>
      <c r="AJ26" s="14">
        <f t="shared" ca="1" si="38"/>
        <v>1963.9536420999998</v>
      </c>
      <c r="AK26" s="14">
        <f>COUNTIF($A$1,"Amir")*($AC$1)
+COUNTIF($A$1,"Gişe")*($AC$2)
+COUNTIF($A$1,"Çıma")*($AC$3)
+COUNTIF($A$1,"Ustabaşı")*($AC$4)
+COUNTIF($A$1,"İtfaiye Amiri")*($AC$5)
+COUNTIF($A$1,"Usta")*($AC$6)
+COUNTIF($A$1,"Vinç Operatörü")*($AC$7)
+COUNTIF($A$1,"Forklift Operatörü")*($AC$8)
+COUNTIF($A$1,"İtfaiyeci")*($AC$9)
+COUNTIF($A$1,"Usta Yardımcısı")*($AC$10)
+COUNTIF($A$1,"Gemi Havuzlama Personeli")*($AC$11)
+COUNTIF($A$1,"Yakıt Yağ ve Atık Personeli")*($AC$12)
+COUNTIF($A$1,"Tersane Saha Personeli")*($AC$13)</f>
        <v>3204.31</v>
      </c>
      <c r="AL26" s="14">
        <f t="shared" ca="1" si="39"/>
        <v>2159.4802320999997</v>
      </c>
      <c r="AM26" s="27">
        <f t="shared" si="40"/>
        <v>99333.61</v>
      </c>
      <c r="AN26" s="14">
        <f t="shared" ca="1" si="41"/>
        <v>60882.562905099992</v>
      </c>
      <c r="AO26" s="14">
        <f t="shared" si="42"/>
        <v>0</v>
      </c>
      <c r="AP26" s="14">
        <f t="shared" ca="1" si="43"/>
        <v>0</v>
      </c>
      <c r="AQ26" s="14">
        <f t="shared" si="44"/>
        <v>0</v>
      </c>
      <c r="AR26" s="14">
        <f t="shared" ca="1" si="45"/>
        <v>0</v>
      </c>
      <c r="AS26" s="14">
        <f t="shared" si="46"/>
        <v>0</v>
      </c>
      <c r="AT26" s="14">
        <f t="shared" ca="1" si="47"/>
        <v>0</v>
      </c>
      <c r="AU26" s="14">
        <f t="shared" si="48"/>
        <v>0</v>
      </c>
      <c r="AV26" s="14">
        <f t="shared" ca="1" si="49"/>
        <v>0</v>
      </c>
      <c r="BD26" s="13">
        <v>24</v>
      </c>
      <c r="BE26" s="19">
        <v>12</v>
      </c>
      <c r="BF26" s="20">
        <v>0.26</v>
      </c>
    </row>
    <row r="27" spans="1:58" ht="39.950000000000003" customHeight="1" x14ac:dyDescent="0.25">
      <c r="A27" s="7" t="s">
        <v>0</v>
      </c>
      <c r="B27" s="73" t="s">
        <v>74</v>
      </c>
      <c r="C27" s="74"/>
      <c r="D27" s="3" t="s">
        <v>0</v>
      </c>
      <c r="E27" s="8">
        <f>(E15+E16+E17+E18+E19+E20+E21+E22+E23+E24+E25+E26)</f>
        <v>0</v>
      </c>
      <c r="F27" s="8">
        <f>(F15+F16+F17+F18+F19+F20+F21+F22+F23+F24+F25+F26)</f>
        <v>0</v>
      </c>
      <c r="G27" s="8">
        <f>(G15+G16+G17+G18+G19+G20+G21+G22+G23+G24+G25+G26)</f>
        <v>0</v>
      </c>
      <c r="H27" s="8">
        <f>(H15+H16+H17+H18+H19+H20+H21+H22+H23+H24+H25+H26)</f>
        <v>0</v>
      </c>
      <c r="I27" s="9">
        <f>(I15+I16+I17+I18+I19+I20+I21+I22+I23+I24+I25+I26)</f>
        <v>304</v>
      </c>
      <c r="J27" s="3" t="s">
        <v>0</v>
      </c>
      <c r="K27" s="3" t="s">
        <v>0</v>
      </c>
      <c r="L27" s="3" t="s">
        <v>0</v>
      </c>
      <c r="M27" s="1" t="s">
        <v>0</v>
      </c>
      <c r="N27" s="1" t="s">
        <v>0</v>
      </c>
      <c r="O27" s="10">
        <f t="shared" ref="O27" ca="1" si="58">(O15+O16+O17+O18+O19+O20+O21+O22+O23+O24+O25+O26)</f>
        <v>1016903.0171464606</v>
      </c>
      <c r="P27" s="10">
        <f t="shared" ref="P27" ca="1" si="59">(P15+P16+P17+P18+P19+P20+P21+P22+P23+P24+P25+P26)</f>
        <v>91200</v>
      </c>
      <c r="Q27" s="11">
        <f t="shared" ref="Q27" ca="1" si="60">(Q15+Q16+Q17+Q18+Q19+Q20+Q21+Q22+Q23+Q24+Q25+Q26)</f>
        <v>1108103.0171464607</v>
      </c>
      <c r="R27" s="11"/>
      <c r="S27" s="65"/>
      <c r="T27" s="69"/>
      <c r="U27" s="72"/>
      <c r="V27" s="71"/>
      <c r="W27" s="61"/>
      <c r="X27" s="60"/>
      <c r="Y27" s="55"/>
      <c r="Z27" s="20" t="s">
        <v>26</v>
      </c>
      <c r="AA27" s="14">
        <v>2421.36</v>
      </c>
      <c r="AB27" s="14">
        <f t="shared" si="57"/>
        <v>2864.2267440000005</v>
      </c>
      <c r="AD27" s="23" t="s">
        <v>0</v>
      </c>
      <c r="AE27" s="23" t="s">
        <v>0</v>
      </c>
      <c r="AF27" s="15">
        <f>(AF15+AF16+AF17+AF18+AF19+AF20+AF21+AF22+AF23+AF24+AF25+AF26)</f>
        <v>365</v>
      </c>
      <c r="AG27" s="15">
        <f>(AG15+AG16+AG17+AG18+AG19+AG20+AG21+AG22+AG23+AG24+AG25+AG26)</f>
        <v>313</v>
      </c>
      <c r="AH27" s="15">
        <f>(AH15+AH16+AH17+AH18+AH19+AH20+AH21+AH22+AH23+AH24+AH25+AH26)</f>
        <v>52</v>
      </c>
      <c r="AI27" s="14">
        <f>(AI15+AI16+AI17+AI18+AI19+AI20+AI21+AI22+AI23+AI24+AI25+AI26)</f>
        <v>34233.429340000002</v>
      </c>
      <c r="AJ27" s="14">
        <f t="shared" ref="AJ27:AL27" ca="1" si="61">(AJ15+AJ16+AJ17+AJ18+AJ19+AJ20+AJ21+AJ22+AJ23+AJ24+AJ25+AJ26)</f>
        <v>21934.467709309825</v>
      </c>
      <c r="AK27" s="14">
        <f t="shared" si="61"/>
        <v>34233.429340000002</v>
      </c>
      <c r="AL27" s="14">
        <f t="shared" ca="1" si="61"/>
        <v>23964.121122643151</v>
      </c>
      <c r="AM27" s="14">
        <f t="shared" ref="AM27:AN27" si="62">(AM15+AM16+AM17+AM18+AM19+AM20+AM21+AM22+AM23+AM24+AM25+AM26)</f>
        <v>1042196.05976</v>
      </c>
      <c r="AN27" s="14">
        <f t="shared" ca="1" si="62"/>
        <v>667412.4973349896</v>
      </c>
      <c r="AO27" s="14">
        <f t="shared" ref="AO27:AP27" si="63">(AO15+AO16+AO17+AO18+AO19+AO20+AO21+AO22+AO23+AO24+AO25+AO26)</f>
        <v>0</v>
      </c>
      <c r="AP27" s="14">
        <f t="shared" ca="1" si="63"/>
        <v>0</v>
      </c>
      <c r="AQ27" s="14">
        <f t="shared" ref="AQ27:AR27" si="64">(AQ15+AQ16+AQ17+AQ18+AQ19+AQ20+AQ21+AQ22+AQ23+AQ24+AQ25+AQ26)</f>
        <v>0</v>
      </c>
      <c r="AR27" s="14">
        <f t="shared" ca="1" si="64"/>
        <v>0</v>
      </c>
      <c r="AS27" s="14">
        <f t="shared" ref="AS27:AT27" si="65">(AS15+AS16+AS17+AS18+AS19+AS20+AS21+AS22+AS23+AS24+AS25+AS26)</f>
        <v>0</v>
      </c>
      <c r="AT27" s="14">
        <f t="shared" ca="1" si="65"/>
        <v>0</v>
      </c>
      <c r="AU27" s="14">
        <f t="shared" ref="AU27:AV27" si="66">(AU15+AU16+AU17+AU18+AU19+AU20+AU21+AU22+AU23+AU24+AU25+AU26)</f>
        <v>0</v>
      </c>
      <c r="AV27" s="14">
        <f t="shared" ca="1" si="66"/>
        <v>0</v>
      </c>
      <c r="BD27" s="13">
        <v>25</v>
      </c>
      <c r="BE27" s="19">
        <v>12.5</v>
      </c>
      <c r="BF27" s="20">
        <v>0.27</v>
      </c>
    </row>
    <row r="28" spans="1:58" ht="39.950000000000003" customHeight="1" x14ac:dyDescent="0.25">
      <c r="A28" s="4">
        <f ca="1">(AS72)</f>
        <v>0.23337462737767659</v>
      </c>
      <c r="B28" s="73" t="s">
        <v>75</v>
      </c>
      <c r="C28" s="74"/>
      <c r="D28" s="3" t="s">
        <v>0</v>
      </c>
      <c r="E28" s="9" t="s">
        <v>0</v>
      </c>
      <c r="F28" s="9" t="s">
        <v>0</v>
      </c>
      <c r="G28" s="3" t="s">
        <v>0</v>
      </c>
      <c r="H28" s="3" t="s">
        <v>0</v>
      </c>
      <c r="I28" s="3" t="s">
        <v>0</v>
      </c>
      <c r="J28" s="3" t="s">
        <v>0</v>
      </c>
      <c r="K28" s="3" t="s">
        <v>0</v>
      </c>
      <c r="L28" s="3" t="s">
        <v>0</v>
      </c>
      <c r="M28" s="3" t="s">
        <v>0</v>
      </c>
      <c r="N28" s="3" t="s">
        <v>0</v>
      </c>
      <c r="O28" s="10">
        <f ca="1">(O27/12)</f>
        <v>84741.918095538378</v>
      </c>
      <c r="P28" s="10">
        <f ca="1">(P27/12)</f>
        <v>7600</v>
      </c>
      <c r="Q28" s="11">
        <f ca="1">(Q27/12)</f>
        <v>92341.918095538393</v>
      </c>
      <c r="R28" s="11"/>
      <c r="S28" s="65"/>
      <c r="T28" s="69"/>
      <c r="U28" s="72"/>
      <c r="V28" s="66"/>
      <c r="W28" s="67"/>
      <c r="X28" s="68"/>
      <c r="Y28" s="56"/>
      <c r="Z28" s="20" t="s">
        <v>27</v>
      </c>
      <c r="AA28" s="14">
        <v>2421.36</v>
      </c>
      <c r="AB28" s="14">
        <f t="shared" si="57"/>
        <v>2864.2267440000005</v>
      </c>
      <c r="AC28" s="14">
        <f>($AA$61*$Z$48)</f>
        <v>3581.1387760000002</v>
      </c>
      <c r="AD28" s="23" t="s">
        <v>0</v>
      </c>
      <c r="AE28" s="23" t="s">
        <v>0</v>
      </c>
      <c r="AF28" s="23" t="s">
        <v>0</v>
      </c>
      <c r="AG28" s="23" t="s">
        <v>0</v>
      </c>
      <c r="AH28" s="23" t="s">
        <v>0</v>
      </c>
      <c r="AI28" s="14">
        <f>(AI27/12)</f>
        <v>2852.7857783333334</v>
      </c>
      <c r="AJ28" s="14">
        <f t="shared" ref="AJ28:AL28" ca="1" si="67">(AJ27/12)</f>
        <v>1827.8723091091522</v>
      </c>
      <c r="AK28" s="14">
        <f t="shared" si="67"/>
        <v>2852.7857783333334</v>
      </c>
      <c r="AL28" s="14">
        <f t="shared" ca="1" si="67"/>
        <v>1997.0100935535959</v>
      </c>
      <c r="AM28" s="14">
        <f t="shared" ref="AM28:AN28" si="68">(AM27/12)</f>
        <v>86849.671646666669</v>
      </c>
      <c r="AN28" s="14">
        <f t="shared" ca="1" si="68"/>
        <v>55617.708111249136</v>
      </c>
      <c r="AO28" s="14">
        <f t="shared" ref="AO28:AP28" si="69">(AO27/12)</f>
        <v>0</v>
      </c>
      <c r="AP28" s="14">
        <f t="shared" ca="1" si="69"/>
        <v>0</v>
      </c>
      <c r="AQ28" s="14">
        <f t="shared" ref="AQ28:AR28" si="70">(AQ27/12)</f>
        <v>0</v>
      </c>
      <c r="AR28" s="14">
        <f t="shared" ca="1" si="70"/>
        <v>0</v>
      </c>
      <c r="AS28" s="14">
        <f t="shared" ref="AS28:AT28" si="71">(AS27/12)</f>
        <v>0</v>
      </c>
      <c r="AT28" s="14">
        <f t="shared" ca="1" si="71"/>
        <v>0</v>
      </c>
      <c r="AU28" s="14">
        <f t="shared" ref="AU28:AV28" si="72">(AU27/12)</f>
        <v>0</v>
      </c>
      <c r="AV28" s="14">
        <f t="shared" ca="1" si="72"/>
        <v>0</v>
      </c>
      <c r="BD28" s="13">
        <v>26</v>
      </c>
      <c r="BE28" s="19">
        <v>13</v>
      </c>
      <c r="BF28" s="20">
        <v>0.28000000000000003</v>
      </c>
    </row>
    <row r="29" spans="1:58" ht="39.950000000000003" hidden="1" customHeight="1" x14ac:dyDescent="0.25">
      <c r="Z29" s="28" t="s">
        <v>31</v>
      </c>
      <c r="AA29" s="14">
        <v>2421.36</v>
      </c>
      <c r="AB29" s="14">
        <f t="shared" si="57"/>
        <v>2864.2267440000005</v>
      </c>
      <c r="AC29" s="14">
        <f>($AA$61*$Z$49*2)</f>
        <v>787.75599999999997</v>
      </c>
      <c r="AD29" s="14">
        <f>(2748/30*AU1)</f>
        <v>2748</v>
      </c>
      <c r="AE29" s="15">
        <v>10</v>
      </c>
      <c r="AF29" s="14">
        <f t="shared" ref="AF29:AF40" si="73">(AI15*AE29)</f>
        <v>23541</v>
      </c>
      <c r="AG29" s="14">
        <f>(0)</f>
        <v>0</v>
      </c>
      <c r="AH29" s="14">
        <f t="shared" ref="AH29:AH40" ca="1" si="74">(AG29*AX59)</f>
        <v>0</v>
      </c>
      <c r="AI29" s="15">
        <v>30</v>
      </c>
      <c r="AJ29" s="14">
        <f t="shared" ref="AJ29:AJ30" si="75">(6136/30*AI29)</f>
        <v>6136</v>
      </c>
      <c r="AK29" s="14">
        <f t="shared" ref="AK29:AK40" ca="1" si="76">(AJ29*AX59)</f>
        <v>4386.6877600000007</v>
      </c>
      <c r="AL29" s="29">
        <f t="shared" ref="AL29:AL40" ca="1" si="77">COUNTIF(J15,"Yok")*(0)
+COUNTIF(J15,"Askerlik Yardımı")*($AC$52/AX59)
+COUNTIF(J15,"Cenaze Yardımı (Anne-Baba)")*($AC$53+$AC$53*0.00759)
+COUNTIF(J15,"Cenaze Yardımı (Eş-Çocuk)")*($AC$54+$AC$54*0.00759)
+COUNTIF(J15,"Cenaze Yardımı (İşçi-İş Kazası Sonucu)")*($AC$55+$AC$55*0.00759)
+COUNTIF(J15,"Cenaze Yardımı (İşçi-Tabii Sebepler Sonucu)")*($AC$56+$AC$56*0.00759)
+COUNTIF(J15,"Doğal Afet Yardımı")*($AC$57+$AC$57*0.00759)
+COUNTIF(J15,"Eğitim Yardımı (Çocuk-İlköğretim)")*($AC$58/AX59)
+COUNTIF(J15,"Eğitim Yardımı (Çocuk-Ortaöğretim)")*($AC$59/AX59)
+COUNTIF(J15,"Eğitim Yardımı (Çocuk-Lise)")*($AC$60/AX59)
+COUNTIF(J15,"Eğitim Yardımı (Çocuk-Yükseköğretim)")*($AC$61/AX59)
+COUNTIF(J15,"Eğitim Yardımı (İşçi-Lise)")*($AC$62/AX59)
+COUNTIF(J15,"Eğitim Yardımı (İşçi-Yükseköğretim)")*($AC$63/AX59)
+COUNTIF(J15,"Evlilik Yardımı")*($AC$64+$AC$64*0.00759)
+COUNTIF(J15,"Gıda Yardımı")*($AC$65/AX59)
+COUNTIF(J15,"İş Kazası veya Meslek Hastalığı Tazminatı")*($AC$66+$AC$66*0.00759)
+COUNTIF(K15,"Yok")*(0)
+COUNTIF(K15,"Askerlik Yardımı")*($AC$52/AX59)
+COUNTIF(K15,"Cenaze Yardımı (Anne-Baba)")*($AC$53+$AC$53*0.00759)
+COUNTIF(K15,"Cenaze Yardımı (Eş-Çocuk)")*($AC$54+$AC$54*0.00759)
+COUNTIF(K15,"Cenaze Yardımı (İşçi-İş Kazası Sonucu)")*($AC$55+$AC$55*0.00759)
+COUNTIF(K15,"Cenaze Yardımı (İşçi-Tabii Sebepler Sonucu)")*($AC$56+$AC$56*0.00759)
+COUNTIF(K15,"Doğal Afet Yardımı")*($AC$57+$AC$57*0.00759)
+COUNTIF(K15,"Eğitim Yardımı (Çocuk-İlköğretim)")*($AC$58/AX59)
+COUNTIF(K15,"Eğitim Yardımı (Çocuk-Ortaöğretim)")*($AC$59/AX59)
+COUNTIF(K15,"Eğitim Yardımı (Çocuk-Lise)")*($AC$60/AX59)
+COUNTIF(K15,"Eğitim Yardımı (Çocuk-Yükseköğretim)")*($AC$61/AX59)
+COUNTIF(K15,"Eğitim Yardımı (İşçi-Lise)")*($AC$62/AX59)
+COUNTIF(K15,"Eğitim Yardımı (İşçi-Yükseköğretim)")*($AC$63/AX59)
+COUNTIF(K15,"Evlilik Yardımı")*($AC$64+$AC$64*0.00759)
+COUNTIF(K15,"Gıda Yardımı")*($AC$65/AX59)
+COUNTIF(K15,"İş Kazası veya Meslek Hastalığı Tazminatı")*($AC$66+$AC$66*0.00759)
+COUNTIF(L15,"Yok")*(0)
+COUNTIF(L15,"Askerlik Yardımı")*($AC$52/AX59)
+COUNTIF(L15,"Cenaze Yardımı (Anne-Baba)")*($AC$53+$AC$53*0.00759)
+COUNTIF(L15,"Cenaze Yardımı (Eş-Çocuk)")*($AC$54+$AC$54*0.00759)
+COUNTIF(L15,"Cenaze Yardımı (İşçi-İş Kazası Sonucu)")*($AC$55+$AC$55*0.00759)
+COUNTIF(L15,"Cenaze Yardımı (İşçi-Tabii Sebepler Sonucu)")*($AC$56+$AC$56*0.00759)
+COUNTIF(L15,"Doğal Afet Yardımı")*($AC$57+$AC$57*0.00759)
+COUNTIF(L15,"Eğitim Yardımı (Çocuk-İlköğretim)")*($AC$58/AX59)
+COUNTIF(L15,"Eğitim Yardımı (Çocuk-Ortaöğretim)")*($AC$59/AX59)
+COUNTIF(L15,"Eğitim Yardımı (Çocuk-Lise)")*($AC$60/AX59)
+COUNTIF(L15,"Eğitim Yardımı (Çocuk-Yükseköğretim)")*($AC$61/AX59)
+COUNTIF(L15,"Eğitim Yardımı (İşçi-Lise)")*($AC$62/AX59)
+COUNTIF(L15,"Eğitim Yardımı (İşçi-Yükseköğretim)")*($AC$63/AX59)
+COUNTIF(L15,"Evlilik Yardımı")*($AC$64+$AC$64*0.00759)
+COUNTIF(L15,"Gıda Yardımı")*($AC$65/AX59)
+COUNTIF(L15,"İş Kazası veya Meslek Hastalığı Tazminatı")*($AC$66+$AC$66*0.00759)</f>
        <v>0</v>
      </c>
      <c r="AM29" s="29">
        <f t="shared" ref="AM29:AM40" si="78">COUNTIF(J15,"Yok")*(0)
+COUNTIF(J15,"Askerlik Yardımı")*(0)
+COUNTIF(J15,"Cenaze Yardımı (Anne-Baba)")*($AC$53+$AC$53*0.00759)
+COUNTIF(J15,"Cenaze Yardımı (Eş-Çocuk)")*($AC$54+$AC$54*0.00759)
+COUNTIF(J15,"Cenaze Yardımı (İşçi-İş Kazası Sonucu)")*($AC$55+$AC$55*0.00759)
+COUNTIF(J15,"Cenaze Yardımı (İşçi-Tabii Sebepler Sonucu)")*($AC$56+$AC$56*0.00759)
+COUNTIF(J15,"Doğal Afet Yardımı")*($AC$57+$AC$57*0.00759)
+COUNTIF(J15,"Eğitim Yardımı (Çocuk-İlköğretim)")*(0)
+COUNTIF(J15,"Eğitim Yardımı (Çocuk-Ortaöğretim)")*(0)
+COUNTIF(J15,"Eğitim Yardımı (Çocuk-Lise)")*(0)
+COUNTIF(J15,"Eğitim Yardımı (Çocuk-Yükseköğretim)")*(0)
+COUNTIF(J15,"Eğitim Yardımı (İşçi-Lise)")*(0)
+COUNTIF(J15,"Eğitim Yardımı (İşçi-Yükseköğretim)")*(0)
+COUNTIF(J15,"Evlilik Yardımı")*($AC$64+$AC$64*0.00759)
+COUNTIF(J15,"Gıda Yardımı")*(0)
+COUNTIF(J15,"İş Kazası veya Meslek Hastalığı Tazminatı")*($AC$66+$AC$66*0.00759)
+COUNTIF(K15,"Yok")*(0)
+COUNTIF(K15,"Askerlik Yardımı")*(0)
+COUNTIF(K15,"Cenaze Yardımı (Anne-Baba)")*($AC$53+$AC$53*0.00759)
+COUNTIF(K15,"Cenaze Yardımı (Eş-Çocuk)")*($AC$54+$AC$54*0.00759)
+COUNTIF(K15,"Cenaze Yardımı (İşçi-İş Kazası Sonucu)")*($AC$55+$AC$55*0.00759)
+COUNTIF(K15,"Cenaze Yardımı (İşçi-Tabii Sebepler Sonucu)")*($AC$56+$AC$56*0.00759)
+COUNTIF(K15,"Doğal Afet Yardımı")*($AC$57+$AC$57*0.00759)
+COUNTIF(K15,"Eğitim Yardımı (Çocuk-İlköğretim)")*(0)
+COUNTIF(K15,"Eğitim Yardımı (Çocuk-Ortaöğretim)")*(0)
+COUNTIF(K15,"Eğitim Yardımı (Çocuk-Lise)")*(0)
+COUNTIF(K15,"Eğitim Yardımı (Çocuk-Yükseköğretim)")*(0)
+COUNTIF(K15,"Eğitim Yardımı (İşçi-Lise)")*(0)
+COUNTIF(K15,"Eğitim Yardımı (İşçi-Yükseköğretim)")*(0)
+COUNTIF(K15,"Evlilik Yardımı")*($AC$64+$AC$64*0.00759)
+COUNTIF(K15,"Gıda Yardımı")*(0)
+COUNTIF(K15,"İş Kazası veya Meslek Hastalığı Tazminatı")*($AC$66+$AC$66*0.00759)
+COUNTIF(L15,"Yok")*(0)
+COUNTIF(L15,"Askerlik Yardımı")*(0)
+COUNTIF(L15,"Cenaze Yardımı (Anne-Baba)")*($AC$53+$AC$53*0.00759)
+COUNTIF(L15,"Cenaze Yardımı (Eş-Çocuk)")*($AC$54+$AC$54*0.00759)
+COUNTIF(L15,"Cenaze Yardımı (İşçi-İş Kazası Sonucu)")*($AC$55+$AC$55*0.00759)
+COUNTIF(L15,"Cenaze Yardımı (İşçi-Tabii Sebepler Sonucu)")*($AC$56+$AC$56*0.00759)
+COUNTIF(L15,"Doğal Afet Yardımı")*($AC$57+$AC$57*0.00759)
+COUNTIF(L15,"Eğitim Yardımı (Çocuk-İlköğretim)")*(0)
+COUNTIF(L15,"Eğitim Yardımı (Çocuk-Ortaöğretim)")*(0)
+COUNTIF(L15,"Eğitim Yardımı (Çocuk-Lise)")*(0)
+COUNTIF(L15,"Eğitim Yardımı (Çocuk-Yükseköğretim)")*(0)
+COUNTIF(L15,"Eğitim Yardımı (İşçi-Lise)")*(0)
+COUNTIF(L15,"Eğitim Yardımı (İşçi-Yükseköğretim)")*(0)
+COUNTIF(L15,"Evlilik Yardımı")*($AC$64+$AC$64*0.00759)
+COUNTIF(L15,"Gıda Yardımı")*(0)
+COUNTIF(L15,"İş Kazası veya Meslek Hastalığı Tazminatı")*($AC$66+$AC$66*0.00759)</f>
        <v>0</v>
      </c>
      <c r="AN29" s="29">
        <f t="shared" ref="AN29:AN40" si="79">COUNTIF(J15,"Yok")*(0)
+COUNTIF(J15,"Askerlik Yardımı")*($AC$52)
+COUNTIF(J15,"Cenaze Yardımı (Anne-Baba)")*($AC$53)
+COUNTIF(J15,"Cenaze Yardımı (Eş-Çocuk)")*($AC$54)
+COUNTIF(J15,"Cenaze Yardımı (İşçi-İş Kazası Sonucu)")*($AC$55)
+COUNTIF(J15,"Cenaze Yardımı (İşçi-Tabii Sebepler Sonucu)")*($AC$56)
+COUNTIF(J15,"Doğal Afet Yardımı")*($AC$57)
+COUNTIF(J15,"Eğitim Yardımı (Çocuk-İlköğretim)")*($AC$58)
+COUNTIF(J15,"Eğitim Yardımı (Çocuk-Ortaöğretim)")*($AC$59)
+COUNTIF(J15,"Eğitim Yardımı (Çocuk-Lise)")*($AC$60)
+COUNTIF(J15,"Eğitim Yardımı (Çocuk-Yükseköğretim)")*($AC$61)
+COUNTIF(J15,"Eğitim Yardımı (İşçi-Lise)")*($AC$62)
+COUNTIF(J15,"Eğitim Yardımı (İşçi-Yükseköğretim)")*($AC$63)
+COUNTIF(J15,"Evlilik Yardımı")*($AC$64)
+COUNTIF(J15,"Gıda Yardımı")*($AC$65)
+COUNTIF(J15,"İş Kazası veya Meslek Hastalığı Tazminatı")*($AC$66)
+COUNTIF(K15,"Yok")*(0)
+COUNTIF(K15,"Askerlik Yardımı")*($AC$52)
+COUNTIF(K15,"Cenaze Yardımı (Anne-Baba)")*($AC$53)
+COUNTIF(K15,"Cenaze Yardımı (Eş-Çocuk)")*($AC$54)
+COUNTIF(K15,"Cenaze Yardımı (İşçi-İş Kazası Sonucu)")*($AC$55)
+COUNTIF(K15,"Cenaze Yardımı (İşçi-Tabii Sebepler Sonucu)")*($AC$56)
+COUNTIF(K15,"Doğal Afet Yardımı")*($AC$57)
+COUNTIF(K15,"Eğitim Yardımı (Çocuk-İlköğretim)")*($AC$58)
+COUNTIF(K15,"Eğitim Yardımı (Çocuk-Ortaöğretim)")*($AC$59)
+COUNTIF(K15,"Eğitim Yardımı (Çocuk-Lise)")*($AC$60)
+COUNTIF(K15,"Eğitim Yardımı (Çocuk-Yükseköğretim)")*($AC$61)
+COUNTIF(K15,"Eğitim Yardımı (İşçi-Lise)")*($AC$62)
+COUNTIF(K15,"Eğitim Yardımı (İşçi-Yükseköğretim)")*($AC$63)
+COUNTIF(K15,"Evlilik Yardımı")*($AC$64)
+COUNTIF(K15,"Gıda Yardımı")*($AC$65)
+COUNTIF(K15,"İş Kazası veya Meslek Hastalığı Tazminatı")*($AC$66)
+COUNTIF(L15,"Yok")*(0)
+COUNTIF(L15,"Askerlik Yardımı")*($AC$52)
+COUNTIF(L15,"Cenaze Yardımı (Anne-Baba)")*($AC$53)
+COUNTIF(L15,"Cenaze Yardımı (Eş-Çocuk)")*($AC$54)
+COUNTIF(L15,"Cenaze Yardımı (İşçi-İş Kazası Sonucu)")*($AC$55)
+COUNTIF(L15,"Cenaze Yardımı (İşçi-Tabii Sebepler Sonucu)")*($AC$56)
+COUNTIF(L15,"Doğal Afet Yardımı")*($AC$57)
+COUNTIF(L15,"Eğitim Yardımı (Çocuk-İlköğretim)")*($AC$58)
+COUNTIF(L15,"Eğitim Yardımı (Çocuk-Ortaöğretim)")*($AC$59)
+COUNTIF(L15,"Eğitim Yardımı (Çocuk-Lise)")*($AC$60)
+COUNTIF(L15,"Eğitim Yardımı (Çocuk-Yükseköğretim)")*($AC$61)
+COUNTIF(L15,"Eğitim Yardımı (İşçi-Lise)")*($AC$62)
+COUNTIF(L15,"Eğitim Yardımı (İşçi-Yükseköğretim)")*($AC$63)
+COUNTIF(L15,"Evlilik Yardımı")*($AC$64)
+COUNTIF(L15,"Gıda Yardımı")*($AC$65)
+COUNTIF(L15,"İş Kazası veya Meslek Hastalığı Tazminatı")*($AC$66)</f>
        <v>0</v>
      </c>
      <c r="AO29" s="28" t="s">
        <v>9</v>
      </c>
      <c r="AP29" s="14">
        <f t="shared" ref="AP29:AP40" si="80">COUNTIF(AO29,"Var")*(AI15*0.9*-1)</f>
        <v>-2118.69</v>
      </c>
      <c r="AQ29" s="14">
        <f>(AP29*-1)</f>
        <v>2118.69</v>
      </c>
      <c r="AR29" s="29">
        <f t="shared" ref="AR29:AR40" ca="1" si="81">(AJ59*M15+AS29)*-1</f>
        <v>0</v>
      </c>
      <c r="AS29" s="29">
        <f t="shared" ref="AS29:AS40" si="82">(AQ15+AS15+AU15+AD1+AF1-AM1)*(M15*-1)</f>
        <v>0</v>
      </c>
      <c r="AT29" s="29">
        <f ca="1">(AR29+AS29)</f>
        <v>0</v>
      </c>
      <c r="AU29" s="14">
        <f t="shared" ref="AU29:AU40" ca="1" si="83">(AD59)</f>
        <v>90156.940483417478</v>
      </c>
      <c r="AV29" s="14">
        <f ca="1">(AU29*0.205)</f>
        <v>18482.172799100583</v>
      </c>
      <c r="AW29" s="14">
        <f ca="1">(AU29*0.01)</f>
        <v>901.56940483417475</v>
      </c>
      <c r="AX29" s="14">
        <f ca="1">(AU29*0.05*-1)</f>
        <v>-4507.8470241708737</v>
      </c>
      <c r="AY29" s="14">
        <f ca="1">(AU29+AV29+AW29+AX29)</f>
        <v>105032.83566318135</v>
      </c>
      <c r="BD29" s="13">
        <v>27</v>
      </c>
      <c r="BE29" s="19">
        <v>13.5</v>
      </c>
      <c r="BF29" s="20">
        <v>0.28999999999999998</v>
      </c>
    </row>
    <row r="30" spans="1:58" ht="39.950000000000003" hidden="1" customHeight="1" x14ac:dyDescent="0.25">
      <c r="Z30" s="20" t="s">
        <v>29</v>
      </c>
      <c r="AA30" s="14">
        <v>2253.21</v>
      </c>
      <c r="AB30" s="14">
        <f t="shared" si="57"/>
        <v>2665.3221090000002</v>
      </c>
      <c r="AC30" s="14">
        <f>($AA$61*$Z$50)</f>
        <v>393.87799999999999</v>
      </c>
      <c r="AD30" s="14">
        <f>(2748/30*15+3298/30*15)</f>
        <v>3023</v>
      </c>
      <c r="AE30" s="15">
        <v>10</v>
      </c>
      <c r="AF30" s="14">
        <f t="shared" si="73"/>
        <v>23541</v>
      </c>
      <c r="AG30" s="14">
        <f>(0)</f>
        <v>0</v>
      </c>
      <c r="AH30" s="14">
        <f t="shared" ca="1" si="74"/>
        <v>0</v>
      </c>
      <c r="AI30" s="15">
        <v>30</v>
      </c>
      <c r="AJ30" s="14">
        <f t="shared" si="75"/>
        <v>6136</v>
      </c>
      <c r="AK30" s="14">
        <f t="shared" ca="1" si="76"/>
        <v>4386.6877600000007</v>
      </c>
      <c r="AL30" s="29">
        <f t="shared" ca="1" si="77"/>
        <v>0</v>
      </c>
      <c r="AM30" s="29">
        <f t="shared" si="78"/>
        <v>0</v>
      </c>
      <c r="AN30" s="29">
        <f t="shared" si="79"/>
        <v>0</v>
      </c>
      <c r="AO30" s="28" t="s">
        <v>9</v>
      </c>
      <c r="AP30" s="14">
        <f t="shared" si="80"/>
        <v>-2118.69</v>
      </c>
      <c r="AQ30" s="14">
        <f t="shared" ref="AQ30:AQ40" si="84">(AP30*-1)</f>
        <v>2118.69</v>
      </c>
      <c r="AR30" s="29">
        <f t="shared" ca="1" si="81"/>
        <v>0</v>
      </c>
      <c r="AS30" s="29">
        <f t="shared" si="82"/>
        <v>0</v>
      </c>
      <c r="AT30" s="29">
        <f t="shared" ref="AT30:AT40" ca="1" si="85">(AR30+AS30)</f>
        <v>0</v>
      </c>
      <c r="AU30" s="14">
        <f t="shared" ca="1" si="83"/>
        <v>83479.304287252948</v>
      </c>
      <c r="AV30" s="14">
        <f t="shared" ref="AV30:AV40" ca="1" si="86">(AU30*0.205)</f>
        <v>17113.257378886854</v>
      </c>
      <c r="AW30" s="14">
        <f t="shared" ref="AW30:AW40" ca="1" si="87">(AU30*0.01)</f>
        <v>834.79304287252944</v>
      </c>
      <c r="AX30" s="14">
        <f t="shared" ref="AX30:AX40" ca="1" si="88">(AU30*0.05*-1)</f>
        <v>-4173.9652143626472</v>
      </c>
      <c r="AY30" s="14">
        <f t="shared" ref="AY30:AY40" ca="1" si="89">(AU30+AV30+AW30+AX30)</f>
        <v>97253.389494649688</v>
      </c>
      <c r="BD30" s="13">
        <v>28</v>
      </c>
      <c r="BE30" s="19">
        <v>14</v>
      </c>
      <c r="BF30" s="20">
        <v>0.3</v>
      </c>
    </row>
    <row r="31" spans="1:58" ht="39.950000000000003" hidden="1" customHeight="1" x14ac:dyDescent="0.25">
      <c r="Z31" s="20" t="s">
        <v>30</v>
      </c>
      <c r="AA31" s="14">
        <v>2152.3200000000002</v>
      </c>
      <c r="AB31" s="14">
        <f t="shared" si="57"/>
        <v>2545.9793280000004</v>
      </c>
      <c r="AC31" s="14">
        <f>($AC$29*$Z$51)</f>
        <v>1181.634</v>
      </c>
      <c r="AD31" s="14">
        <f>3298/30*AU3</f>
        <v>3298</v>
      </c>
      <c r="AE31" s="15">
        <v>10</v>
      </c>
      <c r="AF31" s="14">
        <f t="shared" si="73"/>
        <v>27846.6489</v>
      </c>
      <c r="AG31" s="14">
        <f>(AF29+AF30+AF31)</f>
        <v>74928.6489</v>
      </c>
      <c r="AH31" s="14">
        <f t="shared" ca="1" si="74"/>
        <v>51678.812429954021</v>
      </c>
      <c r="AI31" s="15">
        <v>30</v>
      </c>
      <c r="AJ31" s="14">
        <f>(7135.55/30*AI31)</f>
        <v>7135.55</v>
      </c>
      <c r="AK31" s="14">
        <f t="shared" ca="1" si="76"/>
        <v>4921.4386679613335</v>
      </c>
      <c r="AL31" s="29">
        <f t="shared" ca="1" si="77"/>
        <v>0</v>
      </c>
      <c r="AM31" s="29">
        <f t="shared" si="78"/>
        <v>0</v>
      </c>
      <c r="AN31" s="29">
        <f t="shared" si="79"/>
        <v>0</v>
      </c>
      <c r="AO31" s="28" t="s">
        <v>9</v>
      </c>
      <c r="AP31" s="14">
        <f t="shared" si="80"/>
        <v>-2506.1984010000001</v>
      </c>
      <c r="AQ31" s="14">
        <f t="shared" si="84"/>
        <v>2506.1984010000001</v>
      </c>
      <c r="AR31" s="29">
        <f t="shared" ca="1" si="81"/>
        <v>0</v>
      </c>
      <c r="AS31" s="29">
        <f t="shared" si="82"/>
        <v>0</v>
      </c>
      <c r="AT31" s="29">
        <f t="shared" ca="1" si="85"/>
        <v>0</v>
      </c>
      <c r="AU31" s="14">
        <f t="shared" ca="1" si="83"/>
        <v>180370.55125478905</v>
      </c>
      <c r="AV31" s="14">
        <f t="shared" ca="1" si="86"/>
        <v>36975.963007231752</v>
      </c>
      <c r="AW31" s="14">
        <f t="shared" ca="1" si="87"/>
        <v>1803.7055125478905</v>
      </c>
      <c r="AX31" s="14">
        <f t="shared" ca="1" si="88"/>
        <v>-9018.5275627394531</v>
      </c>
      <c r="AY31" s="14">
        <f t="shared" ca="1" si="89"/>
        <v>210131.69221182927</v>
      </c>
      <c r="BD31" s="13">
        <v>29</v>
      </c>
      <c r="BE31" s="19">
        <v>14.5</v>
      </c>
      <c r="BF31" s="20">
        <v>0.31</v>
      </c>
    </row>
    <row r="32" spans="1:58" ht="39.950000000000003" hidden="1" customHeight="1" x14ac:dyDescent="0.25">
      <c r="Z32" s="28" t="s">
        <v>32</v>
      </c>
      <c r="AA32" s="14">
        <v>2152.3200000000002</v>
      </c>
      <c r="AB32" s="14">
        <f t="shared" si="57"/>
        <v>2545.9793280000004</v>
      </c>
      <c r="AC32" s="14">
        <f>($AC$31/2)</f>
        <v>590.81700000000001</v>
      </c>
      <c r="AD32" s="14">
        <f>3298/30*AU4</f>
        <v>3298</v>
      </c>
      <c r="AE32" s="15">
        <v>10</v>
      </c>
      <c r="AF32" s="14">
        <f t="shared" si="73"/>
        <v>27846.6489</v>
      </c>
      <c r="AG32" s="14">
        <f>(0)</f>
        <v>0</v>
      </c>
      <c r="AH32" s="14">
        <f t="shared" ca="1" si="74"/>
        <v>0</v>
      </c>
      <c r="AI32" s="15">
        <v>30</v>
      </c>
      <c r="AJ32" s="14">
        <f t="shared" ref="AJ32:AJ36" si="90">(7135.55/30*AI32)</f>
        <v>7135.55</v>
      </c>
      <c r="AK32" s="14">
        <f t="shared" ca="1" si="76"/>
        <v>4798.0151754999997</v>
      </c>
      <c r="AL32" s="29">
        <f t="shared" ca="1" si="77"/>
        <v>0</v>
      </c>
      <c r="AM32" s="29">
        <f t="shared" si="78"/>
        <v>0</v>
      </c>
      <c r="AN32" s="29">
        <f t="shared" si="79"/>
        <v>0</v>
      </c>
      <c r="AO32" s="28" t="s">
        <v>9</v>
      </c>
      <c r="AP32" s="14">
        <f t="shared" si="80"/>
        <v>-2506.1984010000001</v>
      </c>
      <c r="AQ32" s="14">
        <f t="shared" si="84"/>
        <v>2506.1984010000001</v>
      </c>
      <c r="AR32" s="29">
        <f t="shared" ca="1" si="81"/>
        <v>0</v>
      </c>
      <c r="AS32" s="29">
        <f t="shared" si="82"/>
        <v>0</v>
      </c>
      <c r="AT32" s="29">
        <f t="shared" ca="1" si="85"/>
        <v>0</v>
      </c>
      <c r="AU32" s="14">
        <f t="shared" ca="1" si="83"/>
        <v>102780.24231651374</v>
      </c>
      <c r="AV32" s="14">
        <f t="shared" ca="1" si="86"/>
        <v>21069.949674885316</v>
      </c>
      <c r="AW32" s="14">
        <f t="shared" ca="1" si="87"/>
        <v>1027.8024231651375</v>
      </c>
      <c r="AX32" s="14">
        <f t="shared" ca="1" si="88"/>
        <v>-5139.0121158256879</v>
      </c>
      <c r="AY32" s="14">
        <f t="shared" ca="1" si="89"/>
        <v>119738.9822987385</v>
      </c>
      <c r="BD32" s="13">
        <v>30</v>
      </c>
      <c r="BE32" s="19">
        <v>15</v>
      </c>
      <c r="BF32" s="20">
        <v>0.32</v>
      </c>
    </row>
    <row r="33" spans="26:58" ht="39.950000000000003" hidden="1" customHeight="1" x14ac:dyDescent="0.25">
      <c r="Z33" s="28" t="s">
        <v>54</v>
      </c>
      <c r="AA33" s="14">
        <v>2152.3200000000002</v>
      </c>
      <c r="AB33" s="14">
        <f t="shared" si="57"/>
        <v>2545.9793280000004</v>
      </c>
      <c r="AD33" s="14">
        <f>3298/30*AU5</f>
        <v>3298</v>
      </c>
      <c r="AE33" s="15">
        <v>10</v>
      </c>
      <c r="AF33" s="14">
        <f t="shared" si="73"/>
        <v>27846.6489</v>
      </c>
      <c r="AG33" s="14">
        <f>(0)</f>
        <v>0</v>
      </c>
      <c r="AH33" s="14">
        <f t="shared" ca="1" si="74"/>
        <v>0</v>
      </c>
      <c r="AI33" s="15">
        <v>30</v>
      </c>
      <c r="AJ33" s="14">
        <f t="shared" si="90"/>
        <v>7135.55</v>
      </c>
      <c r="AK33" s="14">
        <f t="shared" ca="1" si="76"/>
        <v>4610.9340197139081</v>
      </c>
      <c r="AL33" s="29">
        <f t="shared" ca="1" si="77"/>
        <v>0</v>
      </c>
      <c r="AM33" s="29">
        <f t="shared" si="78"/>
        <v>0</v>
      </c>
      <c r="AN33" s="29">
        <f t="shared" si="79"/>
        <v>0</v>
      </c>
      <c r="AO33" s="28" t="s">
        <v>9</v>
      </c>
      <c r="AP33" s="14">
        <f t="shared" si="80"/>
        <v>-2506.1984010000001</v>
      </c>
      <c r="AQ33" s="14">
        <f t="shared" si="84"/>
        <v>2506.1984010000001</v>
      </c>
      <c r="AR33" s="29">
        <f t="shared" ca="1" si="81"/>
        <v>0</v>
      </c>
      <c r="AS33" s="29">
        <f t="shared" si="82"/>
        <v>0</v>
      </c>
      <c r="AT33" s="29">
        <f t="shared" ca="1" si="85"/>
        <v>0</v>
      </c>
      <c r="AU33" s="14">
        <f t="shared" ca="1" si="83"/>
        <v>106363.90929044099</v>
      </c>
      <c r="AV33" s="14">
        <f t="shared" ca="1" si="86"/>
        <v>21804.601404540401</v>
      </c>
      <c r="AW33" s="14">
        <f t="shared" ca="1" si="87"/>
        <v>1063.6390929044098</v>
      </c>
      <c r="AX33" s="14">
        <f t="shared" ca="1" si="88"/>
        <v>-5318.1954645220503</v>
      </c>
      <c r="AY33" s="14">
        <f t="shared" ca="1" si="89"/>
        <v>123913.95432336375</v>
      </c>
      <c r="BD33" s="13">
        <v>31</v>
      </c>
      <c r="BE33" s="19">
        <v>15.5</v>
      </c>
      <c r="BF33" s="20">
        <v>0.33</v>
      </c>
    </row>
    <row r="34" spans="26:58" ht="39.950000000000003" hidden="1" customHeight="1" x14ac:dyDescent="0.25">
      <c r="Z34" s="30">
        <f>(10%)</f>
        <v>0.1</v>
      </c>
      <c r="AA34" s="13" t="s">
        <v>0</v>
      </c>
      <c r="AB34" s="14">
        <f>($AB$40*$Z$34)</f>
        <v>3303</v>
      </c>
      <c r="AC34" s="14">
        <f>($AA$61*$Z$54)</f>
        <v>2363.268</v>
      </c>
      <c r="AD34" s="14">
        <f>3298/30*AU6</f>
        <v>3298</v>
      </c>
      <c r="AE34" s="15">
        <v>10</v>
      </c>
      <c r="AF34" s="14">
        <f t="shared" si="73"/>
        <v>27846.6489</v>
      </c>
      <c r="AG34" s="14">
        <f t="shared" ref="AG34:AG40" si="91">(AF32+AF33+AF34)</f>
        <v>83539.9467</v>
      </c>
      <c r="AH34" s="14">
        <f t="shared" ca="1" si="74"/>
        <v>51202.468731896995</v>
      </c>
      <c r="AI34" s="15">
        <v>30</v>
      </c>
      <c r="AJ34" s="14">
        <f t="shared" si="90"/>
        <v>7135.55</v>
      </c>
      <c r="AK34" s="14">
        <f t="shared" ca="1" si="76"/>
        <v>4373.4499504999994</v>
      </c>
      <c r="AL34" s="29">
        <f t="shared" ca="1" si="77"/>
        <v>0</v>
      </c>
      <c r="AM34" s="29">
        <f t="shared" si="78"/>
        <v>0</v>
      </c>
      <c r="AN34" s="29">
        <f t="shared" si="79"/>
        <v>0</v>
      </c>
      <c r="AO34" s="28" t="s">
        <v>9</v>
      </c>
      <c r="AP34" s="14">
        <f t="shared" si="80"/>
        <v>-2506.1984010000001</v>
      </c>
      <c r="AQ34" s="14">
        <f t="shared" si="84"/>
        <v>2506.1984010000001</v>
      </c>
      <c r="AR34" s="29">
        <f t="shared" ca="1" si="81"/>
        <v>0</v>
      </c>
      <c r="AS34" s="29">
        <f t="shared" si="82"/>
        <v>0</v>
      </c>
      <c r="AT34" s="29">
        <f t="shared" ca="1" si="85"/>
        <v>0</v>
      </c>
      <c r="AU34" s="14">
        <f t="shared" ca="1" si="83"/>
        <v>187396.33129544958</v>
      </c>
      <c r="AV34" s="14">
        <f t="shared" ca="1" si="86"/>
        <v>38416.247915567161</v>
      </c>
      <c r="AW34" s="14">
        <f t="shared" ca="1" si="87"/>
        <v>1873.9633129544959</v>
      </c>
      <c r="AX34" s="14">
        <f t="shared" ca="1" si="88"/>
        <v>-9369.81656477248</v>
      </c>
      <c r="AY34" s="14">
        <f t="shared" ca="1" si="89"/>
        <v>218316.72595919875</v>
      </c>
      <c r="BD34" s="13">
        <v>32</v>
      </c>
      <c r="BE34" s="19">
        <v>16</v>
      </c>
      <c r="BF34" s="20">
        <v>0.34</v>
      </c>
    </row>
    <row r="35" spans="26:58" ht="39.950000000000003" hidden="1" customHeight="1" x14ac:dyDescent="0.25">
      <c r="Z35" s="30">
        <f>(2%)</f>
        <v>0.02</v>
      </c>
      <c r="AA35" s="13" t="s">
        <v>0</v>
      </c>
      <c r="AB35" s="14">
        <f>($AB$40*$Z$35)</f>
        <v>660.6</v>
      </c>
      <c r="AC35" s="14">
        <f>($AA$61*$Z$55)</f>
        <v>12604.096</v>
      </c>
      <c r="AD35" s="14">
        <f>(3298/30*19+3628/30*11)</f>
        <v>3419</v>
      </c>
      <c r="AE35" s="15">
        <v>10</v>
      </c>
      <c r="AF35" s="14">
        <f t="shared" si="73"/>
        <v>27846.6489</v>
      </c>
      <c r="AG35" s="14">
        <f>(0)</f>
        <v>0</v>
      </c>
      <c r="AH35" s="14">
        <f t="shared" ca="1" si="74"/>
        <v>0</v>
      </c>
      <c r="AI35" s="15">
        <v>30</v>
      </c>
      <c r="AJ35" s="14">
        <f t="shared" si="90"/>
        <v>7135.55</v>
      </c>
      <c r="AK35" s="14">
        <f t="shared" ca="1" si="76"/>
        <v>4373.4499504999994</v>
      </c>
      <c r="AL35" s="29">
        <f t="shared" ca="1" si="77"/>
        <v>0</v>
      </c>
      <c r="AM35" s="29">
        <f t="shared" si="78"/>
        <v>0</v>
      </c>
      <c r="AN35" s="29">
        <f t="shared" si="79"/>
        <v>0</v>
      </c>
      <c r="AO35" s="28" t="s">
        <v>9</v>
      </c>
      <c r="AP35" s="14">
        <f t="shared" si="80"/>
        <v>-2506.1984010000001</v>
      </c>
      <c r="AQ35" s="14">
        <f t="shared" si="84"/>
        <v>2506.1984010000001</v>
      </c>
      <c r="AR35" s="29">
        <f t="shared" ca="1" si="81"/>
        <v>0</v>
      </c>
      <c r="AS35" s="29">
        <f t="shared" si="82"/>
        <v>0</v>
      </c>
      <c r="AT35" s="29">
        <f t="shared" ca="1" si="85"/>
        <v>0</v>
      </c>
      <c r="AU35" s="14">
        <f t="shared" ca="1" si="83"/>
        <v>106838.46835608312</v>
      </c>
      <c r="AV35" s="14">
        <f t="shared" ca="1" si="86"/>
        <v>21901.886012997038</v>
      </c>
      <c r="AW35" s="14">
        <f t="shared" ca="1" si="87"/>
        <v>1068.3846835608313</v>
      </c>
      <c r="AX35" s="14">
        <f t="shared" ca="1" si="88"/>
        <v>-5341.9234178041561</v>
      </c>
      <c r="AY35" s="14">
        <f t="shared" ca="1" si="89"/>
        <v>124466.81563483684</v>
      </c>
      <c r="BD35" s="13">
        <v>33</v>
      </c>
      <c r="BE35" s="19">
        <v>16.5</v>
      </c>
      <c r="BF35" s="20">
        <v>0.35</v>
      </c>
    </row>
    <row r="36" spans="26:58" ht="39.950000000000003" hidden="1" customHeight="1" x14ac:dyDescent="0.25">
      <c r="Z36" s="30">
        <f>(1%)</f>
        <v>0.01</v>
      </c>
      <c r="AA36" s="13" t="s">
        <v>0</v>
      </c>
      <c r="AB36" s="14">
        <f>($AB$40*$Z$36)</f>
        <v>330.3</v>
      </c>
      <c r="AC36" s="14">
        <f>($AA$61*$Z$56)</f>
        <v>787.75599999999997</v>
      </c>
      <c r="AD36" s="14">
        <f>3628/30*AU8</f>
        <v>3628</v>
      </c>
      <c r="AE36" s="15">
        <v>10</v>
      </c>
      <c r="AF36" s="14">
        <f t="shared" si="73"/>
        <v>27846.6489</v>
      </c>
      <c r="AG36" s="14">
        <f>(0)</f>
        <v>0</v>
      </c>
      <c r="AH36" s="14">
        <f t="shared" ca="1" si="74"/>
        <v>0</v>
      </c>
      <c r="AI36" s="15">
        <v>30</v>
      </c>
      <c r="AJ36" s="14">
        <f t="shared" si="90"/>
        <v>7135.55</v>
      </c>
      <c r="AK36" s="14">
        <f t="shared" ca="1" si="76"/>
        <v>4373.4499504999994</v>
      </c>
      <c r="AL36" s="29">
        <f t="shared" ca="1" si="77"/>
        <v>0</v>
      </c>
      <c r="AM36" s="29">
        <f t="shared" si="78"/>
        <v>0</v>
      </c>
      <c r="AN36" s="29">
        <f t="shared" si="79"/>
        <v>0</v>
      </c>
      <c r="AO36" s="28" t="s">
        <v>9</v>
      </c>
      <c r="AP36" s="14">
        <f t="shared" si="80"/>
        <v>-2506.1984010000001</v>
      </c>
      <c r="AQ36" s="14">
        <f t="shared" si="84"/>
        <v>2506.1984010000001</v>
      </c>
      <c r="AR36" s="29">
        <f t="shared" ca="1" si="81"/>
        <v>0</v>
      </c>
      <c r="AS36" s="29">
        <f t="shared" si="82"/>
        <v>0</v>
      </c>
      <c r="AT36" s="29">
        <f t="shared" ca="1" si="85"/>
        <v>0</v>
      </c>
      <c r="AU36" s="14">
        <f t="shared" ca="1" si="83"/>
        <v>107179.4645871774</v>
      </c>
      <c r="AV36" s="14">
        <f t="shared" ca="1" si="86"/>
        <v>21971.790240371367</v>
      </c>
      <c r="AW36" s="14">
        <f t="shared" ca="1" si="87"/>
        <v>1071.794645871774</v>
      </c>
      <c r="AX36" s="14">
        <f t="shared" ca="1" si="88"/>
        <v>-5358.9732293588704</v>
      </c>
      <c r="AY36" s="14">
        <f t="shared" ca="1" si="89"/>
        <v>124864.07624406167</v>
      </c>
      <c r="BD36" s="13">
        <v>34</v>
      </c>
      <c r="BE36" s="19">
        <v>17</v>
      </c>
      <c r="BF36" s="20">
        <v>0.36</v>
      </c>
    </row>
    <row r="37" spans="26:58" ht="39.950000000000003" hidden="1" customHeight="1" x14ac:dyDescent="0.25">
      <c r="Z37" s="13" t="s">
        <v>0</v>
      </c>
      <c r="AA37" s="13" t="s">
        <v>0</v>
      </c>
      <c r="AB37" s="14">
        <f>($AB$48)</f>
        <v>3154.6307830000001</v>
      </c>
      <c r="AC37" s="14">
        <f>($AA$62*$Z$57)</f>
        <v>25794.915000000001</v>
      </c>
      <c r="AD37" s="14">
        <f>3628/30*AU9</f>
        <v>3628</v>
      </c>
      <c r="AE37" s="15">
        <v>10</v>
      </c>
      <c r="AF37" s="14">
        <f t="shared" si="73"/>
        <v>32043.1</v>
      </c>
      <c r="AG37" s="14">
        <f t="shared" si="91"/>
        <v>87736.397800000006</v>
      </c>
      <c r="AH37" s="14">
        <f t="shared" ca="1" si="74"/>
        <v>53774.515575598001</v>
      </c>
      <c r="AI37" s="15">
        <v>30</v>
      </c>
      <c r="AJ37" s="14">
        <f>(8068.17/30*AI37)</f>
        <v>8068.170000000001</v>
      </c>
      <c r="AK37" s="14">
        <f t="shared" ca="1" si="76"/>
        <v>4945.0620747000003</v>
      </c>
      <c r="AL37" s="29">
        <f t="shared" ca="1" si="77"/>
        <v>0</v>
      </c>
      <c r="AM37" s="29">
        <f t="shared" si="78"/>
        <v>0</v>
      </c>
      <c r="AN37" s="29">
        <f t="shared" si="79"/>
        <v>0</v>
      </c>
      <c r="AO37" s="28" t="s">
        <v>9</v>
      </c>
      <c r="AP37" s="14">
        <f t="shared" si="80"/>
        <v>-2883.8789999999999</v>
      </c>
      <c r="AQ37" s="14">
        <f t="shared" si="84"/>
        <v>2883.8789999999999</v>
      </c>
      <c r="AR37" s="29">
        <f t="shared" ca="1" si="81"/>
        <v>0</v>
      </c>
      <c r="AS37" s="29">
        <f t="shared" si="82"/>
        <v>0</v>
      </c>
      <c r="AT37" s="29">
        <f t="shared" ca="1" si="85"/>
        <v>0</v>
      </c>
      <c r="AU37" s="14">
        <f t="shared" ca="1" si="83"/>
        <v>205653.17079717742</v>
      </c>
      <c r="AV37" s="14">
        <f t="shared" ca="1" si="86"/>
        <v>42158.900013421371</v>
      </c>
      <c r="AW37" s="14">
        <f t="shared" ca="1" si="87"/>
        <v>2056.5317079717743</v>
      </c>
      <c r="AX37" s="14">
        <f t="shared" ca="1" si="88"/>
        <v>-10282.658539858872</v>
      </c>
      <c r="AY37" s="14">
        <f t="shared" ca="1" si="89"/>
        <v>239585.94397871167</v>
      </c>
      <c r="BD37" s="13">
        <v>35</v>
      </c>
      <c r="BE37" s="19">
        <v>17.5</v>
      </c>
      <c r="BF37" s="20">
        <v>0.37</v>
      </c>
    </row>
    <row r="38" spans="26:58" ht="39.950000000000003" hidden="1" customHeight="1" x14ac:dyDescent="0.25">
      <c r="Z38" s="13" t="s">
        <v>0</v>
      </c>
      <c r="AA38" s="13" t="s">
        <v>0</v>
      </c>
      <c r="AB38" s="14">
        <f>($AB$49)</f>
        <v>693.93550000000005</v>
      </c>
      <c r="AC38" s="14">
        <f>($AA$61*$Z$58*$AA$58)</f>
        <v>32179.832599999998</v>
      </c>
      <c r="AD38" s="14">
        <f>3628/30*AU10</f>
        <v>3628</v>
      </c>
      <c r="AE38" s="15">
        <v>10</v>
      </c>
      <c r="AF38" s="14">
        <f t="shared" si="73"/>
        <v>32043.1</v>
      </c>
      <c r="AG38" s="14">
        <f>(0)</f>
        <v>0</v>
      </c>
      <c r="AH38" s="14">
        <f t="shared" ca="1" si="74"/>
        <v>0</v>
      </c>
      <c r="AI38" s="15">
        <v>30</v>
      </c>
      <c r="AJ38" s="14">
        <f t="shared" ref="AJ38:AJ40" si="92">(8068.17/30*AI38)</f>
        <v>8068.170000000001</v>
      </c>
      <c r="AK38" s="14">
        <f t="shared" ca="1" si="76"/>
        <v>4945.0620747000003</v>
      </c>
      <c r="AL38" s="29">
        <f t="shared" ca="1" si="77"/>
        <v>0</v>
      </c>
      <c r="AM38" s="29">
        <f t="shared" si="78"/>
        <v>0</v>
      </c>
      <c r="AN38" s="29">
        <f t="shared" si="79"/>
        <v>0</v>
      </c>
      <c r="AO38" s="28" t="s">
        <v>9</v>
      </c>
      <c r="AP38" s="14">
        <f t="shared" si="80"/>
        <v>-2883.8789999999999</v>
      </c>
      <c r="AQ38" s="14">
        <f t="shared" si="84"/>
        <v>2883.8789999999999</v>
      </c>
      <c r="AR38" s="29">
        <f t="shared" ca="1" si="81"/>
        <v>0</v>
      </c>
      <c r="AS38" s="29">
        <f t="shared" si="82"/>
        <v>0</v>
      </c>
      <c r="AT38" s="29">
        <f t="shared" ca="1" si="85"/>
        <v>0</v>
      </c>
      <c r="AU38" s="14">
        <f t="shared" ca="1" si="83"/>
        <v>121121.08299717739</v>
      </c>
      <c r="AV38" s="14">
        <f t="shared" ca="1" si="86"/>
        <v>24829.822014421363</v>
      </c>
      <c r="AW38" s="14">
        <f t="shared" ca="1" si="87"/>
        <v>1211.210829971774</v>
      </c>
      <c r="AX38" s="14">
        <f t="shared" ca="1" si="88"/>
        <v>-6056.05414985887</v>
      </c>
      <c r="AY38" s="14">
        <f t="shared" ca="1" si="89"/>
        <v>141106.06169171166</v>
      </c>
      <c r="BD38" s="13">
        <v>36</v>
      </c>
      <c r="BE38" s="19">
        <v>18</v>
      </c>
      <c r="BF38" s="20">
        <v>0.38</v>
      </c>
    </row>
    <row r="39" spans="26:58" ht="39.950000000000003" hidden="1" customHeight="1" x14ac:dyDescent="0.25">
      <c r="Z39" s="13" t="s">
        <v>0</v>
      </c>
      <c r="AA39" s="13" t="s">
        <v>0</v>
      </c>
      <c r="AB39" s="14">
        <f>($AB$50)</f>
        <v>346.96775000000002</v>
      </c>
      <c r="AC39" s="14">
        <f>($AC$34+$AC$35+$AC$36+$AC$37+$AC$38)</f>
        <v>73729.867599999998</v>
      </c>
      <c r="AD39" s="14">
        <f>3628/30*AU11</f>
        <v>3628</v>
      </c>
      <c r="AE39" s="15">
        <v>10</v>
      </c>
      <c r="AF39" s="14">
        <f t="shared" si="73"/>
        <v>32043.1</v>
      </c>
      <c r="AG39" s="14">
        <f>(0)</f>
        <v>0</v>
      </c>
      <c r="AH39" s="14">
        <f t="shared" ca="1" si="74"/>
        <v>0</v>
      </c>
      <c r="AI39" s="15">
        <v>30</v>
      </c>
      <c r="AJ39" s="14">
        <f t="shared" si="92"/>
        <v>8068.170000000001</v>
      </c>
      <c r="AK39" s="14">
        <f t="shared" ca="1" si="76"/>
        <v>4945.0620747000003</v>
      </c>
      <c r="AL39" s="29">
        <f t="shared" ca="1" si="77"/>
        <v>0</v>
      </c>
      <c r="AM39" s="29">
        <f t="shared" si="78"/>
        <v>0</v>
      </c>
      <c r="AN39" s="29">
        <f t="shared" si="79"/>
        <v>0</v>
      </c>
      <c r="AO39" s="28" t="s">
        <v>9</v>
      </c>
      <c r="AP39" s="14">
        <f t="shared" si="80"/>
        <v>-2883.8789999999999</v>
      </c>
      <c r="AQ39" s="14">
        <f t="shared" si="84"/>
        <v>2883.8789999999999</v>
      </c>
      <c r="AR39" s="29">
        <f t="shared" ca="1" si="81"/>
        <v>0</v>
      </c>
      <c r="AS39" s="29">
        <f t="shared" si="82"/>
        <v>0</v>
      </c>
      <c r="AT39" s="29">
        <f t="shared" ca="1" si="85"/>
        <v>0</v>
      </c>
      <c r="AU39" s="14">
        <f t="shared" ca="1" si="83"/>
        <v>117916.7729971774</v>
      </c>
      <c r="AV39" s="14">
        <f t="shared" ca="1" si="86"/>
        <v>24172.938464421364</v>
      </c>
      <c r="AW39" s="14">
        <f t="shared" ca="1" si="87"/>
        <v>1179.167729971774</v>
      </c>
      <c r="AX39" s="14">
        <f t="shared" ca="1" si="88"/>
        <v>-5895.8386498588698</v>
      </c>
      <c r="AY39" s="14">
        <f t="shared" ca="1" si="89"/>
        <v>137373.04054171167</v>
      </c>
      <c r="BD39" s="13">
        <v>37</v>
      </c>
      <c r="BE39" s="19">
        <v>18.5</v>
      </c>
      <c r="BF39" s="20">
        <v>0.39</v>
      </c>
    </row>
    <row r="40" spans="26:58" ht="39.950000000000003" hidden="1" customHeight="1" x14ac:dyDescent="0.25">
      <c r="Z40" s="14" t="s">
        <v>0</v>
      </c>
      <c r="AA40" s="13" t="s">
        <v>0</v>
      </c>
      <c r="AB40" s="14">
        <v>33030</v>
      </c>
      <c r="AD40" s="14">
        <f>3628/30*AU12</f>
        <v>3628</v>
      </c>
      <c r="AE40" s="15">
        <v>10</v>
      </c>
      <c r="AF40" s="14">
        <f t="shared" si="73"/>
        <v>32043.1</v>
      </c>
      <c r="AG40" s="14">
        <f t="shared" si="91"/>
        <v>96129.299999999988</v>
      </c>
      <c r="AH40" s="14">
        <f t="shared" ca="1" si="74"/>
        <v>58918.609262999991</v>
      </c>
      <c r="AI40" s="15">
        <v>30</v>
      </c>
      <c r="AJ40" s="14">
        <f t="shared" si="92"/>
        <v>8068.170000000001</v>
      </c>
      <c r="AK40" s="14">
        <f t="shared" ca="1" si="76"/>
        <v>4945.0620747000003</v>
      </c>
      <c r="AL40" s="29">
        <f t="shared" ca="1" si="77"/>
        <v>0</v>
      </c>
      <c r="AM40" s="29">
        <f t="shared" si="78"/>
        <v>0</v>
      </c>
      <c r="AN40" s="29">
        <f t="shared" si="79"/>
        <v>0</v>
      </c>
      <c r="AO40" s="28" t="s">
        <v>9</v>
      </c>
      <c r="AP40" s="14">
        <f t="shared" si="80"/>
        <v>-2883.8789999999999</v>
      </c>
      <c r="AQ40" s="14">
        <f t="shared" si="84"/>
        <v>2883.8789999999999</v>
      </c>
      <c r="AR40" s="29">
        <f t="shared" ca="1" si="81"/>
        <v>0</v>
      </c>
      <c r="AS40" s="29">
        <f t="shared" si="82"/>
        <v>0</v>
      </c>
      <c r="AT40" s="29">
        <f t="shared" ca="1" si="85"/>
        <v>0</v>
      </c>
      <c r="AU40" s="14">
        <f t="shared" ca="1" si="83"/>
        <v>217250.3829971774</v>
      </c>
      <c r="AV40" s="14">
        <f t="shared" ca="1" si="86"/>
        <v>44536.328514421366</v>
      </c>
      <c r="AW40" s="14">
        <f t="shared" ca="1" si="87"/>
        <v>2172.5038299717739</v>
      </c>
      <c r="AX40" s="14">
        <f t="shared" ca="1" si="88"/>
        <v>-10862.51914985887</v>
      </c>
      <c r="AY40" s="14">
        <f t="shared" ca="1" si="89"/>
        <v>253096.69619171167</v>
      </c>
      <c r="BD40" s="13">
        <v>38</v>
      </c>
      <c r="BE40" s="19">
        <v>19</v>
      </c>
      <c r="BF40" s="20">
        <v>0.4</v>
      </c>
    </row>
    <row r="41" spans="26:58" ht="39.950000000000003" hidden="1" customHeight="1" x14ac:dyDescent="0.25">
      <c r="Z41" s="14" t="s">
        <v>0</v>
      </c>
      <c r="AA41" s="13" t="s">
        <v>0</v>
      </c>
      <c r="AB41" s="14">
        <v>0</v>
      </c>
      <c r="AC41" s="28" t="s">
        <v>0</v>
      </c>
      <c r="AD41" s="14">
        <f t="shared" ref="AD41" si="93">(AD29+AD30+AD31+AD32+AD33+AD34+AD35+AD36+AD37+AD38+AD39+AD40)</f>
        <v>40522</v>
      </c>
      <c r="AE41" s="15">
        <f>(AE29+AE30+AE31+AE32+AE33+AE34+AE35+AE36+AE37+AE38+AE39+AE40)</f>
        <v>120</v>
      </c>
      <c r="AF41" s="14">
        <f t="shared" ref="AF41:AG41" si="94">(AF29+AF30+AF31+AF32+AF33+AF34+AF35+AF36+AF37+AF38+AF39+AF40)</f>
        <v>342334.29339999997</v>
      </c>
      <c r="AG41" s="14">
        <f t="shared" si="94"/>
        <v>342334.29339999997</v>
      </c>
      <c r="AH41" s="14">
        <f ca="1">(AH29+AH30+AH31+AH32+AH33+AH34+AH35+AH36+AH37+AH38+AH39+AH40)</f>
        <v>215574.406000449</v>
      </c>
      <c r="AI41" s="15">
        <f>(AI29+AI30+AI31+AI32+AI33+AI34+AI35+AI36+AI37+AI38+AI39+AI40)</f>
        <v>360</v>
      </c>
      <c r="AJ41" s="14">
        <f t="shared" ref="AJ41:AK41" si="95">(AJ29+AJ30+AJ31+AJ32+AJ33+AJ34+AJ35+AJ36+AJ37+AJ38+AJ39+AJ40)</f>
        <v>87357.98000000001</v>
      </c>
      <c r="AK41" s="14">
        <f t="shared" ca="1" si="95"/>
        <v>56004.361533475239</v>
      </c>
      <c r="AL41" s="14">
        <f t="shared" ref="AL41" ca="1" si="96">(AL29+AL30+AL31+AL32+AL33+AL34+AL35+AL36+AL37+AL38+AL39+AL40)</f>
        <v>0</v>
      </c>
      <c r="AM41" s="14">
        <f t="shared" ref="AM41" si="97">(AM29+AM30+AM31+AM32+AM33+AM34+AM35+AM36+AM37+AM38+AM39+AM40)</f>
        <v>0</v>
      </c>
      <c r="AN41" s="14">
        <f t="shared" ref="AN41" si="98">(AN29+AN30+AN31+AN32+AN33+AN34+AN35+AN36+AN37+AN38+AN39+AN40)</f>
        <v>0</v>
      </c>
      <c r="AO41" s="23" t="s">
        <v>0</v>
      </c>
      <c r="AP41" s="14">
        <f t="shared" ref="AP41:AQ41" si="99">(AP29+AP30+AP31+AP32+AP33+AP34+AP35+AP36+AP37+AP38+AP39+AP40)</f>
        <v>-30810.086406000006</v>
      </c>
      <c r="AQ41" s="14">
        <f t="shared" si="99"/>
        <v>30810.086406000006</v>
      </c>
      <c r="AR41" s="14">
        <f t="shared" ref="AR41:AT41" ca="1" si="100">(AR29+AR30+AR31+AR32+AR33+AR34+AR35+AR36+AR37+AR38+AR39+AR40)</f>
        <v>0</v>
      </c>
      <c r="AS41" s="14">
        <f t="shared" si="100"/>
        <v>0</v>
      </c>
      <c r="AT41" s="14">
        <f t="shared" ca="1" si="100"/>
        <v>0</v>
      </c>
      <c r="AU41" s="14">
        <f t="shared" ref="AU41" ca="1" si="101">(AU29+AU30+AU31+AU32+AU33+AU34+AU35+AU36+AU37+AU38+AU39+AU40)</f>
        <v>1626506.6216598339</v>
      </c>
      <c r="AV41" s="14">
        <f t="shared" ref="AV41" ca="1" si="102">(AV29+AV30+AV31+AV32+AV33+AV34+AV35+AV36+AV37+AV38+AV39+AV40)</f>
        <v>333433.85744026594</v>
      </c>
      <c r="AW41" s="14">
        <f t="shared" ref="AW41" ca="1" si="103">(AW29+AW30+AW31+AW32+AW33+AW34+AW35+AW36+AW37+AW38+AW39+AW40)</f>
        <v>16265.066216598339</v>
      </c>
      <c r="AX41" s="14">
        <f t="shared" ref="AX41" ca="1" si="104">(AX29+AX30+AX31+AX32+AX33+AX34+AX35+AX36+AX37+AX38+AX39+AX40)</f>
        <v>-81325.331082991703</v>
      </c>
      <c r="AY41" s="14">
        <f t="shared" ref="AY41" ca="1" si="105">(AY29+AY30+AY31+AY32+AY33+AY34+AY35+AY36+AY37+AY38+AY39+AY40)</f>
        <v>1894880.2142337065</v>
      </c>
      <c r="BD41" s="13">
        <v>39</v>
      </c>
      <c r="BE41" s="19">
        <v>19.5</v>
      </c>
      <c r="BF41" s="20">
        <v>0.41</v>
      </c>
    </row>
    <row r="42" spans="26:58" ht="39.950000000000003" hidden="1" customHeight="1" x14ac:dyDescent="0.25">
      <c r="Z42" s="14" t="s">
        <v>0</v>
      </c>
      <c r="AA42" s="13" t="s">
        <v>0</v>
      </c>
      <c r="AB42" s="14">
        <v>158</v>
      </c>
      <c r="AC42" s="28" t="s">
        <v>0</v>
      </c>
      <c r="AD42" s="14">
        <f t="shared" ref="AD42" si="106">(AD41/12)</f>
        <v>3376.8333333333335</v>
      </c>
      <c r="AE42" s="23" t="s">
        <v>0</v>
      </c>
      <c r="AF42" s="14">
        <f t="shared" ref="AF42:AG42" si="107">(AF41/12)</f>
        <v>28527.857783333329</v>
      </c>
      <c r="AG42" s="14">
        <f t="shared" si="107"/>
        <v>28527.857783333329</v>
      </c>
      <c r="AH42" s="14">
        <f ca="1">(AH41/12)</f>
        <v>17964.533833370751</v>
      </c>
      <c r="AI42" s="23" t="s">
        <v>0</v>
      </c>
      <c r="AJ42" s="14">
        <f t="shared" ref="AJ42:AK42" si="108">(AJ41/12)</f>
        <v>7279.8316666666678</v>
      </c>
      <c r="AK42" s="14">
        <f t="shared" ca="1" si="108"/>
        <v>4667.0301277896033</v>
      </c>
      <c r="AL42" s="14">
        <f t="shared" ref="AL42" ca="1" si="109">AL41/12</f>
        <v>0</v>
      </c>
      <c r="AM42" s="14">
        <f t="shared" ref="AM42" si="110">AM41/12</f>
        <v>0</v>
      </c>
      <c r="AN42" s="14">
        <f t="shared" ref="AN42" si="111">AN41/12</f>
        <v>0</v>
      </c>
      <c r="AO42" s="23" t="s">
        <v>0</v>
      </c>
      <c r="AP42" s="14">
        <f t="shared" ref="AP42:AQ42" si="112">(AP41/12)</f>
        <v>-2567.5072005000006</v>
      </c>
      <c r="AQ42" s="14">
        <f t="shared" si="112"/>
        <v>2567.5072005000006</v>
      </c>
      <c r="AR42" s="14">
        <f t="shared" ref="AR42:AT42" ca="1" si="113">(AR41/12)</f>
        <v>0</v>
      </c>
      <c r="AS42" s="14">
        <f t="shared" si="113"/>
        <v>0</v>
      </c>
      <c r="AT42" s="14">
        <f t="shared" ca="1" si="113"/>
        <v>0</v>
      </c>
      <c r="AU42" s="14">
        <f t="shared" ref="AU42" ca="1" si="114">(AU41/12)</f>
        <v>135542.21847165283</v>
      </c>
      <c r="AV42" s="14">
        <f t="shared" ref="AV42" ca="1" si="115">(AV41/12)</f>
        <v>27786.154786688829</v>
      </c>
      <c r="AW42" s="14">
        <f t="shared" ref="AW42" ca="1" si="116">(AW41/12)</f>
        <v>1355.4221847165284</v>
      </c>
      <c r="AX42" s="14">
        <f t="shared" ref="AX42" ca="1" si="117">(AX41/12)</f>
        <v>-6777.1109235826416</v>
      </c>
      <c r="AY42" s="14">
        <f t="shared" ref="AY42" ca="1" si="118">(AY41/12)</f>
        <v>157906.68451947553</v>
      </c>
      <c r="BD42" s="13">
        <v>40</v>
      </c>
      <c r="BE42" s="19">
        <v>20</v>
      </c>
      <c r="BF42" s="20">
        <v>0.42</v>
      </c>
    </row>
    <row r="43" spans="26:58" ht="39.950000000000003" hidden="1" customHeight="1" x14ac:dyDescent="0.25">
      <c r="Z43" s="14" t="s">
        <v>0</v>
      </c>
      <c r="AA43" s="13" t="s">
        <v>0</v>
      </c>
      <c r="AB43" s="14">
        <v>1000</v>
      </c>
      <c r="AC43" s="28" t="s">
        <v>0</v>
      </c>
      <c r="AV43" s="14">
        <f>(0)</f>
        <v>0</v>
      </c>
      <c r="AW43" s="31">
        <f>(0%)</f>
        <v>0</v>
      </c>
      <c r="BD43" s="13">
        <v>41</v>
      </c>
      <c r="BE43" s="19">
        <v>20.5</v>
      </c>
      <c r="BF43" s="20">
        <v>0.43</v>
      </c>
    </row>
    <row r="44" spans="26:58" ht="39.950000000000003" hidden="1" customHeight="1" x14ac:dyDescent="0.25">
      <c r="Z44" s="14" t="s">
        <v>0</v>
      </c>
      <c r="AA44" s="13" t="s">
        <v>0</v>
      </c>
      <c r="AB44" s="14">
        <v>1000</v>
      </c>
      <c r="AD44" s="29">
        <f t="shared" ref="AD44:AD55" si="119">COUNTIF(N15,"Yok")*(0)
+COUNTIF(N15,"1. Derece")*($Z$68)
+COUNTIF(N15,"2. Derece")*($Z$69)
+COUNTIF(N15,"3. Derece")*($Z$70)</f>
        <v>0</v>
      </c>
      <c r="AE44" s="14">
        <f t="shared" ref="AE44:AE49" si="120">($AB$40)</f>
        <v>33030</v>
      </c>
      <c r="AF44" s="14">
        <f>(AE44)</f>
        <v>33030</v>
      </c>
      <c r="AG44" s="14">
        <f>(AE44-AF44)</f>
        <v>0</v>
      </c>
      <c r="AH44" s="14">
        <f t="shared" ref="AH44:AH55" si="121">(AG44*0.00759*-1)</f>
        <v>0</v>
      </c>
      <c r="AI44" s="14">
        <f>(AE44*0.00759)</f>
        <v>250.69770000000003</v>
      </c>
      <c r="AJ44" s="14">
        <f t="shared" ref="AJ44:AJ55" si="122">(AE44)</f>
        <v>33030</v>
      </c>
      <c r="AK44" s="14">
        <f>(0)</f>
        <v>0</v>
      </c>
      <c r="AL44" s="14">
        <f>(AJ44-AK44)</f>
        <v>33030</v>
      </c>
      <c r="AM44" s="14">
        <f>(AL44*0.14*-1)</f>
        <v>-4624.2000000000007</v>
      </c>
      <c r="AN44" s="14">
        <f>(AL44*0.01*-1)</f>
        <v>-330.3</v>
      </c>
      <c r="AO44" s="32">
        <v>0.15</v>
      </c>
      <c r="AP44" s="14">
        <v>0</v>
      </c>
      <c r="AQ44" s="14">
        <v>190000</v>
      </c>
      <c r="AR44" s="14">
        <v>0</v>
      </c>
      <c r="AS44" s="14">
        <f t="shared" ref="AS44:AS55" si="123">(AE44+AM44+AN44)</f>
        <v>28075.5</v>
      </c>
      <c r="AT44" s="14">
        <f>(0)</f>
        <v>0</v>
      </c>
      <c r="AU44" s="14">
        <f>(AS44-AT44)</f>
        <v>28075.5</v>
      </c>
      <c r="AV44" s="14">
        <f>SUM(AU$44:$AU44)</f>
        <v>28075.5</v>
      </c>
      <c r="AW44" s="31">
        <f t="shared" ref="AW44:AW55" si="124">IF(AV44&lt;=$AQ$44,$AO$44,
IF(AV44&gt;$AQ$46,
IF(AV44&gt;$AQ$47,$AO$48,$AO$47),
IF(AV44&lt;$AQ$45,$AO$45,$AO$46)))</f>
        <v>0.15</v>
      </c>
      <c r="AX44" s="28">
        <f>IF(AW44-AW43=0,0,1)</f>
        <v>1</v>
      </c>
      <c r="AY44" s="33">
        <f t="shared" ref="AY44:AY55" si="125">IF(AX44=0,AW44,(VLOOKUP($AW44,$AO$44:$AR$48,2,0)-AV43)/AU44*AW43+(AV44-VLOOKUP($AW44,$AO$44:$AR$48,2,0))/AU44*AW44)</f>
        <v>0.15</v>
      </c>
      <c r="AZ44" s="14">
        <f>(ROUND(AU44*AY44,2)+VLOOKUP(AW44,$AO$44:$AR$48,4,0))</f>
        <v>4211.33</v>
      </c>
      <c r="BA44" s="33">
        <f>(100+(100*0.00759*-1)+(100*0.01*-1)+(100*0.01*-1)+(100+100*0.14*-1+100*0.01*-1)*AY44*-1)/100</f>
        <v>0.84491000000000005</v>
      </c>
      <c r="BB44" s="14">
        <f t="shared" ref="BB44:BB55" si="126">AE44</f>
        <v>33030</v>
      </c>
      <c r="BC44" s="14">
        <f t="shared" ref="BC44:BC55" si="127">AE44+AH44+AM44+AN44</f>
        <v>28075.5</v>
      </c>
      <c r="BD44" s="13">
        <v>42</v>
      </c>
      <c r="BE44" s="19">
        <v>21</v>
      </c>
      <c r="BF44" s="20">
        <v>0.44</v>
      </c>
    </row>
    <row r="45" spans="26:58" ht="39.950000000000003" hidden="1" customHeight="1" x14ac:dyDescent="0.25">
      <c r="Z45" s="30">
        <f>(23.65%)</f>
        <v>0.23649999999999999</v>
      </c>
      <c r="AA45" s="13" t="s">
        <v>0</v>
      </c>
      <c r="AB45" s="14">
        <v>300</v>
      </c>
      <c r="AC45" s="14">
        <f>($AA$61*$Z$65)</f>
        <v>29934.727999999999</v>
      </c>
      <c r="AD45" s="29">
        <f t="shared" si="119"/>
        <v>0</v>
      </c>
      <c r="AE45" s="14">
        <f t="shared" si="120"/>
        <v>33030</v>
      </c>
      <c r="AF45" s="14">
        <f t="shared" ref="AF45:AF55" si="128">(AE45)</f>
        <v>33030</v>
      </c>
      <c r="AG45" s="14">
        <f t="shared" ref="AG45:AG55" si="129">(AE45-AF45)</f>
        <v>0</v>
      </c>
      <c r="AH45" s="14">
        <f t="shared" si="121"/>
        <v>0</v>
      </c>
      <c r="AI45" s="14">
        <f t="shared" ref="AI45:AI55" si="130">(AE45*0.00759)</f>
        <v>250.69770000000003</v>
      </c>
      <c r="AJ45" s="14">
        <f t="shared" si="122"/>
        <v>33030</v>
      </c>
      <c r="AK45" s="14">
        <f>(0)</f>
        <v>0</v>
      </c>
      <c r="AL45" s="14">
        <f t="shared" ref="AL45:AL55" si="131">(AJ45-AK45)</f>
        <v>33030</v>
      </c>
      <c r="AM45" s="14">
        <f t="shared" ref="AM45:AM55" si="132">(AL45*0.14*-1)</f>
        <v>-4624.2000000000007</v>
      </c>
      <c r="AN45" s="14">
        <f t="shared" ref="AN45:AN55" si="133">(AL45*0.01*-1)</f>
        <v>-330.3</v>
      </c>
      <c r="AO45" s="32">
        <v>0.2</v>
      </c>
      <c r="AP45" s="14">
        <f>$AQ$44</f>
        <v>190000</v>
      </c>
      <c r="AQ45" s="14">
        <v>400000</v>
      </c>
      <c r="AR45" s="14">
        <f>(AQ44-AP44)*AO44+AR44</f>
        <v>28500</v>
      </c>
      <c r="AS45" s="14">
        <f t="shared" si="123"/>
        <v>28075.5</v>
      </c>
      <c r="AT45" s="14">
        <f>(0)</f>
        <v>0</v>
      </c>
      <c r="AU45" s="14">
        <f t="shared" ref="AU45:AU55" si="134">(AS45-AT45)</f>
        <v>28075.5</v>
      </c>
      <c r="AV45" s="14">
        <f>SUM(AU$44:$AU45)</f>
        <v>56151</v>
      </c>
      <c r="AW45" s="31">
        <f t="shared" si="124"/>
        <v>0.15</v>
      </c>
      <c r="AX45" s="28">
        <f t="shared" ref="AX45:AX55" si="135">IF(AW45-AW44=0,0,1)</f>
        <v>0</v>
      </c>
      <c r="AY45" s="33">
        <f t="shared" si="125"/>
        <v>0.15</v>
      </c>
      <c r="AZ45" s="14">
        <f>(ROUND(AU45*AY45,2))</f>
        <v>4211.33</v>
      </c>
      <c r="BA45" s="33">
        <f t="shared" ref="BA45:BA55" si="136">(100+(100*0.00759*-1)+(100*0.01*-1)+(100*0.01*-1)+(100+100*0.14*-1+100*0.01*-1)*AY45*-1)/100</f>
        <v>0.84491000000000005</v>
      </c>
      <c r="BB45" s="14">
        <f t="shared" si="126"/>
        <v>33030</v>
      </c>
      <c r="BC45" s="14">
        <f t="shared" si="127"/>
        <v>28075.5</v>
      </c>
      <c r="BD45" s="13">
        <v>43</v>
      </c>
      <c r="BE45" s="19">
        <v>21.5</v>
      </c>
      <c r="BF45" s="20">
        <v>0.45</v>
      </c>
    </row>
    <row r="46" spans="26:58" ht="39.950000000000003" hidden="1" customHeight="1" x14ac:dyDescent="0.25">
      <c r="Z46" s="14" t="s">
        <v>0</v>
      </c>
      <c r="AA46" s="13" t="s">
        <v>0</v>
      </c>
      <c r="AB46" s="14">
        <v>300</v>
      </c>
      <c r="AC46" s="14">
        <f>($AA$61*$Z$66)</f>
        <v>14967.364</v>
      </c>
      <c r="AD46" s="29">
        <f t="shared" si="119"/>
        <v>0</v>
      </c>
      <c r="AE46" s="14">
        <f t="shared" si="120"/>
        <v>33030</v>
      </c>
      <c r="AF46" s="14">
        <f t="shared" si="128"/>
        <v>33030</v>
      </c>
      <c r="AG46" s="14">
        <f t="shared" si="129"/>
        <v>0</v>
      </c>
      <c r="AH46" s="14">
        <f t="shared" si="121"/>
        <v>0</v>
      </c>
      <c r="AI46" s="14">
        <f t="shared" si="130"/>
        <v>250.69770000000003</v>
      </c>
      <c r="AJ46" s="14">
        <f t="shared" si="122"/>
        <v>33030</v>
      </c>
      <c r="AK46" s="14">
        <f>(0)</f>
        <v>0</v>
      </c>
      <c r="AL46" s="14">
        <f t="shared" si="131"/>
        <v>33030</v>
      </c>
      <c r="AM46" s="14">
        <f t="shared" si="132"/>
        <v>-4624.2000000000007</v>
      </c>
      <c r="AN46" s="14">
        <f t="shared" si="133"/>
        <v>-330.3</v>
      </c>
      <c r="AO46" s="32">
        <v>0.27</v>
      </c>
      <c r="AP46" s="14">
        <f>$AQ$45</f>
        <v>400000</v>
      </c>
      <c r="AQ46" s="14">
        <v>1500000</v>
      </c>
      <c r="AR46" s="14">
        <f>(AQ45-AP45)*AO45+AR45</f>
        <v>70500</v>
      </c>
      <c r="AS46" s="14">
        <f t="shared" si="123"/>
        <v>28075.5</v>
      </c>
      <c r="AT46" s="14">
        <f>(0)</f>
        <v>0</v>
      </c>
      <c r="AU46" s="14">
        <f t="shared" si="134"/>
        <v>28075.5</v>
      </c>
      <c r="AV46" s="14">
        <f>SUM(AU$44:$AU46)</f>
        <v>84226.5</v>
      </c>
      <c r="AW46" s="31">
        <f t="shared" si="124"/>
        <v>0.15</v>
      </c>
      <c r="AX46" s="28">
        <f t="shared" si="135"/>
        <v>0</v>
      </c>
      <c r="AY46" s="33">
        <f t="shared" si="125"/>
        <v>0.15</v>
      </c>
      <c r="AZ46" s="14">
        <f t="shared" ref="AZ46:AZ55" si="137">(ROUND(AU46*AY46,2))</f>
        <v>4211.33</v>
      </c>
      <c r="BA46" s="33">
        <f t="shared" si="136"/>
        <v>0.84491000000000005</v>
      </c>
      <c r="BB46" s="14">
        <f t="shared" si="126"/>
        <v>33030</v>
      </c>
      <c r="BC46" s="14">
        <f t="shared" si="127"/>
        <v>28075.5</v>
      </c>
      <c r="BD46" s="13">
        <v>44</v>
      </c>
      <c r="BE46" s="19">
        <v>22</v>
      </c>
      <c r="BF46" s="20">
        <v>0.46</v>
      </c>
    </row>
    <row r="47" spans="26:58" ht="39.950000000000003" hidden="1" customHeight="1" x14ac:dyDescent="0.25">
      <c r="AD47" s="29">
        <f t="shared" si="119"/>
        <v>0</v>
      </c>
      <c r="AE47" s="14">
        <f t="shared" si="120"/>
        <v>33030</v>
      </c>
      <c r="AF47" s="14">
        <f t="shared" si="128"/>
        <v>33030</v>
      </c>
      <c r="AG47" s="14">
        <f t="shared" si="129"/>
        <v>0</v>
      </c>
      <c r="AH47" s="14">
        <f t="shared" si="121"/>
        <v>0</v>
      </c>
      <c r="AI47" s="14">
        <f t="shared" si="130"/>
        <v>250.69770000000003</v>
      </c>
      <c r="AJ47" s="14">
        <f t="shared" si="122"/>
        <v>33030</v>
      </c>
      <c r="AK47" s="14">
        <f>(0)</f>
        <v>0</v>
      </c>
      <c r="AL47" s="14">
        <f t="shared" si="131"/>
        <v>33030</v>
      </c>
      <c r="AM47" s="14">
        <f t="shared" si="132"/>
        <v>-4624.2000000000007</v>
      </c>
      <c r="AN47" s="14">
        <f t="shared" si="133"/>
        <v>-330.3</v>
      </c>
      <c r="AO47" s="32">
        <v>0.35</v>
      </c>
      <c r="AP47" s="14">
        <f>$AQ$46</f>
        <v>1500000</v>
      </c>
      <c r="AQ47" s="14">
        <v>5300000</v>
      </c>
      <c r="AR47" s="14">
        <f>(AQ46-AP46)*AO46+AR46</f>
        <v>367500</v>
      </c>
      <c r="AS47" s="14">
        <f t="shared" si="123"/>
        <v>28075.5</v>
      </c>
      <c r="AT47" s="14">
        <f>(0)</f>
        <v>0</v>
      </c>
      <c r="AU47" s="14">
        <f t="shared" si="134"/>
        <v>28075.5</v>
      </c>
      <c r="AV47" s="14">
        <f>SUM(AU$44:$AU47)</f>
        <v>112302</v>
      </c>
      <c r="AW47" s="31">
        <f t="shared" si="124"/>
        <v>0.15</v>
      </c>
      <c r="AX47" s="28">
        <f t="shared" si="135"/>
        <v>0</v>
      </c>
      <c r="AY47" s="33">
        <f t="shared" si="125"/>
        <v>0.15</v>
      </c>
      <c r="AZ47" s="14">
        <f t="shared" si="137"/>
        <v>4211.33</v>
      </c>
      <c r="BA47" s="33">
        <f t="shared" si="136"/>
        <v>0.84491000000000005</v>
      </c>
      <c r="BB47" s="14">
        <f t="shared" si="126"/>
        <v>33030</v>
      </c>
      <c r="BC47" s="14">
        <f t="shared" si="127"/>
        <v>28075.5</v>
      </c>
      <c r="BD47" s="13">
        <v>45</v>
      </c>
      <c r="BE47" s="19">
        <v>22.5</v>
      </c>
      <c r="BF47" s="20">
        <v>0.47</v>
      </c>
    </row>
    <row r="48" spans="26:58" ht="39.950000000000003" hidden="1" customHeight="1" x14ac:dyDescent="0.25">
      <c r="Z48" s="34">
        <f>(2273)</f>
        <v>2273</v>
      </c>
      <c r="AA48" s="13" t="s">
        <v>0</v>
      </c>
      <c r="AB48" s="14">
        <f>($Z$61*$Z$48)</f>
        <v>3154.6307830000001</v>
      </c>
      <c r="AC48" s="13" t="s">
        <v>0</v>
      </c>
      <c r="AD48" s="29">
        <f t="shared" si="119"/>
        <v>0</v>
      </c>
      <c r="AE48" s="14">
        <f t="shared" si="120"/>
        <v>33030</v>
      </c>
      <c r="AF48" s="14">
        <f t="shared" si="128"/>
        <v>33030</v>
      </c>
      <c r="AG48" s="14">
        <f t="shared" si="129"/>
        <v>0</v>
      </c>
      <c r="AH48" s="14">
        <f t="shared" si="121"/>
        <v>0</v>
      </c>
      <c r="AI48" s="14">
        <f t="shared" si="130"/>
        <v>250.69770000000003</v>
      </c>
      <c r="AJ48" s="14">
        <f t="shared" si="122"/>
        <v>33030</v>
      </c>
      <c r="AK48" s="14">
        <f>(0)</f>
        <v>0</v>
      </c>
      <c r="AL48" s="14">
        <f t="shared" si="131"/>
        <v>33030</v>
      </c>
      <c r="AM48" s="14">
        <f t="shared" si="132"/>
        <v>-4624.2000000000007</v>
      </c>
      <c r="AN48" s="14">
        <f t="shared" si="133"/>
        <v>-330.3</v>
      </c>
      <c r="AO48" s="32">
        <v>0.4</v>
      </c>
      <c r="AP48" s="35">
        <f>$AQ$47</f>
        <v>5300000</v>
      </c>
      <c r="AQ48" s="14">
        <v>999999999</v>
      </c>
      <c r="AR48" s="14">
        <f>(AQ47-AP47)*AO47+AR47</f>
        <v>1697500</v>
      </c>
      <c r="AS48" s="14">
        <f t="shared" si="123"/>
        <v>28075.5</v>
      </c>
      <c r="AT48" s="14">
        <f>(0)</f>
        <v>0</v>
      </c>
      <c r="AU48" s="14">
        <f t="shared" si="134"/>
        <v>28075.5</v>
      </c>
      <c r="AV48" s="14">
        <f>SUM(AU$44:$AU48)</f>
        <v>140377.5</v>
      </c>
      <c r="AW48" s="31">
        <f t="shared" si="124"/>
        <v>0.15</v>
      </c>
      <c r="AX48" s="28">
        <f t="shared" si="135"/>
        <v>0</v>
      </c>
      <c r="AY48" s="33">
        <f t="shared" si="125"/>
        <v>0.15</v>
      </c>
      <c r="AZ48" s="14">
        <f t="shared" si="137"/>
        <v>4211.33</v>
      </c>
      <c r="BA48" s="33">
        <f t="shared" si="136"/>
        <v>0.84491000000000005</v>
      </c>
      <c r="BB48" s="14">
        <f t="shared" si="126"/>
        <v>33030</v>
      </c>
      <c r="BC48" s="14">
        <f t="shared" si="127"/>
        <v>28075.5</v>
      </c>
      <c r="BD48" s="13">
        <v>46</v>
      </c>
      <c r="BE48" s="19">
        <v>23</v>
      </c>
      <c r="BF48" s="20">
        <v>0.48</v>
      </c>
    </row>
    <row r="49" spans="26:58" ht="39.950000000000003" hidden="1" customHeight="1" x14ac:dyDescent="0.25">
      <c r="Z49" s="34">
        <f>(250)</f>
        <v>250</v>
      </c>
      <c r="AA49" s="13" t="s">
        <v>0</v>
      </c>
      <c r="AB49" s="14">
        <f>($Z$61*$Z$49*2)</f>
        <v>693.93550000000005</v>
      </c>
      <c r="AC49" s="13" t="s">
        <v>0</v>
      </c>
      <c r="AD49" s="29">
        <f t="shared" si="119"/>
        <v>0</v>
      </c>
      <c r="AE49" s="14">
        <f t="shared" si="120"/>
        <v>33030</v>
      </c>
      <c r="AF49" s="14">
        <f t="shared" si="128"/>
        <v>33030</v>
      </c>
      <c r="AG49" s="14">
        <f t="shared" si="129"/>
        <v>0</v>
      </c>
      <c r="AH49" s="14">
        <f t="shared" si="121"/>
        <v>0</v>
      </c>
      <c r="AI49" s="14">
        <f t="shared" si="130"/>
        <v>250.69770000000003</v>
      </c>
      <c r="AJ49" s="14">
        <f t="shared" si="122"/>
        <v>33030</v>
      </c>
      <c r="AK49" s="14">
        <f>(0)</f>
        <v>0</v>
      </c>
      <c r="AL49" s="14">
        <f t="shared" si="131"/>
        <v>33030</v>
      </c>
      <c r="AM49" s="14">
        <f t="shared" si="132"/>
        <v>-4624.2000000000007</v>
      </c>
      <c r="AN49" s="14">
        <f t="shared" si="133"/>
        <v>-330.3</v>
      </c>
      <c r="AS49" s="14">
        <f t="shared" si="123"/>
        <v>28075.5</v>
      </c>
      <c r="AT49" s="14">
        <f>(0)</f>
        <v>0</v>
      </c>
      <c r="AU49" s="14">
        <f t="shared" si="134"/>
        <v>28075.5</v>
      </c>
      <c r="AV49" s="14">
        <f>SUM(AU$44:$AU49)</f>
        <v>168453</v>
      </c>
      <c r="AW49" s="31">
        <f t="shared" si="124"/>
        <v>0.15</v>
      </c>
      <c r="AX49" s="28">
        <f t="shared" si="135"/>
        <v>0</v>
      </c>
      <c r="AY49" s="33">
        <f t="shared" si="125"/>
        <v>0.15</v>
      </c>
      <c r="AZ49" s="14">
        <f t="shared" si="137"/>
        <v>4211.33</v>
      </c>
      <c r="BA49" s="33">
        <f t="shared" si="136"/>
        <v>0.84491000000000005</v>
      </c>
      <c r="BB49" s="14">
        <f t="shared" si="126"/>
        <v>33030</v>
      </c>
      <c r="BC49" s="14">
        <f t="shared" si="127"/>
        <v>28075.5</v>
      </c>
      <c r="BD49" s="13">
        <v>47</v>
      </c>
      <c r="BE49" s="19">
        <v>23.5</v>
      </c>
      <c r="BF49" s="20">
        <v>0.49</v>
      </c>
    </row>
    <row r="50" spans="26:58" ht="39.950000000000003" hidden="1" customHeight="1" x14ac:dyDescent="0.25">
      <c r="Z50" s="34">
        <f>(Z49)</f>
        <v>250</v>
      </c>
      <c r="AA50" s="13" t="s">
        <v>0</v>
      </c>
      <c r="AB50" s="14">
        <f>($Z$61*$Z$50)</f>
        <v>346.96775000000002</v>
      </c>
      <c r="AC50" s="13" t="s">
        <v>0</v>
      </c>
      <c r="AD50" s="29">
        <f t="shared" si="119"/>
        <v>0</v>
      </c>
      <c r="AE50" s="14">
        <f t="shared" ref="AE50:AE55" si="138">($AC$20)</f>
        <v>33030</v>
      </c>
      <c r="AF50" s="14">
        <f t="shared" si="128"/>
        <v>33030</v>
      </c>
      <c r="AG50" s="14">
        <f t="shared" si="129"/>
        <v>0</v>
      </c>
      <c r="AH50" s="14">
        <f t="shared" si="121"/>
        <v>0</v>
      </c>
      <c r="AI50" s="14">
        <f t="shared" si="130"/>
        <v>250.69770000000003</v>
      </c>
      <c r="AJ50" s="14">
        <f t="shared" si="122"/>
        <v>33030</v>
      </c>
      <c r="AK50" s="14">
        <f>(0)</f>
        <v>0</v>
      </c>
      <c r="AL50" s="14">
        <f t="shared" si="131"/>
        <v>33030</v>
      </c>
      <c r="AM50" s="14">
        <f t="shared" si="132"/>
        <v>-4624.2000000000007</v>
      </c>
      <c r="AN50" s="14">
        <f t="shared" si="133"/>
        <v>-330.3</v>
      </c>
      <c r="AS50" s="14">
        <f t="shared" si="123"/>
        <v>28075.5</v>
      </c>
      <c r="AT50" s="14">
        <f>(0)</f>
        <v>0</v>
      </c>
      <c r="AU50" s="14">
        <f t="shared" si="134"/>
        <v>28075.5</v>
      </c>
      <c r="AV50" s="14">
        <f>SUM(AU$44:$AU50)</f>
        <v>196528.5</v>
      </c>
      <c r="AW50" s="31">
        <f t="shared" si="124"/>
        <v>0.2</v>
      </c>
      <c r="AX50" s="28">
        <f t="shared" si="135"/>
        <v>1</v>
      </c>
      <c r="AY50" s="33">
        <f t="shared" si="125"/>
        <v>0.16162668518815337</v>
      </c>
      <c r="AZ50" s="14">
        <f t="shared" si="137"/>
        <v>4537.75</v>
      </c>
      <c r="BA50" s="33">
        <f t="shared" si="136"/>
        <v>0.83502731759006965</v>
      </c>
      <c r="BB50" s="14">
        <f t="shared" si="126"/>
        <v>33030</v>
      </c>
      <c r="BC50" s="14">
        <f t="shared" si="127"/>
        <v>28075.5</v>
      </c>
      <c r="BD50" s="13">
        <v>48</v>
      </c>
      <c r="BE50" s="19">
        <v>24</v>
      </c>
      <c r="BF50" s="20">
        <v>0.5</v>
      </c>
    </row>
    <row r="51" spans="26:58" ht="39.950000000000003" hidden="1" customHeight="1" x14ac:dyDescent="0.25">
      <c r="Z51" s="28">
        <f>(1.5)</f>
        <v>1.5</v>
      </c>
      <c r="AA51" s="13" t="s">
        <v>0</v>
      </c>
      <c r="AB51" s="14">
        <f>($AB$49*$Z$51)</f>
        <v>1040.9032500000001</v>
      </c>
      <c r="AC51" s="13" t="s">
        <v>72</v>
      </c>
      <c r="AD51" s="29">
        <f t="shared" si="119"/>
        <v>0</v>
      </c>
      <c r="AE51" s="14">
        <f t="shared" si="138"/>
        <v>33030</v>
      </c>
      <c r="AF51" s="14">
        <f t="shared" si="128"/>
        <v>33030</v>
      </c>
      <c r="AG51" s="14">
        <f t="shared" si="129"/>
        <v>0</v>
      </c>
      <c r="AH51" s="14">
        <f t="shared" si="121"/>
        <v>0</v>
      </c>
      <c r="AI51" s="14">
        <f t="shared" si="130"/>
        <v>250.69770000000003</v>
      </c>
      <c r="AJ51" s="14">
        <f t="shared" si="122"/>
        <v>33030</v>
      </c>
      <c r="AK51" s="14">
        <f>(0)</f>
        <v>0</v>
      </c>
      <c r="AL51" s="14">
        <f t="shared" si="131"/>
        <v>33030</v>
      </c>
      <c r="AM51" s="14">
        <f t="shared" si="132"/>
        <v>-4624.2000000000007</v>
      </c>
      <c r="AN51" s="14">
        <f t="shared" si="133"/>
        <v>-330.3</v>
      </c>
      <c r="AS51" s="14">
        <f t="shared" si="123"/>
        <v>28075.5</v>
      </c>
      <c r="AT51" s="14">
        <f>(0)</f>
        <v>0</v>
      </c>
      <c r="AU51" s="14">
        <f t="shared" si="134"/>
        <v>28075.5</v>
      </c>
      <c r="AV51" s="14">
        <f>SUM(AU$44:$AU51)</f>
        <v>224604</v>
      </c>
      <c r="AW51" s="31">
        <f t="shared" si="124"/>
        <v>0.2</v>
      </c>
      <c r="AX51" s="28">
        <f t="shared" si="135"/>
        <v>0</v>
      </c>
      <c r="AY51" s="33">
        <f t="shared" si="125"/>
        <v>0.2</v>
      </c>
      <c r="AZ51" s="14">
        <f t="shared" si="137"/>
        <v>5615.1</v>
      </c>
      <c r="BA51" s="33">
        <f t="shared" si="136"/>
        <v>0.80240999999999996</v>
      </c>
      <c r="BB51" s="14">
        <f t="shared" si="126"/>
        <v>33030</v>
      </c>
      <c r="BC51" s="14">
        <f t="shared" si="127"/>
        <v>28075.5</v>
      </c>
      <c r="BD51" s="13">
        <v>49</v>
      </c>
      <c r="BE51" s="19">
        <v>24.5</v>
      </c>
      <c r="BF51" s="36" t="s">
        <v>0</v>
      </c>
    </row>
    <row r="52" spans="26:58" ht="39.950000000000003" hidden="1" customHeight="1" x14ac:dyDescent="0.25">
      <c r="Z52" s="13" t="s">
        <v>0</v>
      </c>
      <c r="AA52" s="13" t="s">
        <v>0</v>
      </c>
      <c r="AB52" s="14">
        <f>($AB$51/2)</f>
        <v>520.45162500000004</v>
      </c>
      <c r="AC52" s="29">
        <v>2209.5100000000002</v>
      </c>
      <c r="AD52" s="29">
        <f t="shared" si="119"/>
        <v>0</v>
      </c>
      <c r="AE52" s="14">
        <f t="shared" si="138"/>
        <v>33030</v>
      </c>
      <c r="AF52" s="14">
        <f t="shared" si="128"/>
        <v>33030</v>
      </c>
      <c r="AG52" s="14">
        <f t="shared" si="129"/>
        <v>0</v>
      </c>
      <c r="AH52" s="14">
        <f t="shared" si="121"/>
        <v>0</v>
      </c>
      <c r="AI52" s="14">
        <f t="shared" si="130"/>
        <v>250.69770000000003</v>
      </c>
      <c r="AJ52" s="14">
        <f t="shared" si="122"/>
        <v>33030</v>
      </c>
      <c r="AK52" s="14">
        <f>(0)</f>
        <v>0</v>
      </c>
      <c r="AL52" s="14">
        <f t="shared" si="131"/>
        <v>33030</v>
      </c>
      <c r="AM52" s="14">
        <f t="shared" si="132"/>
        <v>-4624.2000000000007</v>
      </c>
      <c r="AN52" s="14">
        <f t="shared" si="133"/>
        <v>-330.3</v>
      </c>
      <c r="AS52" s="14">
        <f t="shared" si="123"/>
        <v>28075.5</v>
      </c>
      <c r="AT52" s="14">
        <f>(0)</f>
        <v>0</v>
      </c>
      <c r="AU52" s="14">
        <f t="shared" si="134"/>
        <v>28075.5</v>
      </c>
      <c r="AV52" s="14">
        <f>SUM(AU$44:$AU52)</f>
        <v>252679.5</v>
      </c>
      <c r="AW52" s="31">
        <f t="shared" si="124"/>
        <v>0.2</v>
      </c>
      <c r="AX52" s="28">
        <f t="shared" si="135"/>
        <v>0</v>
      </c>
      <c r="AY52" s="33">
        <f t="shared" si="125"/>
        <v>0.2</v>
      </c>
      <c r="AZ52" s="14">
        <f t="shared" si="137"/>
        <v>5615.1</v>
      </c>
      <c r="BA52" s="33">
        <f t="shared" si="136"/>
        <v>0.80240999999999996</v>
      </c>
      <c r="BB52" s="14">
        <f t="shared" si="126"/>
        <v>33030</v>
      </c>
      <c r="BC52" s="14">
        <f t="shared" si="127"/>
        <v>28075.5</v>
      </c>
      <c r="BD52" s="13">
        <v>50</v>
      </c>
      <c r="BE52" s="19">
        <v>25</v>
      </c>
      <c r="BF52" s="36" t="s">
        <v>0</v>
      </c>
    </row>
    <row r="53" spans="26:58" ht="39.950000000000003" hidden="1" customHeight="1" x14ac:dyDescent="0.25">
      <c r="AC53" s="29">
        <v>5070.24</v>
      </c>
      <c r="AD53" s="29">
        <f t="shared" si="119"/>
        <v>0</v>
      </c>
      <c r="AE53" s="14">
        <f t="shared" si="138"/>
        <v>33030</v>
      </c>
      <c r="AF53" s="14">
        <f t="shared" si="128"/>
        <v>33030</v>
      </c>
      <c r="AG53" s="14">
        <f t="shared" si="129"/>
        <v>0</v>
      </c>
      <c r="AH53" s="14">
        <f t="shared" si="121"/>
        <v>0</v>
      </c>
      <c r="AI53" s="14">
        <f t="shared" si="130"/>
        <v>250.69770000000003</v>
      </c>
      <c r="AJ53" s="14">
        <f t="shared" si="122"/>
        <v>33030</v>
      </c>
      <c r="AK53" s="14">
        <f>(0)</f>
        <v>0</v>
      </c>
      <c r="AL53" s="14">
        <f t="shared" si="131"/>
        <v>33030</v>
      </c>
      <c r="AM53" s="14">
        <f t="shared" si="132"/>
        <v>-4624.2000000000007</v>
      </c>
      <c r="AN53" s="14">
        <f t="shared" si="133"/>
        <v>-330.3</v>
      </c>
      <c r="AS53" s="14">
        <f t="shared" si="123"/>
        <v>28075.5</v>
      </c>
      <c r="AT53" s="14">
        <f>(0)</f>
        <v>0</v>
      </c>
      <c r="AU53" s="14">
        <f t="shared" si="134"/>
        <v>28075.5</v>
      </c>
      <c r="AV53" s="14">
        <f>SUM(AU$44:$AU53)</f>
        <v>280755</v>
      </c>
      <c r="AW53" s="31">
        <f t="shared" si="124"/>
        <v>0.2</v>
      </c>
      <c r="AX53" s="28">
        <f t="shared" si="135"/>
        <v>0</v>
      </c>
      <c r="AY53" s="33">
        <f t="shared" si="125"/>
        <v>0.2</v>
      </c>
      <c r="AZ53" s="14">
        <f t="shared" si="137"/>
        <v>5615.1</v>
      </c>
      <c r="BA53" s="33">
        <f t="shared" si="136"/>
        <v>0.80240999999999996</v>
      </c>
      <c r="BB53" s="14">
        <f t="shared" si="126"/>
        <v>33030</v>
      </c>
      <c r="BC53" s="14">
        <f t="shared" si="127"/>
        <v>28075.5</v>
      </c>
      <c r="BD53" s="13">
        <v>51</v>
      </c>
      <c r="BE53" s="19">
        <v>25.5</v>
      </c>
      <c r="BF53" s="36" t="s">
        <v>0</v>
      </c>
    </row>
    <row r="54" spans="26:58" ht="39.950000000000003" hidden="1" customHeight="1" x14ac:dyDescent="0.25">
      <c r="Z54" s="13">
        <f>(1500)</f>
        <v>1500</v>
      </c>
      <c r="AA54" s="13" t="s">
        <v>0</v>
      </c>
      <c r="AB54" s="14">
        <f>($Z$61*$Z$54)</f>
        <v>2081.8065000000001</v>
      </c>
      <c r="AC54" s="29">
        <v>5070.24</v>
      </c>
      <c r="AD54" s="29">
        <f t="shared" si="119"/>
        <v>0</v>
      </c>
      <c r="AE54" s="14">
        <f t="shared" si="138"/>
        <v>33030</v>
      </c>
      <c r="AF54" s="14">
        <f t="shared" si="128"/>
        <v>33030</v>
      </c>
      <c r="AG54" s="14">
        <f t="shared" si="129"/>
        <v>0</v>
      </c>
      <c r="AH54" s="14">
        <f t="shared" si="121"/>
        <v>0</v>
      </c>
      <c r="AI54" s="14">
        <f t="shared" si="130"/>
        <v>250.69770000000003</v>
      </c>
      <c r="AJ54" s="14">
        <f t="shared" si="122"/>
        <v>33030</v>
      </c>
      <c r="AK54" s="14">
        <f>(0)</f>
        <v>0</v>
      </c>
      <c r="AL54" s="14">
        <f t="shared" si="131"/>
        <v>33030</v>
      </c>
      <c r="AM54" s="14">
        <f t="shared" si="132"/>
        <v>-4624.2000000000007</v>
      </c>
      <c r="AN54" s="14">
        <f t="shared" si="133"/>
        <v>-330.3</v>
      </c>
      <c r="AS54" s="14">
        <f t="shared" si="123"/>
        <v>28075.5</v>
      </c>
      <c r="AT54" s="14">
        <f>(0)</f>
        <v>0</v>
      </c>
      <c r="AU54" s="14">
        <f t="shared" si="134"/>
        <v>28075.5</v>
      </c>
      <c r="AV54" s="14">
        <f>SUM(AU$44:$AU54)</f>
        <v>308830.5</v>
      </c>
      <c r="AW54" s="31">
        <f t="shared" si="124"/>
        <v>0.2</v>
      </c>
      <c r="AX54" s="28">
        <f t="shared" si="135"/>
        <v>0</v>
      </c>
      <c r="AY54" s="33">
        <f t="shared" si="125"/>
        <v>0.2</v>
      </c>
      <c r="AZ54" s="14">
        <f t="shared" si="137"/>
        <v>5615.1</v>
      </c>
      <c r="BA54" s="33">
        <f t="shared" si="136"/>
        <v>0.80240999999999996</v>
      </c>
      <c r="BB54" s="14">
        <f t="shared" si="126"/>
        <v>33030</v>
      </c>
      <c r="BC54" s="14">
        <f t="shared" si="127"/>
        <v>28075.5</v>
      </c>
      <c r="BD54" s="13">
        <v>52</v>
      </c>
      <c r="BE54" s="19">
        <v>26</v>
      </c>
      <c r="BF54" s="36" t="s">
        <v>0</v>
      </c>
    </row>
    <row r="55" spans="26:58" ht="39.950000000000003" hidden="1" customHeight="1" x14ac:dyDescent="0.25">
      <c r="Z55" s="13">
        <f>(8000)</f>
        <v>8000</v>
      </c>
      <c r="AA55" s="13" t="s">
        <v>0</v>
      </c>
      <c r="AB55" s="14">
        <f>($Z$61*$Z$55)</f>
        <v>11102.968000000001</v>
      </c>
      <c r="AC55" s="29">
        <v>23258</v>
      </c>
      <c r="AD55" s="29">
        <f t="shared" si="119"/>
        <v>0</v>
      </c>
      <c r="AE55" s="14">
        <f t="shared" si="138"/>
        <v>33030</v>
      </c>
      <c r="AF55" s="14">
        <f t="shared" si="128"/>
        <v>33030</v>
      </c>
      <c r="AG55" s="14">
        <f t="shared" si="129"/>
        <v>0</v>
      </c>
      <c r="AH55" s="14">
        <f t="shared" si="121"/>
        <v>0</v>
      </c>
      <c r="AI55" s="14">
        <f t="shared" si="130"/>
        <v>250.69770000000003</v>
      </c>
      <c r="AJ55" s="14">
        <f t="shared" si="122"/>
        <v>33030</v>
      </c>
      <c r="AK55" s="14">
        <f>(0)</f>
        <v>0</v>
      </c>
      <c r="AL55" s="14">
        <f t="shared" si="131"/>
        <v>33030</v>
      </c>
      <c r="AM55" s="14">
        <f t="shared" si="132"/>
        <v>-4624.2000000000007</v>
      </c>
      <c r="AN55" s="14">
        <f t="shared" si="133"/>
        <v>-330.3</v>
      </c>
      <c r="AS55" s="14">
        <f t="shared" si="123"/>
        <v>28075.5</v>
      </c>
      <c r="AT55" s="14">
        <f>(0)</f>
        <v>0</v>
      </c>
      <c r="AU55" s="14">
        <f t="shared" si="134"/>
        <v>28075.5</v>
      </c>
      <c r="AV55" s="14">
        <f>SUM(AU$44:$AU55)</f>
        <v>336906</v>
      </c>
      <c r="AW55" s="31">
        <f t="shared" si="124"/>
        <v>0.2</v>
      </c>
      <c r="AX55" s="28">
        <f t="shared" si="135"/>
        <v>0</v>
      </c>
      <c r="AY55" s="33">
        <f t="shared" si="125"/>
        <v>0.2</v>
      </c>
      <c r="AZ55" s="14">
        <f t="shared" si="137"/>
        <v>5615.1</v>
      </c>
      <c r="BA55" s="33">
        <f t="shared" si="136"/>
        <v>0.80240999999999996</v>
      </c>
      <c r="BB55" s="14">
        <f t="shared" si="126"/>
        <v>33030</v>
      </c>
      <c r="BC55" s="14">
        <f t="shared" si="127"/>
        <v>28075.5</v>
      </c>
      <c r="BD55" s="13">
        <v>53</v>
      </c>
      <c r="BE55" s="19">
        <v>26.5</v>
      </c>
      <c r="BF55" s="36" t="s">
        <v>0</v>
      </c>
    </row>
    <row r="56" spans="26:58" ht="39.950000000000003" hidden="1" customHeight="1" x14ac:dyDescent="0.25">
      <c r="Z56" s="13">
        <f>(500)</f>
        <v>500</v>
      </c>
      <c r="AA56" s="13" t="s">
        <v>0</v>
      </c>
      <c r="AB56" s="14">
        <f>($Z$61*$Z$56)</f>
        <v>693.93550000000005</v>
      </c>
      <c r="AC56" s="29">
        <v>23258</v>
      </c>
      <c r="AD56" s="14">
        <f t="shared" ref="AD56" si="139">(AD44+AD45+AD46+AD47+AD48+AD49+AD50+AD51+AD52+AD53+AD54+AD55)</f>
        <v>0</v>
      </c>
      <c r="AE56" s="14">
        <f t="shared" ref="AE56" si="140">(AE44+AE45+AE46+AE47+AE48+AE49+AE50+AE51+AE52+AE53+AE54+AE55)</f>
        <v>396360</v>
      </c>
      <c r="AF56" s="14">
        <f t="shared" ref="AF56" si="141">(AF44+AF45+AF46+AF47+AF48+AF49+AF50+AF51+AF52+AF53+AF54+AF55)</f>
        <v>396360</v>
      </c>
      <c r="AG56" s="14">
        <f t="shared" ref="AG56:AI56" si="142">(AG44+AG45+AG46+AG47+AG48+AG49+AG50+AG51+AG52+AG53+AG54+AG55)</f>
        <v>0</v>
      </c>
      <c r="AH56" s="14">
        <f>(AH44+AH45+AH46+AH47+AH48+AH49+AH50+AH51+AH52+AH53+AH54+AH55)</f>
        <v>0</v>
      </c>
      <c r="AI56" s="14">
        <f t="shared" si="142"/>
        <v>3008.3724000000007</v>
      </c>
      <c r="AJ56" s="14">
        <f t="shared" ref="AJ56" si="143">(AJ44+AJ45+AJ46+AJ47+AJ48+AJ49+AJ50+AJ51+AJ52+AJ53+AJ54+AJ55)</f>
        <v>396360</v>
      </c>
      <c r="AK56" s="14">
        <f t="shared" ref="AK56" si="144">(AK44+AK45+AK46+AK47+AK48+AK49+AK50+AK51+AK52+AK53+AK54+AK55)</f>
        <v>0</v>
      </c>
      <c r="AL56" s="14">
        <f t="shared" ref="AL56" si="145">(AL44+AL45+AL46+AL47+AL48+AL49+AL50+AL51+AL52+AL53+AL54+AL55)</f>
        <v>396360</v>
      </c>
      <c r="AM56" s="14">
        <f t="shared" ref="AM56" si="146">(AM44+AM45+AM46+AM47+AM48+AM49+AM50+AM51+AM52+AM53+AM54+AM55)</f>
        <v>-55490.399999999994</v>
      </c>
      <c r="AN56" s="14">
        <f t="shared" ref="AN56" si="147">(AN44+AN45+AN46+AN47+AN48+AN49+AN50+AN51+AN52+AN53+AN54+AN55)</f>
        <v>-3963.6000000000008</v>
      </c>
      <c r="AS56" s="14">
        <f t="shared" ref="AS56" si="148">(AS44+AS45+AS46+AS47+AS48+AS49+AS50+AS51+AS52+AS53+AS54+AS55)</f>
        <v>336906</v>
      </c>
      <c r="AT56" s="14">
        <f t="shared" ref="AT56" si="149">(AT44+AT45+AT46+AT47+AT48+AT49+AT50+AT51+AT52+AT53+AT54+AT55)</f>
        <v>0</v>
      </c>
      <c r="AU56" s="14">
        <f t="shared" ref="AU56" si="150">(AU44+AU45+AU46+AU47+AU48+AU49+AU50+AU51+AU52+AU53+AU54+AU55)</f>
        <v>336906</v>
      </c>
      <c r="AV56" s="23" t="s">
        <v>0</v>
      </c>
      <c r="AW56" s="13" t="s">
        <v>0</v>
      </c>
      <c r="AX56" s="13" t="s">
        <v>0</v>
      </c>
      <c r="AY56" s="13" t="s">
        <v>0</v>
      </c>
      <c r="AZ56" s="14">
        <f t="shared" ref="AZ56" si="151">(AZ44+AZ45+AZ46+AZ47+AZ48+AZ49+AZ50+AZ51+AZ52+AZ53+AZ54+AZ55)</f>
        <v>57881.229999999996</v>
      </c>
      <c r="BA56" s="13" t="s">
        <v>0</v>
      </c>
      <c r="BB56" s="14">
        <f t="shared" ref="BB56" si="152">(BB44+BB45+BB46+BB47+BB48+BB49+BB50+BB51+BB52+BB53+BB54+BB55)</f>
        <v>396360</v>
      </c>
      <c r="BC56" s="14">
        <f t="shared" ref="BC56" si="153">(BC44+BC45+BC46+BC47+BC48+BC49+BC50+BC51+BC52+BC53+BC54+BC55)</f>
        <v>336906</v>
      </c>
      <c r="BD56" s="13">
        <v>54</v>
      </c>
      <c r="BE56" s="19">
        <v>27</v>
      </c>
      <c r="BF56" s="36" t="s">
        <v>0</v>
      </c>
    </row>
    <row r="57" spans="26:58" ht="39.950000000000003" hidden="1" customHeight="1" x14ac:dyDescent="0.25">
      <c r="Z57" s="13">
        <f>(1000)</f>
        <v>1000</v>
      </c>
      <c r="AA57" s="13" t="s">
        <v>0</v>
      </c>
      <c r="AB57" s="14">
        <f>($Z$62*$Z$57)</f>
        <v>22722.792999999998</v>
      </c>
      <c r="AC57" s="29">
        <v>13954.8</v>
      </c>
      <c r="AD57" s="14">
        <f t="shared" ref="AD57" si="154">(AD56/12)</f>
        <v>0</v>
      </c>
      <c r="AE57" s="14">
        <f t="shared" ref="AE57" si="155">(AE56/12)</f>
        <v>33030</v>
      </c>
      <c r="AF57" s="14">
        <f t="shared" ref="AF57" si="156">(AF56/12)</f>
        <v>33030</v>
      </c>
      <c r="AG57" s="14">
        <f t="shared" ref="AG57:AI57" si="157">(AG56/12)</f>
        <v>0</v>
      </c>
      <c r="AH57" s="14">
        <f>(AH56/12)</f>
        <v>0</v>
      </c>
      <c r="AI57" s="14">
        <f t="shared" si="157"/>
        <v>250.69770000000005</v>
      </c>
      <c r="AJ57" s="14">
        <f t="shared" ref="AJ57" si="158">(AJ56/12)</f>
        <v>33030</v>
      </c>
      <c r="AK57" s="14">
        <f t="shared" ref="AK57" si="159">(AK56/12)</f>
        <v>0</v>
      </c>
      <c r="AL57" s="14">
        <f t="shared" ref="AL57" si="160">(AL56/12)</f>
        <v>33030</v>
      </c>
      <c r="AM57" s="14">
        <f t="shared" ref="AM57" si="161">(AM56/12)</f>
        <v>-4624.2</v>
      </c>
      <c r="AN57" s="14">
        <f t="shared" ref="AN57" si="162">(AN56/12)</f>
        <v>-330.30000000000007</v>
      </c>
      <c r="AS57" s="14">
        <f t="shared" ref="AS57" si="163">(AS56/12)</f>
        <v>28075.5</v>
      </c>
      <c r="AT57" s="14">
        <f t="shared" ref="AT57" si="164">(AT56/12)</f>
        <v>0</v>
      </c>
      <c r="AU57" s="14">
        <f t="shared" ref="AU57" si="165">(AU56/12)</f>
        <v>28075.5</v>
      </c>
      <c r="AV57" s="23" t="s">
        <v>0</v>
      </c>
      <c r="AW57" s="23" t="s">
        <v>0</v>
      </c>
      <c r="AX57" s="23" t="s">
        <v>0</v>
      </c>
      <c r="AY57" s="23" t="s">
        <v>0</v>
      </c>
      <c r="AZ57" s="14">
        <f t="shared" ref="AZ57" si="166">(AZ56/12)</f>
        <v>4823.435833333333</v>
      </c>
      <c r="BA57" s="23" t="s">
        <v>0</v>
      </c>
      <c r="BB57" s="14">
        <f t="shared" ref="BB57" si="167">(BB56/12)</f>
        <v>33030</v>
      </c>
      <c r="BC57" s="14">
        <f t="shared" ref="BC57" si="168">(BC56/12)</f>
        <v>28075.5</v>
      </c>
      <c r="BD57" s="13">
        <v>55</v>
      </c>
      <c r="BE57" s="19">
        <v>27.5</v>
      </c>
      <c r="BF57" s="36" t="s">
        <v>0</v>
      </c>
    </row>
    <row r="58" spans="26:58" ht="39.950000000000003" hidden="1" customHeight="1" x14ac:dyDescent="0.25">
      <c r="Z58" s="13">
        <f>($Z$54+$Z$55)</f>
        <v>9500</v>
      </c>
      <c r="AA58" s="13">
        <f>(2.15)</f>
        <v>2.15</v>
      </c>
      <c r="AB58" s="14">
        <f>($Z$61*$Z$58*$AA$58)</f>
        <v>28347.265175</v>
      </c>
      <c r="AC58" s="29">
        <v>3363.11</v>
      </c>
      <c r="AP58" s="14">
        <f>(0)</f>
        <v>0</v>
      </c>
      <c r="AQ58" s="31">
        <f>(0%)</f>
        <v>0</v>
      </c>
      <c r="BD58" s="13">
        <v>56</v>
      </c>
      <c r="BE58" s="19">
        <v>28</v>
      </c>
      <c r="BF58" s="36" t="s">
        <v>0</v>
      </c>
    </row>
    <row r="59" spans="26:58" ht="39.950000000000003" hidden="1" customHeight="1" x14ac:dyDescent="0.25">
      <c r="Z59" s="13" t="s">
        <v>0</v>
      </c>
      <c r="AA59" s="13" t="s">
        <v>0</v>
      </c>
      <c r="AB59" s="14">
        <f>($AB$54+$AB$55+$AB$56+$AB$57+$AB$58)</f>
        <v>64948.768174999997</v>
      </c>
      <c r="AC59" s="29">
        <v>3363.11</v>
      </c>
      <c r="AD59" s="14">
        <f t="shared" ref="AD59:AD70" ca="1" si="169">(AM15+AO15+AQ15+AS15+AU15+AD1+AF1+AV1+AG29+AJ29+AL29)</f>
        <v>90156.940483417478</v>
      </c>
      <c r="AE59" s="14">
        <f t="shared" ref="AE59:AE70" si="170">(AF44+AI1)</f>
        <v>40230</v>
      </c>
      <c r="AF59" s="14">
        <f ca="1">(AD59-AE59)</f>
        <v>49926.940483417478</v>
      </c>
      <c r="AG59" s="14">
        <f t="shared" ref="AG59:AG70" ca="1" si="171">(AF59*0.00759*-1)</f>
        <v>-378.94547826913868</v>
      </c>
      <c r="AH59" s="14">
        <f ca="1">(AD59)</f>
        <v>90156.940483417478</v>
      </c>
      <c r="AI59" s="14">
        <f t="shared" ref="AI59:AI70" si="172">(AM1+AM29)</f>
        <v>7200</v>
      </c>
      <c r="AJ59" s="14">
        <f t="shared" ref="AJ59:AJ70" ca="1" si="173">IF(AH59-AI59&gt;=AE44*7.5,AE44*7.5,AH59-AI59)</f>
        <v>82956.940483417478</v>
      </c>
      <c r="AK59" s="14">
        <f ca="1">(AJ59*0.14*-1)</f>
        <v>-11613.971667678448</v>
      </c>
      <c r="AL59" s="14">
        <f ca="1">(AJ59*0.01*-1)</f>
        <v>-829.56940483417475</v>
      </c>
      <c r="AM59" s="14">
        <f t="shared" ref="AM59:AM70" ca="1" si="174">(AD59+AK59+AL59)</f>
        <v>77713.399410904865</v>
      </c>
      <c r="AN59" s="14">
        <f t="shared" ref="AN59:AN70" si="175">(AR1+AM29+AQ29+AD44)</f>
        <v>9318.69</v>
      </c>
      <c r="AO59" s="14">
        <f ca="1">(AM59-AN59)</f>
        <v>68394.709410904863</v>
      </c>
      <c r="AP59" s="14">
        <f ca="1">SUM($AO$59:AO59)</f>
        <v>68394.709410904863</v>
      </c>
      <c r="AQ59" s="31">
        <f t="shared" ref="AQ59:AQ70" ca="1" si="176">IF(AP59&lt;=$AQ$44,$AO$44,
IF(AP59&gt;$AQ$46,
IF(AP59&gt;$AQ$47,$AO$48,$AO$47),
IF(AP59&lt;$AQ$45,$AO$45,$AO$46)))</f>
        <v>0.15</v>
      </c>
      <c r="AR59" s="28">
        <f ca="1">IF(AQ59-AQ58=0,0,1)</f>
        <v>1</v>
      </c>
      <c r="AS59" s="33">
        <f t="shared" ref="AS59:AS70" ca="1" si="177">(IF(AR59=0,AQ59,(VLOOKUP($AQ59,$AO$44:$AR$48,2,0)-AP58)/AO59*AQ58+(AP59-VLOOKUP($AQ59,$AO$44:$AR$48,2,0))/AO59*AQ59))</f>
        <v>0.15</v>
      </c>
      <c r="AT59" s="14">
        <f ca="1">(ROUND(AO59*AS59,2)*(-1)+VLOOKUP(AQ59,$AO$44:$AR$48,4,0)*(-1))</f>
        <v>-10259.209999999999</v>
      </c>
      <c r="AU59" s="14">
        <f t="shared" ref="AU59:AU70" ca="1" si="178">(AT59+AZ44)</f>
        <v>-6047.8799999999992</v>
      </c>
      <c r="AV59" s="33">
        <f t="shared" ref="AV59:AV70" ca="1" si="179">(100+(100*0.00759*-1)+(100)*AS59*-1)/100</f>
        <v>0.84240999999999999</v>
      </c>
      <c r="AW59" s="33">
        <f>(100+(100*0.00759*-1)+(100*0.14*-1)+(100*0.01*-1))/100</f>
        <v>0.84240999999999999</v>
      </c>
      <c r="AX59" s="33">
        <f t="shared" ref="AX59:AX70" ca="1" si="180">(100+(100*0.00759*-1)+(100*0.14*-1)+(100*0.01*-1)+(100+100*0.14*-1+100*0.01*-1)*AS59*-1)/100</f>
        <v>0.71491000000000005</v>
      </c>
      <c r="BD59" s="13">
        <v>57</v>
      </c>
      <c r="BE59" s="19">
        <v>28.5</v>
      </c>
      <c r="BF59" s="36" t="s">
        <v>0</v>
      </c>
    </row>
    <row r="60" spans="26:58" ht="39.950000000000003" hidden="1" customHeight="1" x14ac:dyDescent="0.25">
      <c r="AC60" s="29">
        <v>4213.1899999999996</v>
      </c>
      <c r="AD60" s="14">
        <f t="shared" ca="1" si="169"/>
        <v>83479.304287252948</v>
      </c>
      <c r="AE60" s="14">
        <f t="shared" si="170"/>
        <v>40230</v>
      </c>
      <c r="AF60" s="14">
        <f t="shared" ref="AF60:AF70" ca="1" si="181">(AD60-AE60)</f>
        <v>43249.304287252948</v>
      </c>
      <c r="AG60" s="14">
        <f t="shared" ca="1" si="171"/>
        <v>-328.26221954024987</v>
      </c>
      <c r="AH60" s="14">
        <f t="shared" ref="AH60:AH70" ca="1" si="182">(AD60)</f>
        <v>83479.304287252948</v>
      </c>
      <c r="AI60" s="14">
        <f t="shared" si="172"/>
        <v>7200</v>
      </c>
      <c r="AJ60" s="14">
        <f t="shared" ca="1" si="173"/>
        <v>76279.304287252948</v>
      </c>
      <c r="AK60" s="14">
        <f t="shared" ref="AK60:AK70" ca="1" si="183">(AJ60*0.14*-1)</f>
        <v>-10679.102600215414</v>
      </c>
      <c r="AL60" s="14">
        <f t="shared" ref="AL60:AL70" ca="1" si="184">(AJ60*0.01*-1)</f>
        <v>-762.79304287252944</v>
      </c>
      <c r="AM60" s="14">
        <f t="shared" ca="1" si="174"/>
        <v>72037.408644165014</v>
      </c>
      <c r="AN60" s="14">
        <f t="shared" si="175"/>
        <v>9318.69</v>
      </c>
      <c r="AO60" s="14">
        <f t="shared" ref="AO60:AO70" ca="1" si="185">(AM60-AN60)</f>
        <v>62718.718644165012</v>
      </c>
      <c r="AP60" s="14">
        <f ca="1">SUM($AO$59:AO60)</f>
        <v>131113.42805506987</v>
      </c>
      <c r="AQ60" s="31">
        <f t="shared" ca="1" si="176"/>
        <v>0.15</v>
      </c>
      <c r="AR60" s="28">
        <f t="shared" ref="AR60:AR70" ca="1" si="186">IF(AQ60-AQ59=0,0,1)</f>
        <v>0</v>
      </c>
      <c r="AS60" s="33">
        <f t="shared" ca="1" si="177"/>
        <v>0.15</v>
      </c>
      <c r="AT60" s="14">
        <f ca="1">(ROUND(AO60*AS60,2)*(-1))</f>
        <v>-9407.81</v>
      </c>
      <c r="AU60" s="14">
        <f t="shared" ca="1" si="178"/>
        <v>-5196.4799999999996</v>
      </c>
      <c r="AV60" s="33">
        <f t="shared" ca="1" si="179"/>
        <v>0.84240999999999999</v>
      </c>
      <c r="AW60" s="33">
        <f t="shared" ref="AW60:AW70" si="187">(100+(100*0.00759*-1)+(100*0.14*-1)+(100*0.01*-1))/100</f>
        <v>0.84240999999999999</v>
      </c>
      <c r="AX60" s="33">
        <f t="shared" ca="1" si="180"/>
        <v>0.71491000000000005</v>
      </c>
      <c r="BD60" s="13">
        <v>58</v>
      </c>
      <c r="BE60" s="19">
        <v>29</v>
      </c>
      <c r="BF60" s="36" t="s">
        <v>0</v>
      </c>
    </row>
    <row r="61" spans="26:58" ht="39.950000000000003" hidden="1" customHeight="1" x14ac:dyDescent="0.25">
      <c r="Z61" s="37">
        <v>1.3878710000000001</v>
      </c>
      <c r="AA61" s="37">
        <v>1.575512</v>
      </c>
      <c r="AB61" s="13" t="s">
        <v>0</v>
      </c>
      <c r="AC61" s="29">
        <v>6305.24</v>
      </c>
      <c r="AD61" s="14">
        <f t="shared" ca="1" si="169"/>
        <v>180370.55125478905</v>
      </c>
      <c r="AE61" s="14">
        <f t="shared" si="170"/>
        <v>40230</v>
      </c>
      <c r="AF61" s="14">
        <f t="shared" ca="1" si="181"/>
        <v>140140.55125478905</v>
      </c>
      <c r="AG61" s="14">
        <f t="shared" ca="1" si="171"/>
        <v>-1063.666784023849</v>
      </c>
      <c r="AH61" s="14">
        <f t="shared" ca="1" si="182"/>
        <v>180370.55125478905</v>
      </c>
      <c r="AI61" s="14">
        <f t="shared" si="172"/>
        <v>7200</v>
      </c>
      <c r="AJ61" s="14">
        <f t="shared" ca="1" si="173"/>
        <v>173170.55125478905</v>
      </c>
      <c r="AK61" s="14">
        <f t="shared" ca="1" si="183"/>
        <v>-24243.87717567047</v>
      </c>
      <c r="AL61" s="14">
        <f t="shared" ca="1" si="184"/>
        <v>-1731.7055125478905</v>
      </c>
      <c r="AM61" s="14">
        <f t="shared" ca="1" si="174"/>
        <v>154394.96856657069</v>
      </c>
      <c r="AN61" s="14">
        <f t="shared" si="175"/>
        <v>9706.1984009999996</v>
      </c>
      <c r="AO61" s="14">
        <f t="shared" ca="1" si="185"/>
        <v>144688.77016557069</v>
      </c>
      <c r="AP61" s="14">
        <f ca="1">SUM($AO$59:AO61)</f>
        <v>275802.19822064054</v>
      </c>
      <c r="AQ61" s="31">
        <f t="shared" ca="1" si="176"/>
        <v>0.2</v>
      </c>
      <c r="AR61" s="28">
        <f t="shared" ca="1" si="186"/>
        <v>1</v>
      </c>
      <c r="AS61" s="33">
        <f t="shared" ca="1" si="177"/>
        <v>0.17965060734238567</v>
      </c>
      <c r="AT61" s="14">
        <f t="shared" ref="AT61:AT70" ca="1" si="188">(ROUND(AO61*AS61,2)*(-1))</f>
        <v>-25993.43</v>
      </c>
      <c r="AU61" s="14">
        <f t="shared" ca="1" si="178"/>
        <v>-21782.1</v>
      </c>
      <c r="AV61" s="33">
        <f t="shared" ca="1" si="179"/>
        <v>0.81275939265761432</v>
      </c>
      <c r="AW61" s="33">
        <f t="shared" si="187"/>
        <v>0.84240999999999999</v>
      </c>
      <c r="AX61" s="33">
        <f t="shared" ca="1" si="180"/>
        <v>0.6897069837589721</v>
      </c>
      <c r="BD61" s="13">
        <v>59</v>
      </c>
      <c r="BE61" s="19">
        <v>29.5</v>
      </c>
      <c r="BF61" s="36" t="s">
        <v>0</v>
      </c>
    </row>
    <row r="62" spans="26:58" ht="39.950000000000003" hidden="1" customHeight="1" x14ac:dyDescent="0.25">
      <c r="Z62" s="37">
        <v>22.722792999999999</v>
      </c>
      <c r="AA62" s="37">
        <v>25.794915</v>
      </c>
      <c r="AB62" s="13" t="s">
        <v>0</v>
      </c>
      <c r="AC62" s="29">
        <v>4213.1899999999996</v>
      </c>
      <c r="AD62" s="14">
        <f t="shared" ca="1" si="169"/>
        <v>102780.24231651374</v>
      </c>
      <c r="AE62" s="14">
        <f t="shared" si="170"/>
        <v>40230</v>
      </c>
      <c r="AF62" s="14">
        <f t="shared" ca="1" si="181"/>
        <v>62550.242316513744</v>
      </c>
      <c r="AG62" s="14">
        <f t="shared" ca="1" si="171"/>
        <v>-474.75633918233933</v>
      </c>
      <c r="AH62" s="14">
        <f t="shared" ca="1" si="182"/>
        <v>102780.24231651374</v>
      </c>
      <c r="AI62" s="14">
        <f t="shared" si="172"/>
        <v>7200</v>
      </c>
      <c r="AJ62" s="14">
        <f t="shared" ca="1" si="173"/>
        <v>95580.242316513744</v>
      </c>
      <c r="AK62" s="14">
        <f t="shared" ca="1" si="183"/>
        <v>-13381.233924311926</v>
      </c>
      <c r="AL62" s="14">
        <f t="shared" ca="1" si="184"/>
        <v>-955.8024231651375</v>
      </c>
      <c r="AM62" s="14">
        <f t="shared" ca="1" si="174"/>
        <v>88443.205969036688</v>
      </c>
      <c r="AN62" s="14">
        <f t="shared" si="175"/>
        <v>9706.1984009999996</v>
      </c>
      <c r="AO62" s="14">
        <f t="shared" ca="1" si="185"/>
        <v>78737.007568036686</v>
      </c>
      <c r="AP62" s="14">
        <f ca="1">SUM($AO$59:AO62)</f>
        <v>354539.20578867721</v>
      </c>
      <c r="AQ62" s="31">
        <f t="shared" ca="1" si="176"/>
        <v>0.2</v>
      </c>
      <c r="AR62" s="28">
        <f t="shared" ca="1" si="186"/>
        <v>0</v>
      </c>
      <c r="AS62" s="33">
        <f t="shared" ca="1" si="177"/>
        <v>0.2</v>
      </c>
      <c r="AT62" s="14">
        <f t="shared" ca="1" si="188"/>
        <v>-15747.4</v>
      </c>
      <c r="AU62" s="14">
        <f t="shared" ca="1" si="178"/>
        <v>-11536.07</v>
      </c>
      <c r="AV62" s="33">
        <f t="shared" ca="1" si="179"/>
        <v>0.79240999999999995</v>
      </c>
      <c r="AW62" s="33">
        <f t="shared" si="187"/>
        <v>0.84240999999999999</v>
      </c>
      <c r="AX62" s="33">
        <f t="shared" ca="1" si="180"/>
        <v>0.67240999999999995</v>
      </c>
      <c r="BD62" s="13">
        <v>60</v>
      </c>
      <c r="BE62" s="19">
        <v>30</v>
      </c>
      <c r="BF62" s="36" t="s">
        <v>0</v>
      </c>
    </row>
    <row r="63" spans="26:58" ht="39.950000000000003" hidden="1" customHeight="1" x14ac:dyDescent="0.25">
      <c r="Z63" s="37">
        <v>0.44144099999999997</v>
      </c>
      <c r="AA63" s="37">
        <v>0.49964900000000001</v>
      </c>
      <c r="AB63" s="13" t="s">
        <v>0</v>
      </c>
      <c r="AC63" s="29">
        <v>6305.24</v>
      </c>
      <c r="AD63" s="14">
        <f t="shared" ca="1" si="169"/>
        <v>106363.90929044099</v>
      </c>
      <c r="AE63" s="14">
        <f t="shared" si="170"/>
        <v>40830</v>
      </c>
      <c r="AF63" s="14">
        <f t="shared" ca="1" si="181"/>
        <v>65533.909290440992</v>
      </c>
      <c r="AG63" s="14">
        <f t="shared" ca="1" si="171"/>
        <v>-497.40237151444717</v>
      </c>
      <c r="AH63" s="14">
        <f t="shared" ca="1" si="182"/>
        <v>106363.90929044099</v>
      </c>
      <c r="AI63" s="14">
        <f t="shared" si="172"/>
        <v>7800</v>
      </c>
      <c r="AJ63" s="14">
        <f t="shared" ca="1" si="173"/>
        <v>98563.909290440992</v>
      </c>
      <c r="AK63" s="14">
        <f t="shared" ca="1" si="183"/>
        <v>-13798.947300661741</v>
      </c>
      <c r="AL63" s="14">
        <f t="shared" ca="1" si="184"/>
        <v>-985.63909290440995</v>
      </c>
      <c r="AM63" s="14">
        <f t="shared" ca="1" si="174"/>
        <v>91579.322896874844</v>
      </c>
      <c r="AN63" s="14">
        <f t="shared" si="175"/>
        <v>10306.198401</v>
      </c>
      <c r="AO63" s="14">
        <f t="shared" ca="1" si="185"/>
        <v>81273.124495874843</v>
      </c>
      <c r="AP63" s="14">
        <f ca="1">SUM($AO$59:AO63)</f>
        <v>435812.33028455207</v>
      </c>
      <c r="AQ63" s="31">
        <f t="shared" ca="1" si="176"/>
        <v>0.27</v>
      </c>
      <c r="AR63" s="28">
        <f t="shared" ca="1" si="186"/>
        <v>1</v>
      </c>
      <c r="AS63" s="33">
        <f t="shared" ca="1" si="177"/>
        <v>0.23084492118973338</v>
      </c>
      <c r="AT63" s="14">
        <f t="shared" ca="1" si="188"/>
        <v>-18761.490000000002</v>
      </c>
      <c r="AU63" s="14">
        <f t="shared" ca="1" si="178"/>
        <v>-14550.160000000002</v>
      </c>
      <c r="AV63" s="33">
        <f t="shared" ca="1" si="179"/>
        <v>0.76156507881026669</v>
      </c>
      <c r="AW63" s="33">
        <f t="shared" si="187"/>
        <v>0.84240999999999999</v>
      </c>
      <c r="AX63" s="33">
        <f t="shared" ca="1" si="180"/>
        <v>0.64619181698872663</v>
      </c>
      <c r="BD63" s="13">
        <v>61</v>
      </c>
      <c r="BE63" s="19">
        <v>30.5</v>
      </c>
      <c r="BF63" s="36" t="s">
        <v>0</v>
      </c>
    </row>
    <row r="64" spans="26:58" ht="39.950000000000003" hidden="1" customHeight="1" x14ac:dyDescent="0.25">
      <c r="AC64" s="29">
        <v>5814.5</v>
      </c>
      <c r="AD64" s="14">
        <f t="shared" ca="1" si="169"/>
        <v>187396.33129544958</v>
      </c>
      <c r="AE64" s="14">
        <f t="shared" si="170"/>
        <v>40830</v>
      </c>
      <c r="AF64" s="14">
        <f t="shared" ca="1" si="181"/>
        <v>146566.33129544958</v>
      </c>
      <c r="AG64" s="14">
        <f t="shared" ca="1" si="171"/>
        <v>-1112.4384545324624</v>
      </c>
      <c r="AH64" s="14">
        <f t="shared" ca="1" si="182"/>
        <v>187396.33129544958</v>
      </c>
      <c r="AI64" s="14">
        <f t="shared" si="172"/>
        <v>7800</v>
      </c>
      <c r="AJ64" s="14">
        <f t="shared" ca="1" si="173"/>
        <v>179596.33129544958</v>
      </c>
      <c r="AK64" s="14">
        <f t="shared" ca="1" si="183"/>
        <v>-25143.486381362942</v>
      </c>
      <c r="AL64" s="14">
        <f t="shared" ca="1" si="184"/>
        <v>-1795.9633129544959</v>
      </c>
      <c r="AM64" s="14">
        <f t="shared" ca="1" si="174"/>
        <v>160456.88160113213</v>
      </c>
      <c r="AN64" s="14">
        <f t="shared" si="175"/>
        <v>10306.198401</v>
      </c>
      <c r="AO64" s="14">
        <f t="shared" ca="1" si="185"/>
        <v>150150.68320013213</v>
      </c>
      <c r="AP64" s="14">
        <f ca="1">SUM($AO$59:AO64)</f>
        <v>585963.01348468417</v>
      </c>
      <c r="AQ64" s="31">
        <f t="shared" ca="1" si="176"/>
        <v>0.27</v>
      </c>
      <c r="AR64" s="28">
        <f t="shared" ca="1" si="186"/>
        <v>0</v>
      </c>
      <c r="AS64" s="33">
        <f t="shared" ca="1" si="177"/>
        <v>0.27</v>
      </c>
      <c r="AT64" s="14">
        <f t="shared" ca="1" si="188"/>
        <v>-40540.68</v>
      </c>
      <c r="AU64" s="14">
        <f t="shared" ca="1" si="178"/>
        <v>-36329.35</v>
      </c>
      <c r="AV64" s="33">
        <f t="shared" ca="1" si="179"/>
        <v>0.72241</v>
      </c>
      <c r="AW64" s="33">
        <f t="shared" si="187"/>
        <v>0.84240999999999999</v>
      </c>
      <c r="AX64" s="33">
        <f t="shared" ca="1" si="180"/>
        <v>0.61290999999999995</v>
      </c>
      <c r="BD64" s="13">
        <v>62</v>
      </c>
      <c r="BE64" s="19">
        <v>31</v>
      </c>
      <c r="BF64" s="36" t="s">
        <v>0</v>
      </c>
    </row>
    <row r="65" spans="26:58" ht="39.950000000000003" hidden="1" customHeight="1" x14ac:dyDescent="0.25">
      <c r="Z65" s="23">
        <f>($Z$66*2)</f>
        <v>19000</v>
      </c>
      <c r="AA65" s="13" t="s">
        <v>0</v>
      </c>
      <c r="AB65" s="14">
        <f>($Z$61*$Z$65)</f>
        <v>26369.549000000003</v>
      </c>
      <c r="AC65" s="29">
        <v>3068</v>
      </c>
      <c r="AD65" s="14">
        <f t="shared" ca="1" si="169"/>
        <v>106838.46835608312</v>
      </c>
      <c r="AE65" s="14">
        <f t="shared" si="170"/>
        <v>40830</v>
      </c>
      <c r="AF65" s="14">
        <f t="shared" ca="1" si="181"/>
        <v>66008.468356083118</v>
      </c>
      <c r="AG65" s="14">
        <f t="shared" ca="1" si="171"/>
        <v>-501.00427482267088</v>
      </c>
      <c r="AH65" s="14">
        <f t="shared" ca="1" si="182"/>
        <v>106838.46835608312</v>
      </c>
      <c r="AI65" s="14">
        <f t="shared" si="172"/>
        <v>7800</v>
      </c>
      <c r="AJ65" s="14">
        <f t="shared" ca="1" si="173"/>
        <v>99038.468356083118</v>
      </c>
      <c r="AK65" s="14">
        <f t="shared" ca="1" si="183"/>
        <v>-13865.385569851638</v>
      </c>
      <c r="AL65" s="14">
        <f t="shared" ca="1" si="184"/>
        <v>-990.38468356083115</v>
      </c>
      <c r="AM65" s="14">
        <f t="shared" ca="1" si="174"/>
        <v>91982.698102670649</v>
      </c>
      <c r="AN65" s="14">
        <f t="shared" si="175"/>
        <v>10306.198401</v>
      </c>
      <c r="AO65" s="14">
        <f t="shared" ca="1" si="185"/>
        <v>81676.499701670647</v>
      </c>
      <c r="AP65" s="14">
        <f ca="1">SUM($AO$59:AO65)</f>
        <v>667639.51318635477</v>
      </c>
      <c r="AQ65" s="31">
        <f t="shared" ca="1" si="176"/>
        <v>0.27</v>
      </c>
      <c r="AR65" s="28">
        <f t="shared" ca="1" si="186"/>
        <v>0</v>
      </c>
      <c r="AS65" s="33">
        <f t="shared" ca="1" si="177"/>
        <v>0.27</v>
      </c>
      <c r="AT65" s="14">
        <f t="shared" ca="1" si="188"/>
        <v>-22052.65</v>
      </c>
      <c r="AU65" s="14">
        <f t="shared" ca="1" si="178"/>
        <v>-17514.900000000001</v>
      </c>
      <c r="AV65" s="33">
        <f t="shared" ca="1" si="179"/>
        <v>0.72241</v>
      </c>
      <c r="AW65" s="33">
        <f t="shared" si="187"/>
        <v>0.84240999999999999</v>
      </c>
      <c r="AX65" s="33">
        <f t="shared" ca="1" si="180"/>
        <v>0.61290999999999995</v>
      </c>
      <c r="BD65" s="13">
        <v>63</v>
      </c>
      <c r="BE65" s="19">
        <v>31.5</v>
      </c>
      <c r="BF65" s="36" t="s">
        <v>0</v>
      </c>
    </row>
    <row r="66" spans="26:58" ht="39.950000000000003" hidden="1" customHeight="1" x14ac:dyDescent="0.25">
      <c r="Z66" s="23">
        <f>(9500)</f>
        <v>9500</v>
      </c>
      <c r="AA66" s="13" t="s">
        <v>0</v>
      </c>
      <c r="AB66" s="14">
        <f>($Z$61*$Z$66)</f>
        <v>13184.774500000001</v>
      </c>
      <c r="AC66" s="29">
        <v>40701.5</v>
      </c>
      <c r="AD66" s="14">
        <f t="shared" ca="1" si="169"/>
        <v>107179.4645871774</v>
      </c>
      <c r="AE66" s="14">
        <f t="shared" si="170"/>
        <v>40830</v>
      </c>
      <c r="AF66" s="14">
        <f t="shared" ca="1" si="181"/>
        <v>66349.464587177397</v>
      </c>
      <c r="AG66" s="14">
        <f t="shared" ca="1" si="171"/>
        <v>-503.59243621667645</v>
      </c>
      <c r="AH66" s="14">
        <f t="shared" ca="1" si="182"/>
        <v>107179.4645871774</v>
      </c>
      <c r="AI66" s="14">
        <f t="shared" si="172"/>
        <v>7800</v>
      </c>
      <c r="AJ66" s="14">
        <f t="shared" ca="1" si="173"/>
        <v>99379.464587177397</v>
      </c>
      <c r="AK66" s="14">
        <f t="shared" ca="1" si="183"/>
        <v>-13913.125042204836</v>
      </c>
      <c r="AL66" s="14">
        <f t="shared" ca="1" si="184"/>
        <v>-993.79464587177404</v>
      </c>
      <c r="AM66" s="14">
        <f t="shared" ca="1" si="174"/>
        <v>92272.544899100787</v>
      </c>
      <c r="AN66" s="14">
        <f t="shared" si="175"/>
        <v>10306.198401</v>
      </c>
      <c r="AO66" s="14">
        <f t="shared" ca="1" si="185"/>
        <v>81966.346498100786</v>
      </c>
      <c r="AP66" s="14">
        <f ca="1">SUM($AO$59:AO66)</f>
        <v>749605.85968445556</v>
      </c>
      <c r="AQ66" s="31">
        <f t="shared" ca="1" si="176"/>
        <v>0.27</v>
      </c>
      <c r="AR66" s="28">
        <f t="shared" ca="1" si="186"/>
        <v>0</v>
      </c>
      <c r="AS66" s="33">
        <f t="shared" ca="1" si="177"/>
        <v>0.27</v>
      </c>
      <c r="AT66" s="14">
        <f t="shared" ca="1" si="188"/>
        <v>-22130.91</v>
      </c>
      <c r="AU66" s="14">
        <f t="shared" ca="1" si="178"/>
        <v>-16515.809999999998</v>
      </c>
      <c r="AV66" s="33">
        <f t="shared" ca="1" si="179"/>
        <v>0.72241</v>
      </c>
      <c r="AW66" s="33">
        <f t="shared" si="187"/>
        <v>0.84240999999999999</v>
      </c>
      <c r="AX66" s="33">
        <f t="shared" ca="1" si="180"/>
        <v>0.61290999999999995</v>
      </c>
      <c r="BD66" s="13">
        <v>64</v>
      </c>
      <c r="BE66" s="19">
        <v>32</v>
      </c>
      <c r="BF66" s="36" t="s">
        <v>0</v>
      </c>
    </row>
    <row r="67" spans="26:58" ht="39.950000000000003" hidden="1" customHeight="1" x14ac:dyDescent="0.25">
      <c r="AD67" s="14">
        <f t="shared" ca="1" si="169"/>
        <v>205653.17079717742</v>
      </c>
      <c r="AE67" s="14">
        <f t="shared" si="170"/>
        <v>40830</v>
      </c>
      <c r="AF67" s="14">
        <f t="shared" ca="1" si="181"/>
        <v>164823.17079717742</v>
      </c>
      <c r="AG67" s="14">
        <f t="shared" ca="1" si="171"/>
        <v>-1251.0078663505767</v>
      </c>
      <c r="AH67" s="14">
        <f t="shared" ca="1" si="182"/>
        <v>205653.17079717742</v>
      </c>
      <c r="AI67" s="14">
        <f t="shared" si="172"/>
        <v>7800</v>
      </c>
      <c r="AJ67" s="14">
        <f t="shared" ca="1" si="173"/>
        <v>197853.17079717742</v>
      </c>
      <c r="AK67" s="14">
        <f t="shared" ca="1" si="183"/>
        <v>-27699.443911604842</v>
      </c>
      <c r="AL67" s="14">
        <f t="shared" ca="1" si="184"/>
        <v>-1978.5317079717743</v>
      </c>
      <c r="AM67" s="14">
        <f t="shared" ca="1" si="174"/>
        <v>175975.19517760081</v>
      </c>
      <c r="AN67" s="14">
        <f t="shared" si="175"/>
        <v>10683.879000000001</v>
      </c>
      <c r="AO67" s="14">
        <f t="shared" ca="1" si="185"/>
        <v>165291.31617760082</v>
      </c>
      <c r="AP67" s="14">
        <f ca="1">SUM($AO$59:AO67)</f>
        <v>914897.17586205644</v>
      </c>
      <c r="AQ67" s="31">
        <f t="shared" ca="1" si="176"/>
        <v>0.27</v>
      </c>
      <c r="AR67" s="28">
        <f t="shared" ca="1" si="186"/>
        <v>0</v>
      </c>
      <c r="AS67" s="33">
        <f t="shared" ca="1" si="177"/>
        <v>0.27</v>
      </c>
      <c r="AT67" s="14">
        <f t="shared" ca="1" si="188"/>
        <v>-44628.66</v>
      </c>
      <c r="AU67" s="14">
        <f t="shared" ca="1" si="178"/>
        <v>-39013.560000000005</v>
      </c>
      <c r="AV67" s="33">
        <f t="shared" ca="1" si="179"/>
        <v>0.72241</v>
      </c>
      <c r="AW67" s="33">
        <f t="shared" si="187"/>
        <v>0.84240999999999999</v>
      </c>
      <c r="AX67" s="33">
        <f t="shared" ca="1" si="180"/>
        <v>0.61290999999999995</v>
      </c>
      <c r="BD67" s="13">
        <v>65</v>
      </c>
      <c r="BE67" s="19">
        <v>32.5</v>
      </c>
      <c r="BF67" s="36" t="s">
        <v>0</v>
      </c>
    </row>
    <row r="68" spans="26:58" ht="39.950000000000003" hidden="1" customHeight="1" x14ac:dyDescent="0.25">
      <c r="Z68" s="14">
        <v>12000</v>
      </c>
      <c r="AA68" s="13" t="s">
        <v>0</v>
      </c>
      <c r="AB68" s="13" t="s">
        <v>0</v>
      </c>
      <c r="AD68" s="14">
        <f t="shared" ca="1" si="169"/>
        <v>121121.08299717739</v>
      </c>
      <c r="AE68" s="14">
        <f t="shared" si="170"/>
        <v>40830</v>
      </c>
      <c r="AF68" s="14">
        <f t="shared" ca="1" si="181"/>
        <v>80291.082997177393</v>
      </c>
      <c r="AG68" s="14">
        <f t="shared" ca="1" si="171"/>
        <v>-609.40931994857647</v>
      </c>
      <c r="AH68" s="14">
        <f t="shared" ca="1" si="182"/>
        <v>121121.08299717739</v>
      </c>
      <c r="AI68" s="14">
        <f t="shared" si="172"/>
        <v>7800</v>
      </c>
      <c r="AJ68" s="14">
        <f t="shared" ca="1" si="173"/>
        <v>113321.08299717739</v>
      </c>
      <c r="AK68" s="14">
        <f t="shared" ca="1" si="183"/>
        <v>-15864.951619604837</v>
      </c>
      <c r="AL68" s="14">
        <f t="shared" ca="1" si="184"/>
        <v>-1133.210829971774</v>
      </c>
      <c r="AM68" s="14">
        <f t="shared" ca="1" si="174"/>
        <v>104122.92054760078</v>
      </c>
      <c r="AN68" s="14">
        <f t="shared" si="175"/>
        <v>10683.879000000001</v>
      </c>
      <c r="AO68" s="14">
        <f t="shared" ca="1" si="185"/>
        <v>93439.041547600777</v>
      </c>
      <c r="AP68" s="14">
        <f ca="1">SUM($AO$59:AO68)</f>
        <v>1008336.2174096572</v>
      </c>
      <c r="AQ68" s="31">
        <f t="shared" ca="1" si="176"/>
        <v>0.27</v>
      </c>
      <c r="AR68" s="28">
        <f t="shared" ca="1" si="186"/>
        <v>0</v>
      </c>
      <c r="AS68" s="33">
        <f t="shared" ca="1" si="177"/>
        <v>0.27</v>
      </c>
      <c r="AT68" s="14">
        <f t="shared" ca="1" si="188"/>
        <v>-25228.54</v>
      </c>
      <c r="AU68" s="14">
        <f t="shared" ca="1" si="178"/>
        <v>-19613.440000000002</v>
      </c>
      <c r="AV68" s="33">
        <f t="shared" ca="1" si="179"/>
        <v>0.72241</v>
      </c>
      <c r="AW68" s="33">
        <f t="shared" si="187"/>
        <v>0.84240999999999999</v>
      </c>
      <c r="AX68" s="33">
        <f t="shared" ca="1" si="180"/>
        <v>0.61290999999999995</v>
      </c>
      <c r="BD68" s="13">
        <v>66</v>
      </c>
      <c r="BE68" s="19">
        <v>33</v>
      </c>
      <c r="BF68" s="36" t="s">
        <v>0</v>
      </c>
    </row>
    <row r="69" spans="26:58" ht="39.950000000000003" hidden="1" customHeight="1" x14ac:dyDescent="0.25">
      <c r="Z69" s="14">
        <v>7000</v>
      </c>
      <c r="AA69" s="13" t="s">
        <v>0</v>
      </c>
      <c r="AB69" s="13" t="s">
        <v>0</v>
      </c>
      <c r="AD69" s="14">
        <f t="shared" ca="1" si="169"/>
        <v>117916.7729971774</v>
      </c>
      <c r="AE69" s="14">
        <f t="shared" si="170"/>
        <v>40830</v>
      </c>
      <c r="AF69" s="14">
        <f t="shared" ca="1" si="181"/>
        <v>77086.772997177395</v>
      </c>
      <c r="AG69" s="14">
        <f t="shared" ca="1" si="171"/>
        <v>-585.08860704857648</v>
      </c>
      <c r="AH69" s="14">
        <f t="shared" ca="1" si="182"/>
        <v>117916.7729971774</v>
      </c>
      <c r="AI69" s="14">
        <f t="shared" si="172"/>
        <v>7800</v>
      </c>
      <c r="AJ69" s="14">
        <f t="shared" ca="1" si="173"/>
        <v>110116.7729971774</v>
      </c>
      <c r="AK69" s="14">
        <f t="shared" ca="1" si="183"/>
        <v>-15416.348219604837</v>
      </c>
      <c r="AL69" s="14">
        <f t="shared" ca="1" si="184"/>
        <v>-1101.167729971774</v>
      </c>
      <c r="AM69" s="14">
        <f t="shared" ca="1" si="174"/>
        <v>101399.25704760078</v>
      </c>
      <c r="AN69" s="14">
        <f t="shared" si="175"/>
        <v>10683.879000000001</v>
      </c>
      <c r="AO69" s="14">
        <f t="shared" ca="1" si="185"/>
        <v>90715.378047600781</v>
      </c>
      <c r="AP69" s="14">
        <f ca="1">SUM($AO$59:AO69)</f>
        <v>1099051.5954572579</v>
      </c>
      <c r="AQ69" s="31">
        <f t="shared" ca="1" si="176"/>
        <v>0.27</v>
      </c>
      <c r="AR69" s="28">
        <f t="shared" ca="1" si="186"/>
        <v>0</v>
      </c>
      <c r="AS69" s="33">
        <f t="shared" ca="1" si="177"/>
        <v>0.27</v>
      </c>
      <c r="AT69" s="14">
        <f t="shared" ca="1" si="188"/>
        <v>-24493.15</v>
      </c>
      <c r="AU69" s="14">
        <f t="shared" ca="1" si="178"/>
        <v>-18878.050000000003</v>
      </c>
      <c r="AV69" s="33">
        <f t="shared" ca="1" si="179"/>
        <v>0.72241</v>
      </c>
      <c r="AW69" s="33">
        <f t="shared" si="187"/>
        <v>0.84240999999999999</v>
      </c>
      <c r="AX69" s="33">
        <f t="shared" ca="1" si="180"/>
        <v>0.61290999999999995</v>
      </c>
      <c r="BD69" s="13">
        <v>67</v>
      </c>
      <c r="BE69" s="19">
        <v>33.5</v>
      </c>
      <c r="BF69" s="36" t="s">
        <v>0</v>
      </c>
    </row>
    <row r="70" spans="26:58" ht="39.950000000000003" hidden="1" customHeight="1" x14ac:dyDescent="0.25">
      <c r="Z70" s="14">
        <v>3000</v>
      </c>
      <c r="AA70" s="13" t="s">
        <v>0</v>
      </c>
      <c r="AB70" s="13" t="s">
        <v>0</v>
      </c>
      <c r="AD70" s="14">
        <f t="shared" ca="1" si="169"/>
        <v>217250.3829971774</v>
      </c>
      <c r="AE70" s="14">
        <f t="shared" si="170"/>
        <v>40830</v>
      </c>
      <c r="AF70" s="14">
        <f t="shared" ca="1" si="181"/>
        <v>176420.3829971774</v>
      </c>
      <c r="AG70" s="14">
        <f t="shared" ca="1" si="171"/>
        <v>-1339.0307069485766</v>
      </c>
      <c r="AH70" s="14">
        <f t="shared" ca="1" si="182"/>
        <v>217250.3829971774</v>
      </c>
      <c r="AI70" s="14">
        <f t="shared" si="172"/>
        <v>7800</v>
      </c>
      <c r="AJ70" s="14">
        <f t="shared" ca="1" si="173"/>
        <v>209450.3829971774</v>
      </c>
      <c r="AK70" s="14">
        <f t="shared" ca="1" si="183"/>
        <v>-29323.053619604838</v>
      </c>
      <c r="AL70" s="14">
        <f t="shared" ca="1" si="184"/>
        <v>-2094.5038299717739</v>
      </c>
      <c r="AM70" s="14">
        <f t="shared" ca="1" si="174"/>
        <v>185832.82554760078</v>
      </c>
      <c r="AN70" s="14">
        <f t="shared" si="175"/>
        <v>10683.879000000001</v>
      </c>
      <c r="AO70" s="14">
        <f t="shared" ca="1" si="185"/>
        <v>175148.94654760079</v>
      </c>
      <c r="AP70" s="14">
        <f ca="1">SUM($AO$59:AO70)</f>
        <v>1274200.5420048586</v>
      </c>
      <c r="AQ70" s="31">
        <f t="shared" ca="1" si="176"/>
        <v>0.27</v>
      </c>
      <c r="AR70" s="28">
        <f t="shared" ca="1" si="186"/>
        <v>0</v>
      </c>
      <c r="AS70" s="33">
        <f t="shared" ca="1" si="177"/>
        <v>0.27</v>
      </c>
      <c r="AT70" s="14">
        <f t="shared" ca="1" si="188"/>
        <v>-47290.22</v>
      </c>
      <c r="AU70" s="14">
        <f t="shared" ca="1" si="178"/>
        <v>-41675.120000000003</v>
      </c>
      <c r="AV70" s="33">
        <f t="shared" ca="1" si="179"/>
        <v>0.72241</v>
      </c>
      <c r="AW70" s="33">
        <f t="shared" si="187"/>
        <v>0.84240999999999999</v>
      </c>
      <c r="AX70" s="33">
        <f t="shared" ca="1" si="180"/>
        <v>0.61290999999999995</v>
      </c>
      <c r="BD70" s="13">
        <v>68</v>
      </c>
      <c r="BE70" s="19">
        <v>34</v>
      </c>
      <c r="BF70" s="36" t="s">
        <v>0</v>
      </c>
    </row>
    <row r="71" spans="26:58" ht="39.950000000000003" hidden="1" customHeight="1" x14ac:dyDescent="0.25">
      <c r="AB71" s="13" t="s">
        <v>1</v>
      </c>
      <c r="AD71" s="14">
        <f t="shared" ref="AD71:AE71" ca="1" si="189">(AD59+AD60+AD61+AD62+AD63+AD64+AD65+AD66+AD67+AD68+AD69+AD70)</f>
        <v>1626506.6216598339</v>
      </c>
      <c r="AE71" s="14">
        <f t="shared" si="189"/>
        <v>487560</v>
      </c>
      <c r="AF71" s="14">
        <f t="shared" ref="AF71" ca="1" si="190">(AF59+AF60+AF61+AF62+AF63+AF64+AF65+AF66+AF67+AF68+AF69+AF70)</f>
        <v>1138946.6216598339</v>
      </c>
      <c r="AG71" s="14">
        <f t="shared" ref="AG71" ca="1" si="191">(AG59+AG60+AG61+AG62+AG63+AG64+AG65+AG66+AG67+AG68+AG69+AG70)</f>
        <v>-8644.6048583981392</v>
      </c>
      <c r="AH71" s="14">
        <f t="shared" ref="AH71" ca="1" si="192">(AH59+AH60+AH61+AH62+AH63+AH64+AH65+AH66+AH67+AH68+AH69+AH70)</f>
        <v>1626506.6216598339</v>
      </c>
      <c r="AI71" s="14">
        <f t="shared" ref="AI71" si="193">(AI59+AI60+AI61+AI62+AI63+AI64+AI65+AI66+AI67+AI68+AI69+AI70)</f>
        <v>91200</v>
      </c>
      <c r="AJ71" s="14">
        <f t="shared" ref="AJ71" ca="1" si="194">(AJ59+AJ60+AJ61+AJ62+AJ63+AJ64+AJ65+AJ66+AJ67+AJ68+AJ69+AJ70)</f>
        <v>1535306.6216598339</v>
      </c>
      <c r="AK71" s="14">
        <f t="shared" ref="AK71" ca="1" si="195">(AK59+AK60+AK61+AK62+AK63+AK64+AK65+AK66+AK67+AK68+AK69+AK70)</f>
        <v>-214942.92703237679</v>
      </c>
      <c r="AL71" s="14">
        <f t="shared" ref="AL71" ca="1" si="196">(AL59+AL60+AL61+AL62+AL63+AL64+AL65+AL66+AL67+AL68+AL69+AL70)</f>
        <v>-15353.066216598339</v>
      </c>
      <c r="AM71" s="14">
        <f t="shared" ref="AM71:AO71" ca="1" si="197">(AM59+AM60+AM61+AM62+AM63+AM64+AM65+AM66+AM67+AM68+AM69+AM70)</f>
        <v>1396210.6284108588</v>
      </c>
      <c r="AN71" s="14">
        <f t="shared" ref="AN71" si="198">(AN59+AN60+AN61+AN62+AN63+AN64+AN65+AN66+AN67+AN68+AN69+AN70)</f>
        <v>122010.086406</v>
      </c>
      <c r="AO71" s="14">
        <f t="shared" ca="1" si="197"/>
        <v>1274200.5420048586</v>
      </c>
      <c r="AP71" s="23" t="s">
        <v>0</v>
      </c>
      <c r="AQ71" s="13" t="s">
        <v>0</v>
      </c>
      <c r="AR71" s="13" t="s">
        <v>0</v>
      </c>
      <c r="AS71" s="30">
        <f t="shared" ref="AS71:AT71" ca="1" si="199">(AS59+AS60+AS61+AS62+AS63+AS64+AS65+AS66+AS67+AS68+AS69+AS70)</f>
        <v>2.8004955285321191</v>
      </c>
      <c r="AT71" s="14">
        <f t="shared" ca="1" si="199"/>
        <v>-306534.15000000002</v>
      </c>
      <c r="AU71" s="14">
        <f t="shared" ref="AU71" ca="1" si="200">(AU59+AU60+AU61+AU62+AU63+AU64+AU65+AU66+AU67+AU68+AU69+AU70)</f>
        <v>-248652.91999999998</v>
      </c>
      <c r="AV71" s="13" t="s">
        <v>0</v>
      </c>
      <c r="AW71" s="13" t="s">
        <v>0</v>
      </c>
      <c r="AX71" s="13" t="s">
        <v>0</v>
      </c>
      <c r="BD71" s="13">
        <v>69</v>
      </c>
      <c r="BE71" s="19">
        <v>34.5</v>
      </c>
      <c r="BF71" s="36" t="s">
        <v>0</v>
      </c>
    </row>
    <row r="72" spans="26:58" ht="39.950000000000003" hidden="1" customHeight="1" x14ac:dyDescent="0.25">
      <c r="AB72" s="28" t="s">
        <v>49</v>
      </c>
      <c r="AD72" s="14">
        <f t="shared" ref="AD72:AE72" ca="1" si="201">(AD71/12)</f>
        <v>135542.21847165283</v>
      </c>
      <c r="AE72" s="14">
        <f t="shared" si="201"/>
        <v>40630</v>
      </c>
      <c r="AF72" s="14">
        <f t="shared" ref="AF72" ca="1" si="202">(AF71/12)</f>
        <v>94912.218471652828</v>
      </c>
      <c r="AG72" s="14">
        <f t="shared" ref="AG72" ca="1" si="203">(AG71/12)</f>
        <v>-720.38373819984497</v>
      </c>
      <c r="AH72" s="14">
        <f t="shared" ref="AH72" ca="1" si="204">(AH71/12)</f>
        <v>135542.21847165283</v>
      </c>
      <c r="AI72" s="14">
        <f t="shared" ref="AI72" si="205">(AI71/12)</f>
        <v>7600</v>
      </c>
      <c r="AJ72" s="14">
        <f t="shared" ref="AJ72" ca="1" si="206">(AJ71/12)</f>
        <v>127942.21847165283</v>
      </c>
      <c r="AK72" s="14">
        <f t="shared" ref="AK72" ca="1" si="207">(AK71/12)</f>
        <v>-17911.910586031398</v>
      </c>
      <c r="AL72" s="14">
        <f t="shared" ref="AL72" ca="1" si="208">(AL71/12)</f>
        <v>-1279.4221847165284</v>
      </c>
      <c r="AM72" s="14">
        <f t="shared" ref="AM72:AO72" ca="1" si="209">(AM71/12)</f>
        <v>116350.8857009049</v>
      </c>
      <c r="AN72" s="14">
        <f t="shared" ref="AN72" si="210">(AN71/12)</f>
        <v>10167.5072005</v>
      </c>
      <c r="AO72" s="14">
        <f t="shared" ca="1" si="209"/>
        <v>106183.37850040488</v>
      </c>
      <c r="AP72" s="23" t="s">
        <v>0</v>
      </c>
      <c r="AQ72" s="23" t="s">
        <v>0</v>
      </c>
      <c r="AR72" s="23" t="s">
        <v>0</v>
      </c>
      <c r="AS72" s="30">
        <f t="shared" ref="AS72:AT72" ca="1" si="211">(AS71/12)</f>
        <v>0.23337462737767659</v>
      </c>
      <c r="AT72" s="14">
        <f t="shared" ca="1" si="211"/>
        <v>-25544.512500000001</v>
      </c>
      <c r="AU72" s="14">
        <f t="shared" ref="AU72" ca="1" si="212">(AU71/12)</f>
        <v>-20721.076666666664</v>
      </c>
      <c r="AV72" s="23" t="s">
        <v>0</v>
      </c>
      <c r="AW72" s="23" t="s">
        <v>0</v>
      </c>
      <c r="AX72" s="23" t="s">
        <v>0</v>
      </c>
      <c r="BD72" s="13">
        <v>70</v>
      </c>
      <c r="BE72" s="19">
        <v>35</v>
      </c>
      <c r="BF72" s="36" t="s">
        <v>0</v>
      </c>
    </row>
    <row r="73" spans="26:58" ht="39.950000000000003" hidden="1" customHeight="1" x14ac:dyDescent="0.25">
      <c r="AB73" s="28" t="s">
        <v>58</v>
      </c>
      <c r="BD73" s="13">
        <v>71</v>
      </c>
      <c r="BE73" s="19">
        <v>35.5</v>
      </c>
      <c r="BF73" s="36" t="s">
        <v>0</v>
      </c>
    </row>
    <row r="74" spans="26:58" ht="39.950000000000003" hidden="1" customHeight="1" x14ac:dyDescent="0.25">
      <c r="AB74" s="28" t="s">
        <v>59</v>
      </c>
      <c r="BD74" s="13">
        <v>72</v>
      </c>
      <c r="BE74" s="19">
        <v>36</v>
      </c>
      <c r="BF74" s="36" t="s">
        <v>0</v>
      </c>
    </row>
    <row r="75" spans="26:58" ht="39.950000000000003" hidden="1" customHeight="1" x14ac:dyDescent="0.25">
      <c r="AB75" s="28" t="s">
        <v>60</v>
      </c>
      <c r="BD75" s="13">
        <v>73</v>
      </c>
      <c r="BE75" s="19">
        <v>36.5</v>
      </c>
      <c r="BF75" s="36" t="s">
        <v>0</v>
      </c>
    </row>
    <row r="76" spans="26:58" ht="39.950000000000003" hidden="1" customHeight="1" x14ac:dyDescent="0.25">
      <c r="AB76" s="28" t="s">
        <v>61</v>
      </c>
      <c r="BD76" s="13">
        <v>74</v>
      </c>
      <c r="BE76" s="19">
        <v>37</v>
      </c>
      <c r="BF76" s="36" t="s">
        <v>0</v>
      </c>
    </row>
    <row r="77" spans="26:58" ht="39.950000000000003" hidden="1" customHeight="1" x14ac:dyDescent="0.25">
      <c r="AB77" s="28" t="s">
        <v>2</v>
      </c>
      <c r="BD77" s="13">
        <v>75</v>
      </c>
      <c r="BE77" s="19">
        <v>37.5</v>
      </c>
      <c r="BF77" s="36" t="s">
        <v>0</v>
      </c>
    </row>
    <row r="78" spans="26:58" ht="39.950000000000003" hidden="1" customHeight="1" x14ac:dyDescent="0.25">
      <c r="AB78" s="28" t="s">
        <v>64</v>
      </c>
      <c r="BD78" s="13">
        <v>76</v>
      </c>
      <c r="BE78" s="19">
        <v>38</v>
      </c>
      <c r="BF78" s="36" t="s">
        <v>0</v>
      </c>
    </row>
    <row r="79" spans="26:58" ht="39.950000000000003" hidden="1" customHeight="1" x14ac:dyDescent="0.25">
      <c r="AB79" s="28" t="s">
        <v>65</v>
      </c>
      <c r="BD79" s="13">
        <v>77</v>
      </c>
      <c r="BE79" s="19">
        <v>38.5</v>
      </c>
      <c r="BF79" s="36" t="s">
        <v>0</v>
      </c>
    </row>
    <row r="80" spans="26:58" ht="39.950000000000003" hidden="1" customHeight="1" x14ac:dyDescent="0.25">
      <c r="AB80" s="28" t="s">
        <v>66</v>
      </c>
      <c r="BD80" s="13">
        <v>78</v>
      </c>
      <c r="BE80" s="19">
        <v>39</v>
      </c>
      <c r="BF80" s="36" t="s">
        <v>0</v>
      </c>
    </row>
    <row r="81" spans="28:58" ht="39.950000000000003" hidden="1" customHeight="1" x14ac:dyDescent="0.25">
      <c r="AB81" s="28" t="s">
        <v>67</v>
      </c>
      <c r="BD81" s="13">
        <v>79</v>
      </c>
      <c r="BE81" s="19">
        <v>39.5</v>
      </c>
      <c r="BF81" s="36" t="s">
        <v>0</v>
      </c>
    </row>
    <row r="82" spans="28:58" ht="39.950000000000003" hidden="1" customHeight="1" x14ac:dyDescent="0.25">
      <c r="AB82" s="28" t="s">
        <v>62</v>
      </c>
      <c r="BD82" s="13">
        <v>80</v>
      </c>
      <c r="BE82" s="19">
        <v>40</v>
      </c>
      <c r="BF82" s="36" t="s">
        <v>0</v>
      </c>
    </row>
    <row r="83" spans="28:58" ht="39.950000000000003" hidden="1" customHeight="1" x14ac:dyDescent="0.25">
      <c r="AB83" s="28" t="s">
        <v>63</v>
      </c>
      <c r="BD83" s="13">
        <v>81</v>
      </c>
      <c r="BE83" s="19">
        <v>40.5</v>
      </c>
      <c r="BF83" s="36" t="s">
        <v>0</v>
      </c>
    </row>
    <row r="84" spans="28:58" ht="39.950000000000003" hidden="1" customHeight="1" x14ac:dyDescent="0.25">
      <c r="AB84" s="28" t="s">
        <v>8</v>
      </c>
      <c r="BD84" s="13">
        <v>82</v>
      </c>
      <c r="BE84" s="19">
        <v>41</v>
      </c>
      <c r="BF84" s="36" t="s">
        <v>0</v>
      </c>
    </row>
    <row r="85" spans="28:58" ht="39.950000000000003" hidden="1" customHeight="1" x14ac:dyDescent="0.25">
      <c r="AB85" s="28" t="s">
        <v>35</v>
      </c>
      <c r="BD85" s="13">
        <v>83</v>
      </c>
      <c r="BE85" s="19">
        <v>41.5</v>
      </c>
      <c r="BF85" s="36" t="s">
        <v>0</v>
      </c>
    </row>
    <row r="86" spans="28:58" ht="39.950000000000003" hidden="1" customHeight="1" x14ac:dyDescent="0.25">
      <c r="AB86" s="28" t="s">
        <v>23</v>
      </c>
      <c r="BD86" s="13">
        <v>84</v>
      </c>
      <c r="BE86" s="19">
        <v>42</v>
      </c>
      <c r="BF86" s="36" t="s">
        <v>0</v>
      </c>
    </row>
    <row r="87" spans="28:58" ht="39.950000000000003" hidden="1" customHeight="1" x14ac:dyDescent="0.25">
      <c r="BD87" s="13">
        <v>85</v>
      </c>
      <c r="BE87" s="19">
        <v>42.5</v>
      </c>
      <c r="BF87" s="36" t="s">
        <v>0</v>
      </c>
    </row>
    <row r="88" spans="28:58" ht="39.950000000000003" hidden="1" customHeight="1" x14ac:dyDescent="0.25">
      <c r="BD88" s="13">
        <v>86</v>
      </c>
      <c r="BE88" s="19">
        <v>43</v>
      </c>
      <c r="BF88" s="36" t="s">
        <v>0</v>
      </c>
    </row>
    <row r="89" spans="28:58" ht="39.950000000000003" hidden="1" customHeight="1" x14ac:dyDescent="0.25">
      <c r="BD89" s="13">
        <v>87</v>
      </c>
      <c r="BE89" s="19">
        <v>43.5</v>
      </c>
      <c r="BF89" s="36" t="s">
        <v>0</v>
      </c>
    </row>
    <row r="90" spans="28:58" ht="39.950000000000003" hidden="1" customHeight="1" x14ac:dyDescent="0.25">
      <c r="BD90" s="13">
        <v>88</v>
      </c>
      <c r="BE90" s="19">
        <v>44</v>
      </c>
      <c r="BF90" s="36" t="s">
        <v>0</v>
      </c>
    </row>
    <row r="91" spans="28:58" ht="39.950000000000003" hidden="1" customHeight="1" x14ac:dyDescent="0.25">
      <c r="BD91" s="13">
        <v>89</v>
      </c>
      <c r="BE91" s="19">
        <v>44.5</v>
      </c>
      <c r="BF91" s="36" t="s">
        <v>0</v>
      </c>
    </row>
    <row r="92" spans="28:58" ht="39.950000000000003" hidden="1" customHeight="1" x14ac:dyDescent="0.25">
      <c r="BD92" s="13">
        <v>90</v>
      </c>
      <c r="BE92" s="19">
        <v>45</v>
      </c>
      <c r="BF92" s="36" t="s">
        <v>0</v>
      </c>
    </row>
    <row r="93" spans="28:58" ht="39.950000000000003" hidden="1" customHeight="1" x14ac:dyDescent="0.25">
      <c r="BD93" s="13">
        <v>91</v>
      </c>
      <c r="BE93" s="19">
        <v>45.5</v>
      </c>
      <c r="BF93" s="36" t="s">
        <v>0</v>
      </c>
    </row>
    <row r="94" spans="28:58" ht="39.950000000000003" hidden="1" customHeight="1" x14ac:dyDescent="0.25">
      <c r="BD94" s="13">
        <v>92</v>
      </c>
      <c r="BE94" s="19">
        <v>46</v>
      </c>
      <c r="BF94" s="36" t="s">
        <v>0</v>
      </c>
    </row>
    <row r="95" spans="28:58" ht="39.950000000000003" hidden="1" customHeight="1" x14ac:dyDescent="0.25">
      <c r="BD95" s="13">
        <v>93</v>
      </c>
      <c r="BE95" s="19">
        <v>46.5</v>
      </c>
      <c r="BF95" s="36" t="s">
        <v>0</v>
      </c>
    </row>
    <row r="96" spans="28:58" ht="39.950000000000003" hidden="1" customHeight="1" x14ac:dyDescent="0.25">
      <c r="BD96" s="13">
        <v>94</v>
      </c>
      <c r="BE96" s="19">
        <v>47</v>
      </c>
      <c r="BF96" s="36" t="s">
        <v>0</v>
      </c>
    </row>
    <row r="97" spans="56:58" ht="39.950000000000003" hidden="1" customHeight="1" x14ac:dyDescent="0.25">
      <c r="BD97" s="13">
        <v>95</v>
      </c>
      <c r="BE97" s="19">
        <v>47.5</v>
      </c>
      <c r="BF97" s="36" t="s">
        <v>0</v>
      </c>
    </row>
    <row r="98" spans="56:58" ht="39.950000000000003" hidden="1" customHeight="1" x14ac:dyDescent="0.25">
      <c r="BD98" s="13">
        <v>96</v>
      </c>
      <c r="BE98" s="19">
        <v>48</v>
      </c>
      <c r="BF98" s="36" t="s">
        <v>0</v>
      </c>
    </row>
    <row r="99" spans="56:58" ht="39.950000000000003" hidden="1" customHeight="1" x14ac:dyDescent="0.25">
      <c r="BD99" s="13">
        <v>97</v>
      </c>
      <c r="BE99" s="19">
        <v>48.5</v>
      </c>
      <c r="BF99" s="36" t="s">
        <v>0</v>
      </c>
    </row>
    <row r="100" spans="56:58" ht="39.950000000000003" hidden="1" customHeight="1" x14ac:dyDescent="0.25">
      <c r="BD100" s="13">
        <v>98</v>
      </c>
      <c r="BE100" s="19">
        <v>49</v>
      </c>
      <c r="BF100" s="36" t="s">
        <v>0</v>
      </c>
    </row>
    <row r="101" spans="56:58" ht="39.950000000000003" hidden="1" customHeight="1" x14ac:dyDescent="0.25">
      <c r="BD101" s="13">
        <v>99</v>
      </c>
      <c r="BE101" s="19">
        <v>49.5</v>
      </c>
      <c r="BF101" s="36" t="s">
        <v>0</v>
      </c>
    </row>
    <row r="102" spans="56:58" ht="39.950000000000003" hidden="1" customHeight="1" x14ac:dyDescent="0.25">
      <c r="BD102" s="13">
        <v>100</v>
      </c>
      <c r="BE102" s="19">
        <v>50</v>
      </c>
      <c r="BF102" s="36" t="s">
        <v>0</v>
      </c>
    </row>
    <row r="103" spans="56:58" ht="39.950000000000003" hidden="1" customHeight="1" x14ac:dyDescent="0.25">
      <c r="BD103" s="13">
        <v>101</v>
      </c>
      <c r="BE103" s="19">
        <v>50.5</v>
      </c>
      <c r="BF103" s="36" t="s">
        <v>0</v>
      </c>
    </row>
    <row r="104" spans="56:58" ht="39.950000000000003" hidden="1" customHeight="1" x14ac:dyDescent="0.25">
      <c r="BD104" s="13">
        <v>102</v>
      </c>
      <c r="BE104" s="19">
        <v>51</v>
      </c>
      <c r="BF104" s="36" t="s">
        <v>0</v>
      </c>
    </row>
    <row r="105" spans="56:58" ht="39.950000000000003" hidden="1" customHeight="1" x14ac:dyDescent="0.25">
      <c r="BD105" s="13">
        <v>103</v>
      </c>
      <c r="BE105" s="19">
        <v>51.5</v>
      </c>
      <c r="BF105" s="36" t="s">
        <v>0</v>
      </c>
    </row>
    <row r="106" spans="56:58" ht="39.950000000000003" hidden="1" customHeight="1" x14ac:dyDescent="0.25">
      <c r="BD106" s="13">
        <v>104</v>
      </c>
      <c r="BE106" s="19">
        <v>52</v>
      </c>
      <c r="BF106" s="36" t="s">
        <v>0</v>
      </c>
    </row>
    <row r="107" spans="56:58" ht="39.950000000000003" hidden="1" customHeight="1" x14ac:dyDescent="0.25">
      <c r="BD107" s="13">
        <v>105</v>
      </c>
      <c r="BE107" s="19">
        <v>52.5</v>
      </c>
      <c r="BF107" s="36" t="s">
        <v>0</v>
      </c>
    </row>
    <row r="108" spans="56:58" ht="39.950000000000003" hidden="1" customHeight="1" x14ac:dyDescent="0.25">
      <c r="BD108" s="13">
        <v>106</v>
      </c>
      <c r="BE108" s="19">
        <v>53</v>
      </c>
      <c r="BF108" s="36" t="s">
        <v>0</v>
      </c>
    </row>
    <row r="109" spans="56:58" ht="39.950000000000003" hidden="1" customHeight="1" x14ac:dyDescent="0.25">
      <c r="BD109" s="13">
        <v>107</v>
      </c>
      <c r="BE109" s="19">
        <v>53.5</v>
      </c>
      <c r="BF109" s="36" t="s">
        <v>0</v>
      </c>
    </row>
    <row r="110" spans="56:58" ht="39.950000000000003" hidden="1" customHeight="1" x14ac:dyDescent="0.25">
      <c r="BD110" s="13">
        <v>108</v>
      </c>
      <c r="BE110" s="19">
        <v>54</v>
      </c>
      <c r="BF110" s="36" t="s">
        <v>0</v>
      </c>
    </row>
    <row r="111" spans="56:58" ht="39.950000000000003" hidden="1" customHeight="1" x14ac:dyDescent="0.25">
      <c r="BD111" s="13">
        <v>109</v>
      </c>
      <c r="BE111" s="19">
        <v>54.5</v>
      </c>
      <c r="BF111" s="36" t="s">
        <v>0</v>
      </c>
    </row>
    <row r="112" spans="56:58" ht="39.950000000000003" hidden="1" customHeight="1" x14ac:dyDescent="0.25">
      <c r="BD112" s="13">
        <v>110</v>
      </c>
      <c r="BE112" s="19">
        <v>55</v>
      </c>
      <c r="BF112" s="36" t="s">
        <v>0</v>
      </c>
    </row>
    <row r="113" spans="56:58" ht="39.950000000000003" hidden="1" customHeight="1" x14ac:dyDescent="0.25">
      <c r="BD113" s="13">
        <v>111</v>
      </c>
      <c r="BE113" s="19">
        <v>55.5</v>
      </c>
      <c r="BF113" s="36" t="s">
        <v>0</v>
      </c>
    </row>
    <row r="114" spans="56:58" ht="39.950000000000003" hidden="1" customHeight="1" x14ac:dyDescent="0.25">
      <c r="BD114" s="13">
        <v>112</v>
      </c>
      <c r="BE114" s="19">
        <v>56</v>
      </c>
      <c r="BF114" s="36" t="s">
        <v>0</v>
      </c>
    </row>
    <row r="115" spans="56:58" ht="39.950000000000003" hidden="1" customHeight="1" x14ac:dyDescent="0.25">
      <c r="BD115" s="13">
        <v>113</v>
      </c>
      <c r="BE115" s="19">
        <v>56.5</v>
      </c>
      <c r="BF115" s="36" t="s">
        <v>0</v>
      </c>
    </row>
    <row r="116" spans="56:58" ht="39.950000000000003" hidden="1" customHeight="1" x14ac:dyDescent="0.25">
      <c r="BD116" s="13">
        <v>114</v>
      </c>
      <c r="BE116" s="19">
        <v>57</v>
      </c>
      <c r="BF116" s="36" t="s">
        <v>0</v>
      </c>
    </row>
    <row r="117" spans="56:58" ht="39.950000000000003" hidden="1" customHeight="1" x14ac:dyDescent="0.25">
      <c r="BD117" s="13">
        <v>115</v>
      </c>
      <c r="BE117" s="19">
        <v>57.5</v>
      </c>
      <c r="BF117" s="36" t="s">
        <v>0</v>
      </c>
    </row>
    <row r="118" spans="56:58" ht="39.950000000000003" hidden="1" customHeight="1" x14ac:dyDescent="0.25">
      <c r="BD118" s="13">
        <v>116</v>
      </c>
      <c r="BE118" s="19">
        <v>58</v>
      </c>
      <c r="BF118" s="36" t="s">
        <v>0</v>
      </c>
    </row>
    <row r="119" spans="56:58" ht="39.950000000000003" hidden="1" customHeight="1" x14ac:dyDescent="0.25">
      <c r="BD119" s="13">
        <v>117</v>
      </c>
      <c r="BE119" s="19">
        <v>58.5</v>
      </c>
      <c r="BF119" s="36" t="s">
        <v>0</v>
      </c>
    </row>
    <row r="120" spans="56:58" ht="39.950000000000003" hidden="1" customHeight="1" x14ac:dyDescent="0.25">
      <c r="BD120" s="13">
        <v>118</v>
      </c>
      <c r="BE120" s="19">
        <v>59</v>
      </c>
      <c r="BF120" s="36" t="s">
        <v>0</v>
      </c>
    </row>
    <row r="121" spans="56:58" ht="39.950000000000003" hidden="1" customHeight="1" x14ac:dyDescent="0.25">
      <c r="BD121" s="13">
        <v>119</v>
      </c>
      <c r="BE121" s="19">
        <v>59.5</v>
      </c>
      <c r="BF121" s="36" t="s">
        <v>0</v>
      </c>
    </row>
    <row r="122" spans="56:58" ht="39.950000000000003" hidden="1" customHeight="1" x14ac:dyDescent="0.25">
      <c r="BD122" s="13">
        <v>120</v>
      </c>
      <c r="BE122" s="19">
        <v>60</v>
      </c>
      <c r="BF122" s="36" t="s">
        <v>0</v>
      </c>
    </row>
    <row r="123" spans="56:58" ht="39.950000000000003" hidden="1" customHeight="1" x14ac:dyDescent="0.25">
      <c r="BD123" s="13">
        <v>121</v>
      </c>
      <c r="BE123" s="19">
        <v>60.5</v>
      </c>
      <c r="BF123" s="36" t="s">
        <v>0</v>
      </c>
    </row>
    <row r="124" spans="56:58" ht="39.950000000000003" hidden="1" customHeight="1" x14ac:dyDescent="0.25">
      <c r="BD124" s="13">
        <v>122</v>
      </c>
      <c r="BE124" s="19">
        <v>61</v>
      </c>
      <c r="BF124" s="36" t="s">
        <v>0</v>
      </c>
    </row>
    <row r="125" spans="56:58" ht="39.950000000000003" hidden="1" customHeight="1" x14ac:dyDescent="0.25">
      <c r="BD125" s="13">
        <v>123</v>
      </c>
      <c r="BE125" s="19">
        <v>61.5</v>
      </c>
      <c r="BF125" s="36" t="s">
        <v>0</v>
      </c>
    </row>
    <row r="126" spans="56:58" ht="39.950000000000003" hidden="1" customHeight="1" x14ac:dyDescent="0.25">
      <c r="BD126" s="13">
        <v>124</v>
      </c>
      <c r="BE126" s="19">
        <v>62</v>
      </c>
      <c r="BF126" s="36" t="s">
        <v>0</v>
      </c>
    </row>
    <row r="127" spans="56:58" ht="39.950000000000003" hidden="1" customHeight="1" x14ac:dyDescent="0.25">
      <c r="BD127" s="13">
        <v>125</v>
      </c>
      <c r="BE127" s="19">
        <v>62.5</v>
      </c>
      <c r="BF127" s="36" t="s">
        <v>0</v>
      </c>
    </row>
    <row r="128" spans="56:58" ht="39.950000000000003" hidden="1" customHeight="1" x14ac:dyDescent="0.25">
      <c r="BD128" s="13">
        <v>126</v>
      </c>
      <c r="BE128" s="19">
        <v>63</v>
      </c>
      <c r="BF128" s="36" t="s">
        <v>0</v>
      </c>
    </row>
    <row r="129" spans="56:58" ht="39.950000000000003" hidden="1" customHeight="1" x14ac:dyDescent="0.25">
      <c r="BD129" s="13">
        <v>127</v>
      </c>
      <c r="BE129" s="19">
        <v>63.5</v>
      </c>
      <c r="BF129" s="36" t="s">
        <v>0</v>
      </c>
    </row>
    <row r="130" spans="56:58" ht="39.950000000000003" hidden="1" customHeight="1" x14ac:dyDescent="0.25">
      <c r="BD130" s="13">
        <v>128</v>
      </c>
      <c r="BE130" s="19">
        <v>64</v>
      </c>
      <c r="BF130" s="36" t="s">
        <v>0</v>
      </c>
    </row>
    <row r="131" spans="56:58" ht="39.950000000000003" hidden="1" customHeight="1" x14ac:dyDescent="0.25">
      <c r="BD131" s="13">
        <v>129</v>
      </c>
      <c r="BE131" s="19">
        <v>64.5</v>
      </c>
      <c r="BF131" s="36" t="s">
        <v>0</v>
      </c>
    </row>
    <row r="132" spans="56:58" ht="39.950000000000003" hidden="1" customHeight="1" x14ac:dyDescent="0.25">
      <c r="BD132" s="13">
        <v>130</v>
      </c>
      <c r="BE132" s="19">
        <v>65</v>
      </c>
      <c r="BF132" s="36" t="s">
        <v>0</v>
      </c>
    </row>
    <row r="133" spans="56:58" ht="39.950000000000003" hidden="1" customHeight="1" x14ac:dyDescent="0.25">
      <c r="BD133" s="13">
        <v>131</v>
      </c>
      <c r="BE133" s="19">
        <v>65.5</v>
      </c>
      <c r="BF133" s="36" t="s">
        <v>0</v>
      </c>
    </row>
    <row r="134" spans="56:58" ht="39.950000000000003" hidden="1" customHeight="1" x14ac:dyDescent="0.25">
      <c r="BD134" s="13">
        <v>132</v>
      </c>
      <c r="BE134" s="19">
        <v>66</v>
      </c>
      <c r="BF134" s="36" t="s">
        <v>0</v>
      </c>
    </row>
    <row r="135" spans="56:58" ht="39.950000000000003" hidden="1" customHeight="1" x14ac:dyDescent="0.25">
      <c r="BD135" s="13">
        <v>133</v>
      </c>
      <c r="BE135" s="19">
        <v>66.5</v>
      </c>
      <c r="BF135" s="36" t="s">
        <v>0</v>
      </c>
    </row>
    <row r="136" spans="56:58" ht="39.950000000000003" hidden="1" customHeight="1" x14ac:dyDescent="0.25">
      <c r="BD136" s="13">
        <v>134</v>
      </c>
      <c r="BE136" s="19">
        <v>67</v>
      </c>
      <c r="BF136" s="36" t="s">
        <v>0</v>
      </c>
    </row>
    <row r="137" spans="56:58" ht="39.950000000000003" hidden="1" customHeight="1" x14ac:dyDescent="0.25">
      <c r="BD137" s="13">
        <v>135</v>
      </c>
      <c r="BE137" s="19">
        <v>67.5</v>
      </c>
      <c r="BF137" s="36" t="s">
        <v>0</v>
      </c>
    </row>
    <row r="138" spans="56:58" ht="39.950000000000003" hidden="1" customHeight="1" x14ac:dyDescent="0.25">
      <c r="BD138" s="13">
        <v>136</v>
      </c>
      <c r="BE138" s="19">
        <v>68</v>
      </c>
      <c r="BF138" s="36" t="s">
        <v>0</v>
      </c>
    </row>
    <row r="139" spans="56:58" ht="39.950000000000003" hidden="1" customHeight="1" x14ac:dyDescent="0.25">
      <c r="BD139" s="13">
        <v>137</v>
      </c>
      <c r="BE139" s="19">
        <v>68.5</v>
      </c>
      <c r="BF139" s="36" t="s">
        <v>0</v>
      </c>
    </row>
    <row r="140" spans="56:58" ht="39.950000000000003" hidden="1" customHeight="1" x14ac:dyDescent="0.25">
      <c r="BD140" s="13">
        <v>138</v>
      </c>
      <c r="BE140" s="19">
        <v>69</v>
      </c>
      <c r="BF140" s="36" t="s">
        <v>0</v>
      </c>
    </row>
    <row r="141" spans="56:58" ht="39.950000000000003" hidden="1" customHeight="1" x14ac:dyDescent="0.25">
      <c r="BD141" s="13">
        <v>139</v>
      </c>
      <c r="BE141" s="19">
        <v>69.5</v>
      </c>
      <c r="BF141" s="36" t="s">
        <v>0</v>
      </c>
    </row>
    <row r="142" spans="56:58" ht="39.950000000000003" hidden="1" customHeight="1" x14ac:dyDescent="0.25">
      <c r="BD142" s="13">
        <v>140</v>
      </c>
      <c r="BE142" s="19">
        <v>70</v>
      </c>
      <c r="BF142" s="36" t="s">
        <v>0</v>
      </c>
    </row>
    <row r="143" spans="56:58" ht="39.950000000000003" hidden="1" customHeight="1" x14ac:dyDescent="0.25">
      <c r="BD143" s="13">
        <v>141</v>
      </c>
      <c r="BE143" s="19">
        <v>70.5</v>
      </c>
      <c r="BF143" s="36" t="s">
        <v>0</v>
      </c>
    </row>
    <row r="144" spans="56:58" ht="39.950000000000003" hidden="1" customHeight="1" x14ac:dyDescent="0.25">
      <c r="BD144" s="13">
        <v>142</v>
      </c>
      <c r="BE144" s="19">
        <v>71</v>
      </c>
      <c r="BF144" s="36" t="s">
        <v>0</v>
      </c>
    </row>
    <row r="145" spans="56:58" ht="39.950000000000003" hidden="1" customHeight="1" x14ac:dyDescent="0.25">
      <c r="BD145" s="13">
        <v>143</v>
      </c>
      <c r="BE145" s="19">
        <v>71.5</v>
      </c>
      <c r="BF145" s="36" t="s">
        <v>0</v>
      </c>
    </row>
    <row r="146" spans="56:58" ht="39.950000000000003" hidden="1" customHeight="1" x14ac:dyDescent="0.25">
      <c r="BD146" s="13">
        <v>144</v>
      </c>
      <c r="BE146" s="19">
        <v>72</v>
      </c>
      <c r="BF146" s="36" t="s">
        <v>0</v>
      </c>
    </row>
    <row r="147" spans="56:58" ht="39.950000000000003" hidden="1" customHeight="1" x14ac:dyDescent="0.25">
      <c r="BD147" s="13">
        <v>145</v>
      </c>
      <c r="BE147" s="19">
        <v>72.5</v>
      </c>
      <c r="BF147" s="36" t="s">
        <v>0</v>
      </c>
    </row>
    <row r="148" spans="56:58" ht="39.950000000000003" hidden="1" customHeight="1" x14ac:dyDescent="0.25">
      <c r="BD148" s="13">
        <v>146</v>
      </c>
      <c r="BE148" s="19">
        <v>73</v>
      </c>
      <c r="BF148" s="36" t="s">
        <v>0</v>
      </c>
    </row>
    <row r="149" spans="56:58" ht="39.950000000000003" hidden="1" customHeight="1" x14ac:dyDescent="0.25">
      <c r="BD149" s="13">
        <v>147</v>
      </c>
      <c r="BE149" s="19">
        <v>73.5</v>
      </c>
      <c r="BF149" s="36" t="s">
        <v>0</v>
      </c>
    </row>
    <row r="150" spans="56:58" ht="39.950000000000003" hidden="1" customHeight="1" x14ac:dyDescent="0.25">
      <c r="BD150" s="13">
        <v>148</v>
      </c>
      <c r="BE150" s="19">
        <v>74</v>
      </c>
      <c r="BF150" s="36" t="s">
        <v>0</v>
      </c>
    </row>
    <row r="151" spans="56:58" ht="39.950000000000003" hidden="1" customHeight="1" x14ac:dyDescent="0.25">
      <c r="BD151" s="13">
        <v>149</v>
      </c>
      <c r="BE151" s="19">
        <v>74.5</v>
      </c>
      <c r="BF151" s="36" t="s">
        <v>0</v>
      </c>
    </row>
    <row r="152" spans="56:58" ht="39.950000000000003" hidden="1" customHeight="1" x14ac:dyDescent="0.25">
      <c r="BD152" s="13">
        <v>150</v>
      </c>
      <c r="BE152" s="19">
        <v>75</v>
      </c>
      <c r="BF152" s="36" t="s">
        <v>0</v>
      </c>
    </row>
    <row r="153" spans="56:58" ht="39.950000000000003" hidden="1" customHeight="1" x14ac:dyDescent="0.25">
      <c r="BD153" s="13">
        <v>151</v>
      </c>
      <c r="BE153" s="19">
        <v>75.5</v>
      </c>
      <c r="BF153" s="36" t="s">
        <v>0</v>
      </c>
    </row>
    <row r="154" spans="56:58" ht="39.950000000000003" hidden="1" customHeight="1" x14ac:dyDescent="0.25">
      <c r="BD154" s="13">
        <v>152</v>
      </c>
      <c r="BE154" s="19">
        <v>76</v>
      </c>
      <c r="BF154" s="36" t="s">
        <v>0</v>
      </c>
    </row>
    <row r="155" spans="56:58" ht="39.950000000000003" hidden="1" customHeight="1" x14ac:dyDescent="0.25">
      <c r="BD155" s="13">
        <v>153</v>
      </c>
      <c r="BE155" s="19">
        <v>76.5</v>
      </c>
      <c r="BF155" s="36" t="s">
        <v>0</v>
      </c>
    </row>
    <row r="156" spans="56:58" ht="39.950000000000003" hidden="1" customHeight="1" x14ac:dyDescent="0.25">
      <c r="BD156" s="13">
        <v>154</v>
      </c>
      <c r="BE156" s="19">
        <v>77</v>
      </c>
      <c r="BF156" s="36" t="s">
        <v>0</v>
      </c>
    </row>
    <row r="157" spans="56:58" ht="39.950000000000003" hidden="1" customHeight="1" x14ac:dyDescent="0.25">
      <c r="BD157" s="13">
        <v>155</v>
      </c>
      <c r="BE157" s="19">
        <v>77.5</v>
      </c>
      <c r="BF157" s="36" t="s">
        <v>0</v>
      </c>
    </row>
    <row r="158" spans="56:58" ht="39.950000000000003" hidden="1" customHeight="1" x14ac:dyDescent="0.25">
      <c r="BD158" s="13">
        <v>156</v>
      </c>
      <c r="BE158" s="19">
        <v>78</v>
      </c>
      <c r="BF158" s="36" t="s">
        <v>0</v>
      </c>
    </row>
    <row r="159" spans="56:58" ht="39.950000000000003" hidden="1" customHeight="1" x14ac:dyDescent="0.25">
      <c r="BD159" s="13">
        <v>157</v>
      </c>
      <c r="BE159" s="19">
        <v>78.5</v>
      </c>
      <c r="BF159" s="36" t="s">
        <v>0</v>
      </c>
    </row>
    <row r="160" spans="56:58" ht="39.950000000000003" hidden="1" customHeight="1" x14ac:dyDescent="0.25">
      <c r="BD160" s="13">
        <v>158</v>
      </c>
      <c r="BE160" s="19">
        <v>79</v>
      </c>
      <c r="BF160" s="36" t="s">
        <v>0</v>
      </c>
    </row>
    <row r="161" spans="56:58" ht="39.950000000000003" hidden="1" customHeight="1" x14ac:dyDescent="0.25">
      <c r="BD161" s="13">
        <v>159</v>
      </c>
      <c r="BE161" s="19">
        <v>79.5</v>
      </c>
      <c r="BF161" s="36" t="s">
        <v>0</v>
      </c>
    </row>
    <row r="162" spans="56:58" ht="39.950000000000003" hidden="1" customHeight="1" x14ac:dyDescent="0.25">
      <c r="BD162" s="13">
        <v>160</v>
      </c>
      <c r="BE162" s="19">
        <v>80</v>
      </c>
      <c r="BF162" s="36" t="s">
        <v>0</v>
      </c>
    </row>
    <row r="163" spans="56:58" ht="39.950000000000003" hidden="1" customHeight="1" x14ac:dyDescent="0.25">
      <c r="BD163" s="13">
        <v>161</v>
      </c>
      <c r="BE163" s="19">
        <v>80.5</v>
      </c>
      <c r="BF163" s="36" t="s">
        <v>0</v>
      </c>
    </row>
    <row r="164" spans="56:58" ht="39.950000000000003" hidden="1" customHeight="1" x14ac:dyDescent="0.25">
      <c r="BD164" s="13">
        <v>162</v>
      </c>
      <c r="BE164" s="19">
        <v>81</v>
      </c>
      <c r="BF164" s="36" t="s">
        <v>0</v>
      </c>
    </row>
    <row r="165" spans="56:58" ht="39.950000000000003" hidden="1" customHeight="1" x14ac:dyDescent="0.25">
      <c r="BD165" s="13">
        <v>163</v>
      </c>
      <c r="BE165" s="19">
        <v>81.5</v>
      </c>
      <c r="BF165" s="36" t="s">
        <v>0</v>
      </c>
    </row>
    <row r="166" spans="56:58" ht="39.950000000000003" hidden="1" customHeight="1" x14ac:dyDescent="0.25">
      <c r="BD166" s="13">
        <v>164</v>
      </c>
      <c r="BE166" s="19">
        <v>82</v>
      </c>
      <c r="BF166" s="36" t="s">
        <v>0</v>
      </c>
    </row>
    <row r="167" spans="56:58" ht="39.950000000000003" hidden="1" customHeight="1" x14ac:dyDescent="0.25">
      <c r="BD167" s="13">
        <v>165</v>
      </c>
      <c r="BE167" s="19">
        <v>82.5</v>
      </c>
      <c r="BF167" s="36" t="s">
        <v>0</v>
      </c>
    </row>
    <row r="168" spans="56:58" ht="39.950000000000003" hidden="1" customHeight="1" x14ac:dyDescent="0.25">
      <c r="BD168" s="13">
        <v>166</v>
      </c>
      <c r="BE168" s="19">
        <v>83</v>
      </c>
      <c r="BF168" s="36" t="s">
        <v>0</v>
      </c>
    </row>
    <row r="169" spans="56:58" ht="39.950000000000003" hidden="1" customHeight="1" x14ac:dyDescent="0.25">
      <c r="BD169" s="13">
        <v>167</v>
      </c>
      <c r="BE169" s="19">
        <v>83.5</v>
      </c>
      <c r="BF169" s="36" t="s">
        <v>0</v>
      </c>
    </row>
    <row r="170" spans="56:58" ht="39.950000000000003" hidden="1" customHeight="1" x14ac:dyDescent="0.25">
      <c r="BD170" s="13">
        <v>168</v>
      </c>
      <c r="BE170" s="19">
        <v>84</v>
      </c>
      <c r="BF170" s="36" t="s">
        <v>0</v>
      </c>
    </row>
    <row r="171" spans="56:58" ht="39.950000000000003" hidden="1" customHeight="1" x14ac:dyDescent="0.25">
      <c r="BD171" s="13">
        <v>169</v>
      </c>
      <c r="BE171" s="19">
        <v>84.5</v>
      </c>
      <c r="BF171" s="36" t="s">
        <v>0</v>
      </c>
    </row>
    <row r="172" spans="56:58" ht="39.950000000000003" hidden="1" customHeight="1" x14ac:dyDescent="0.25">
      <c r="BD172" s="13">
        <v>170</v>
      </c>
      <c r="BE172" s="19">
        <v>85</v>
      </c>
      <c r="BF172" s="36" t="s">
        <v>0</v>
      </c>
    </row>
    <row r="173" spans="56:58" ht="39.950000000000003" hidden="1" customHeight="1" x14ac:dyDescent="0.25">
      <c r="BD173" s="13">
        <v>171</v>
      </c>
      <c r="BE173" s="19">
        <v>85.5</v>
      </c>
      <c r="BF173" s="36" t="s">
        <v>0</v>
      </c>
    </row>
    <row r="174" spans="56:58" ht="39.950000000000003" hidden="1" customHeight="1" x14ac:dyDescent="0.25">
      <c r="BD174" s="13">
        <v>172</v>
      </c>
      <c r="BE174" s="19">
        <v>86</v>
      </c>
      <c r="BF174" s="36" t="s">
        <v>0</v>
      </c>
    </row>
    <row r="175" spans="56:58" ht="39.950000000000003" hidden="1" customHeight="1" x14ac:dyDescent="0.25">
      <c r="BD175" s="13">
        <v>173</v>
      </c>
      <c r="BE175" s="19">
        <v>86.5</v>
      </c>
      <c r="BF175" s="36" t="s">
        <v>0</v>
      </c>
    </row>
    <row r="176" spans="56:58" ht="39.950000000000003" hidden="1" customHeight="1" x14ac:dyDescent="0.25">
      <c r="BD176" s="13">
        <v>174</v>
      </c>
      <c r="BE176" s="19">
        <v>87</v>
      </c>
      <c r="BF176" s="36" t="s">
        <v>0</v>
      </c>
    </row>
    <row r="177" spans="56:58" ht="39.950000000000003" hidden="1" customHeight="1" x14ac:dyDescent="0.25">
      <c r="BD177" s="13">
        <v>175</v>
      </c>
      <c r="BE177" s="19">
        <v>87.5</v>
      </c>
      <c r="BF177" s="36" t="s">
        <v>0</v>
      </c>
    </row>
    <row r="178" spans="56:58" ht="39.950000000000003" hidden="1" customHeight="1" x14ac:dyDescent="0.25">
      <c r="BD178" s="13">
        <v>176</v>
      </c>
      <c r="BE178" s="19">
        <v>88</v>
      </c>
      <c r="BF178" s="36" t="s">
        <v>0</v>
      </c>
    </row>
    <row r="179" spans="56:58" ht="39.950000000000003" hidden="1" customHeight="1" x14ac:dyDescent="0.25">
      <c r="BD179" s="13">
        <v>177</v>
      </c>
      <c r="BE179" s="19">
        <v>88.5</v>
      </c>
      <c r="BF179" s="36" t="s">
        <v>0</v>
      </c>
    </row>
    <row r="180" spans="56:58" ht="39.950000000000003" hidden="1" customHeight="1" x14ac:dyDescent="0.25">
      <c r="BD180" s="13">
        <v>178</v>
      </c>
      <c r="BE180" s="19">
        <v>89</v>
      </c>
      <c r="BF180" s="36" t="s">
        <v>0</v>
      </c>
    </row>
    <row r="181" spans="56:58" ht="39.950000000000003" hidden="1" customHeight="1" x14ac:dyDescent="0.25">
      <c r="BD181" s="13">
        <v>179</v>
      </c>
      <c r="BE181" s="19">
        <v>89.5</v>
      </c>
      <c r="BF181" s="36" t="s">
        <v>0</v>
      </c>
    </row>
    <row r="182" spans="56:58" ht="39.950000000000003" hidden="1" customHeight="1" x14ac:dyDescent="0.25">
      <c r="BD182" s="13">
        <v>180</v>
      </c>
      <c r="BE182" s="19">
        <v>90</v>
      </c>
      <c r="BF182" s="36" t="s">
        <v>0</v>
      </c>
    </row>
    <row r="183" spans="56:58" ht="39.950000000000003" hidden="1" customHeight="1" x14ac:dyDescent="0.25">
      <c r="BD183" s="13">
        <v>181</v>
      </c>
      <c r="BE183" s="19">
        <v>90.5</v>
      </c>
      <c r="BF183" s="36" t="s">
        <v>0</v>
      </c>
    </row>
    <row r="184" spans="56:58" ht="39.950000000000003" hidden="1" customHeight="1" x14ac:dyDescent="0.25">
      <c r="BD184" s="13">
        <v>182</v>
      </c>
      <c r="BE184" s="19">
        <v>91</v>
      </c>
      <c r="BF184" s="36" t="s">
        <v>0</v>
      </c>
    </row>
    <row r="185" spans="56:58" ht="39.950000000000003" hidden="1" customHeight="1" x14ac:dyDescent="0.25">
      <c r="BD185" s="13">
        <v>183</v>
      </c>
      <c r="BE185" s="19">
        <v>91.5</v>
      </c>
      <c r="BF185" s="36" t="s">
        <v>0</v>
      </c>
    </row>
    <row r="186" spans="56:58" ht="39.950000000000003" hidden="1" customHeight="1" x14ac:dyDescent="0.25">
      <c r="BD186" s="13">
        <v>184</v>
      </c>
      <c r="BE186" s="19">
        <v>92</v>
      </c>
      <c r="BF186" s="36" t="s">
        <v>0</v>
      </c>
    </row>
    <row r="187" spans="56:58" ht="39.950000000000003" hidden="1" customHeight="1" x14ac:dyDescent="0.25">
      <c r="BD187" s="13">
        <v>185</v>
      </c>
      <c r="BE187" s="19">
        <v>92.5</v>
      </c>
      <c r="BF187" s="36" t="s">
        <v>0</v>
      </c>
    </row>
    <row r="188" spans="56:58" ht="39.950000000000003" hidden="1" customHeight="1" x14ac:dyDescent="0.25">
      <c r="BD188" s="13">
        <v>186</v>
      </c>
      <c r="BE188" s="19">
        <v>93</v>
      </c>
      <c r="BF188" s="36" t="s">
        <v>0</v>
      </c>
    </row>
    <row r="189" spans="56:58" ht="39.950000000000003" hidden="1" customHeight="1" x14ac:dyDescent="0.25">
      <c r="BD189" s="13">
        <v>187</v>
      </c>
      <c r="BE189" s="19">
        <v>93.5</v>
      </c>
      <c r="BF189" s="36" t="s">
        <v>0</v>
      </c>
    </row>
    <row r="190" spans="56:58" ht="39.950000000000003" hidden="1" customHeight="1" x14ac:dyDescent="0.25">
      <c r="BD190" s="13">
        <v>188</v>
      </c>
      <c r="BE190" s="19">
        <v>94</v>
      </c>
      <c r="BF190" s="36" t="s">
        <v>0</v>
      </c>
    </row>
    <row r="191" spans="56:58" ht="39.950000000000003" hidden="1" customHeight="1" x14ac:dyDescent="0.25">
      <c r="BD191" s="13">
        <v>189</v>
      </c>
      <c r="BE191" s="19">
        <v>94.5</v>
      </c>
      <c r="BF191" s="36" t="s">
        <v>0</v>
      </c>
    </row>
    <row r="192" spans="56:58" ht="39.950000000000003" hidden="1" customHeight="1" x14ac:dyDescent="0.25">
      <c r="BD192" s="13">
        <v>190</v>
      </c>
      <c r="BE192" s="19">
        <v>95</v>
      </c>
      <c r="BF192" s="36" t="s">
        <v>0</v>
      </c>
    </row>
    <row r="193" spans="56:58" ht="39.950000000000003" hidden="1" customHeight="1" x14ac:dyDescent="0.25">
      <c r="BD193" s="13">
        <v>191</v>
      </c>
      <c r="BE193" s="19">
        <v>95.5</v>
      </c>
      <c r="BF193" s="36" t="s">
        <v>0</v>
      </c>
    </row>
    <row r="194" spans="56:58" ht="39.950000000000003" hidden="1" customHeight="1" x14ac:dyDescent="0.25">
      <c r="BD194" s="13">
        <v>192</v>
      </c>
      <c r="BE194" s="19">
        <v>96</v>
      </c>
      <c r="BF194" s="36" t="s">
        <v>0</v>
      </c>
    </row>
    <row r="195" spans="56:58" ht="39.950000000000003" hidden="1" customHeight="1" x14ac:dyDescent="0.25">
      <c r="BD195" s="13">
        <v>193</v>
      </c>
      <c r="BE195" s="19">
        <v>96.5</v>
      </c>
      <c r="BF195" s="36" t="s">
        <v>0</v>
      </c>
    </row>
    <row r="196" spans="56:58" ht="39.950000000000003" hidden="1" customHeight="1" x14ac:dyDescent="0.25">
      <c r="BD196" s="13">
        <v>194</v>
      </c>
      <c r="BE196" s="19">
        <v>97</v>
      </c>
      <c r="BF196" s="36" t="s">
        <v>0</v>
      </c>
    </row>
    <row r="197" spans="56:58" ht="39.950000000000003" hidden="1" customHeight="1" x14ac:dyDescent="0.25">
      <c r="BD197" s="13">
        <v>195</v>
      </c>
      <c r="BE197" s="19">
        <v>97.5</v>
      </c>
      <c r="BF197" s="36" t="s">
        <v>0</v>
      </c>
    </row>
    <row r="198" spans="56:58" ht="39.950000000000003" hidden="1" customHeight="1" x14ac:dyDescent="0.25">
      <c r="BD198" s="13">
        <v>196</v>
      </c>
      <c r="BE198" s="19">
        <v>98</v>
      </c>
      <c r="BF198" s="36" t="s">
        <v>0</v>
      </c>
    </row>
    <row r="199" spans="56:58" ht="39.950000000000003" hidden="1" customHeight="1" x14ac:dyDescent="0.25">
      <c r="BD199" s="13">
        <v>197</v>
      </c>
      <c r="BE199" s="19">
        <v>98.5</v>
      </c>
      <c r="BF199" s="36" t="s">
        <v>0</v>
      </c>
    </row>
    <row r="200" spans="56:58" ht="39.950000000000003" hidden="1" customHeight="1" x14ac:dyDescent="0.25">
      <c r="BD200" s="13">
        <v>198</v>
      </c>
      <c r="BE200" s="19">
        <v>99</v>
      </c>
      <c r="BF200" s="36" t="s">
        <v>0</v>
      </c>
    </row>
    <row r="201" spans="56:58" ht="39.950000000000003" hidden="1" customHeight="1" x14ac:dyDescent="0.25">
      <c r="BD201" s="13">
        <v>199</v>
      </c>
      <c r="BE201" s="19">
        <v>99.5</v>
      </c>
      <c r="BF201" s="36" t="s">
        <v>0</v>
      </c>
    </row>
    <row r="202" spans="56:58" ht="39.950000000000003" hidden="1" customHeight="1" x14ac:dyDescent="0.25">
      <c r="BD202" s="13">
        <v>200</v>
      </c>
      <c r="BE202" s="19">
        <v>100</v>
      </c>
      <c r="BF202" s="36" t="s">
        <v>0</v>
      </c>
    </row>
    <row r="203" spans="56:58" ht="39.950000000000003" hidden="1" customHeight="1" x14ac:dyDescent="0.25">
      <c r="BD203" s="13">
        <v>201</v>
      </c>
      <c r="BE203" s="19">
        <v>100.5</v>
      </c>
      <c r="BF203" s="36" t="s">
        <v>0</v>
      </c>
    </row>
    <row r="204" spans="56:58" ht="39.950000000000003" hidden="1" customHeight="1" x14ac:dyDescent="0.25">
      <c r="BD204" s="13">
        <v>202</v>
      </c>
      <c r="BE204" s="19">
        <v>101</v>
      </c>
      <c r="BF204" s="36" t="s">
        <v>0</v>
      </c>
    </row>
    <row r="205" spans="56:58" ht="39.950000000000003" hidden="1" customHeight="1" x14ac:dyDescent="0.25">
      <c r="BD205" s="13">
        <v>203</v>
      </c>
      <c r="BE205" s="19">
        <v>101.5</v>
      </c>
      <c r="BF205" s="36" t="s">
        <v>0</v>
      </c>
    </row>
    <row r="206" spans="56:58" ht="39.950000000000003" hidden="1" customHeight="1" x14ac:dyDescent="0.25">
      <c r="BD206" s="13">
        <v>204</v>
      </c>
      <c r="BE206" s="19">
        <v>102</v>
      </c>
      <c r="BF206" s="36" t="s">
        <v>0</v>
      </c>
    </row>
    <row r="207" spans="56:58" ht="39.950000000000003" hidden="1" customHeight="1" x14ac:dyDescent="0.25">
      <c r="BD207" s="13">
        <v>205</v>
      </c>
      <c r="BE207" s="19">
        <v>102.5</v>
      </c>
      <c r="BF207" s="36" t="s">
        <v>0</v>
      </c>
    </row>
    <row r="208" spans="56:58" ht="39.950000000000003" hidden="1" customHeight="1" x14ac:dyDescent="0.25">
      <c r="BD208" s="13">
        <v>206</v>
      </c>
      <c r="BE208" s="19">
        <v>103</v>
      </c>
      <c r="BF208" s="36" t="s">
        <v>0</v>
      </c>
    </row>
    <row r="209" spans="56:58" ht="39.950000000000003" hidden="1" customHeight="1" x14ac:dyDescent="0.25">
      <c r="BD209" s="13">
        <v>207</v>
      </c>
      <c r="BE209" s="19">
        <v>103.5</v>
      </c>
      <c r="BF209" s="36" t="s">
        <v>0</v>
      </c>
    </row>
    <row r="210" spans="56:58" ht="39.950000000000003" hidden="1" customHeight="1" x14ac:dyDescent="0.25">
      <c r="BD210" s="13">
        <v>208</v>
      </c>
      <c r="BE210" s="19">
        <v>104</v>
      </c>
      <c r="BF210" s="36" t="s">
        <v>0</v>
      </c>
    </row>
    <row r="211" spans="56:58" ht="39.950000000000003" hidden="1" customHeight="1" x14ac:dyDescent="0.25">
      <c r="BD211" s="13">
        <v>209</v>
      </c>
      <c r="BE211" s="19">
        <v>104.5</v>
      </c>
      <c r="BF211" s="36" t="s">
        <v>0</v>
      </c>
    </row>
    <row r="212" spans="56:58" ht="39.950000000000003" hidden="1" customHeight="1" x14ac:dyDescent="0.25">
      <c r="BD212" s="13">
        <v>210</v>
      </c>
      <c r="BE212" s="19">
        <v>105</v>
      </c>
      <c r="BF212" s="36" t="s">
        <v>0</v>
      </c>
    </row>
    <row r="213" spans="56:58" ht="39.950000000000003" hidden="1" customHeight="1" x14ac:dyDescent="0.25">
      <c r="BD213" s="13">
        <v>211</v>
      </c>
      <c r="BE213" s="19">
        <v>105.5</v>
      </c>
      <c r="BF213" s="36" t="s">
        <v>0</v>
      </c>
    </row>
    <row r="214" spans="56:58" ht="39.950000000000003" hidden="1" customHeight="1" x14ac:dyDescent="0.25">
      <c r="BD214" s="13">
        <v>212</v>
      </c>
      <c r="BE214" s="19">
        <v>106</v>
      </c>
      <c r="BF214" s="36" t="s">
        <v>0</v>
      </c>
    </row>
    <row r="215" spans="56:58" ht="39.950000000000003" hidden="1" customHeight="1" x14ac:dyDescent="0.25">
      <c r="BD215" s="13">
        <v>213</v>
      </c>
      <c r="BE215" s="19">
        <v>106.5</v>
      </c>
      <c r="BF215" s="36" t="s">
        <v>0</v>
      </c>
    </row>
    <row r="216" spans="56:58" ht="39.950000000000003" hidden="1" customHeight="1" x14ac:dyDescent="0.25">
      <c r="BD216" s="13">
        <v>214</v>
      </c>
      <c r="BE216" s="19">
        <v>107</v>
      </c>
      <c r="BF216" s="36" t="s">
        <v>0</v>
      </c>
    </row>
    <row r="217" spans="56:58" ht="39.950000000000003" hidden="1" customHeight="1" x14ac:dyDescent="0.25">
      <c r="BD217" s="13">
        <v>215</v>
      </c>
      <c r="BE217" s="19">
        <v>107.5</v>
      </c>
      <c r="BF217" s="36" t="s">
        <v>0</v>
      </c>
    </row>
    <row r="218" spans="56:58" ht="39.950000000000003" hidden="1" customHeight="1" x14ac:dyDescent="0.25">
      <c r="BD218" s="13">
        <v>216</v>
      </c>
      <c r="BE218" s="19">
        <v>108</v>
      </c>
      <c r="BF218" s="36" t="s">
        <v>0</v>
      </c>
    </row>
    <row r="219" spans="56:58" ht="39.950000000000003" hidden="1" customHeight="1" x14ac:dyDescent="0.25">
      <c r="BD219" s="13">
        <v>217</v>
      </c>
      <c r="BE219" s="19">
        <v>108.5</v>
      </c>
      <c r="BF219" s="36" t="s">
        <v>0</v>
      </c>
    </row>
    <row r="220" spans="56:58" ht="39.950000000000003" hidden="1" customHeight="1" x14ac:dyDescent="0.25">
      <c r="BD220" s="13">
        <v>218</v>
      </c>
      <c r="BE220" s="19">
        <v>109</v>
      </c>
      <c r="BF220" s="36" t="s">
        <v>0</v>
      </c>
    </row>
    <row r="221" spans="56:58" ht="39.950000000000003" hidden="1" customHeight="1" x14ac:dyDescent="0.25">
      <c r="BD221" s="13">
        <v>219</v>
      </c>
      <c r="BE221" s="19">
        <v>109.5</v>
      </c>
      <c r="BF221" s="36" t="s">
        <v>0</v>
      </c>
    </row>
    <row r="222" spans="56:58" ht="39.950000000000003" hidden="1" customHeight="1" x14ac:dyDescent="0.25">
      <c r="BD222" s="13">
        <v>220</v>
      </c>
      <c r="BE222" s="19">
        <v>110</v>
      </c>
      <c r="BF222" s="36" t="s">
        <v>0</v>
      </c>
    </row>
    <row r="223" spans="56:58" ht="39.950000000000003" hidden="1" customHeight="1" x14ac:dyDescent="0.25">
      <c r="BD223" s="13">
        <v>221</v>
      </c>
      <c r="BE223" s="19">
        <v>110.5</v>
      </c>
      <c r="BF223" s="36" t="s">
        <v>0</v>
      </c>
    </row>
    <row r="224" spans="56:58" ht="39.950000000000003" hidden="1" customHeight="1" x14ac:dyDescent="0.25">
      <c r="BD224" s="13">
        <v>222</v>
      </c>
      <c r="BE224" s="19">
        <v>111</v>
      </c>
      <c r="BF224" s="36" t="s">
        <v>0</v>
      </c>
    </row>
    <row r="225" spans="56:58" ht="39.950000000000003" hidden="1" customHeight="1" x14ac:dyDescent="0.25">
      <c r="BD225" s="13">
        <v>223</v>
      </c>
      <c r="BE225" s="19">
        <v>111.5</v>
      </c>
      <c r="BF225" s="36" t="s">
        <v>0</v>
      </c>
    </row>
    <row r="226" spans="56:58" ht="39.950000000000003" hidden="1" customHeight="1" x14ac:dyDescent="0.25">
      <c r="BD226" s="13">
        <v>224</v>
      </c>
      <c r="BE226" s="19">
        <v>112</v>
      </c>
      <c r="BF226" s="36" t="s">
        <v>0</v>
      </c>
    </row>
    <row r="227" spans="56:58" ht="39.950000000000003" hidden="1" customHeight="1" x14ac:dyDescent="0.25">
      <c r="BD227" s="13">
        <v>225</v>
      </c>
      <c r="BE227" s="19">
        <v>112.5</v>
      </c>
      <c r="BF227" s="36" t="s">
        <v>0</v>
      </c>
    </row>
    <row r="228" spans="56:58" ht="39.950000000000003" hidden="1" customHeight="1" x14ac:dyDescent="0.25">
      <c r="BD228" s="13">
        <v>226</v>
      </c>
      <c r="BE228" s="19">
        <v>113</v>
      </c>
      <c r="BF228" s="36" t="s">
        <v>0</v>
      </c>
    </row>
    <row r="229" spans="56:58" ht="39.950000000000003" hidden="1" customHeight="1" x14ac:dyDescent="0.25">
      <c r="BD229" s="13">
        <v>227</v>
      </c>
      <c r="BE229" s="19">
        <v>113.5</v>
      </c>
      <c r="BF229" s="36" t="s">
        <v>0</v>
      </c>
    </row>
    <row r="230" spans="56:58" ht="39.950000000000003" hidden="1" customHeight="1" x14ac:dyDescent="0.25">
      <c r="BD230" s="13">
        <v>228</v>
      </c>
      <c r="BE230" s="19">
        <v>114</v>
      </c>
      <c r="BF230" s="36" t="s">
        <v>0</v>
      </c>
    </row>
    <row r="231" spans="56:58" ht="39.950000000000003" hidden="1" customHeight="1" x14ac:dyDescent="0.25">
      <c r="BD231" s="13">
        <v>229</v>
      </c>
      <c r="BE231" s="19">
        <v>114.5</v>
      </c>
      <c r="BF231" s="36" t="s">
        <v>0</v>
      </c>
    </row>
    <row r="232" spans="56:58" ht="39.950000000000003" hidden="1" customHeight="1" x14ac:dyDescent="0.25">
      <c r="BD232" s="13">
        <v>230</v>
      </c>
      <c r="BE232" s="19">
        <v>115</v>
      </c>
      <c r="BF232" s="36" t="s">
        <v>0</v>
      </c>
    </row>
    <row r="233" spans="56:58" ht="39.950000000000003" hidden="1" customHeight="1" x14ac:dyDescent="0.25">
      <c r="BD233" s="13">
        <v>231</v>
      </c>
      <c r="BE233" s="19">
        <v>115.5</v>
      </c>
      <c r="BF233" s="36" t="s">
        <v>0</v>
      </c>
    </row>
    <row r="234" spans="56:58" ht="39.950000000000003" hidden="1" customHeight="1" x14ac:dyDescent="0.25">
      <c r="BD234" s="13">
        <v>232</v>
      </c>
      <c r="BE234" s="19">
        <v>116</v>
      </c>
      <c r="BF234" s="36" t="s">
        <v>0</v>
      </c>
    </row>
    <row r="235" spans="56:58" ht="39.950000000000003" hidden="1" customHeight="1" x14ac:dyDescent="0.25">
      <c r="BD235" s="13">
        <v>233</v>
      </c>
      <c r="BE235" s="19">
        <v>116.5</v>
      </c>
      <c r="BF235" s="36" t="s">
        <v>0</v>
      </c>
    </row>
    <row r="236" spans="56:58" ht="39.950000000000003" hidden="1" customHeight="1" x14ac:dyDescent="0.25">
      <c r="BD236" s="13">
        <v>234</v>
      </c>
      <c r="BE236" s="19">
        <v>117</v>
      </c>
      <c r="BF236" s="36" t="s">
        <v>0</v>
      </c>
    </row>
    <row r="237" spans="56:58" ht="39.950000000000003" hidden="1" customHeight="1" x14ac:dyDescent="0.25">
      <c r="BD237" s="13">
        <v>235</v>
      </c>
      <c r="BE237" s="19">
        <v>117.5</v>
      </c>
      <c r="BF237" s="36" t="s">
        <v>0</v>
      </c>
    </row>
    <row r="238" spans="56:58" ht="39.950000000000003" hidden="1" customHeight="1" x14ac:dyDescent="0.25">
      <c r="BD238" s="13">
        <v>236</v>
      </c>
      <c r="BE238" s="19">
        <v>118</v>
      </c>
      <c r="BF238" s="36" t="s">
        <v>0</v>
      </c>
    </row>
    <row r="239" spans="56:58" ht="39.950000000000003" hidden="1" customHeight="1" x14ac:dyDescent="0.25">
      <c r="BD239" s="13">
        <v>237</v>
      </c>
      <c r="BE239" s="19">
        <v>118.5</v>
      </c>
      <c r="BF239" s="36" t="s">
        <v>0</v>
      </c>
    </row>
    <row r="240" spans="56:58" ht="39.950000000000003" hidden="1" customHeight="1" x14ac:dyDescent="0.25">
      <c r="BD240" s="13">
        <v>238</v>
      </c>
      <c r="BE240" s="19">
        <v>119</v>
      </c>
      <c r="BF240" s="36" t="s">
        <v>0</v>
      </c>
    </row>
    <row r="241" spans="1:58" ht="39.950000000000003" hidden="1" customHeight="1" x14ac:dyDescent="0.25">
      <c r="BD241" s="13">
        <v>239</v>
      </c>
      <c r="BE241" s="19">
        <v>119.5</v>
      </c>
      <c r="BF241" s="36" t="s">
        <v>0</v>
      </c>
    </row>
    <row r="242" spans="1:58" ht="39.950000000000003" hidden="1" customHeight="1" x14ac:dyDescent="0.25">
      <c r="BD242" s="13">
        <v>240</v>
      </c>
      <c r="BE242" s="19">
        <v>120</v>
      </c>
      <c r="BF242" s="36" t="s">
        <v>0</v>
      </c>
    </row>
    <row r="243" spans="1:58" ht="39.950000000000003" hidden="1" customHeight="1" x14ac:dyDescent="0.25">
      <c r="BD243" s="13">
        <v>241</v>
      </c>
      <c r="BE243" s="19">
        <v>120.5</v>
      </c>
      <c r="BF243" s="36" t="s">
        <v>0</v>
      </c>
    </row>
    <row r="244" spans="1:58" ht="39.950000000000003" hidden="1" customHeight="1" x14ac:dyDescent="0.25">
      <c r="BD244" s="13">
        <v>242</v>
      </c>
      <c r="BE244" s="19">
        <v>121</v>
      </c>
      <c r="BF244" s="36" t="s">
        <v>0</v>
      </c>
    </row>
    <row r="245" spans="1:58" ht="39.950000000000003" hidden="1" customHeight="1" x14ac:dyDescent="0.25">
      <c r="BD245" s="13">
        <v>243</v>
      </c>
      <c r="BE245" s="19">
        <v>121.5</v>
      </c>
      <c r="BF245" s="36" t="s">
        <v>0</v>
      </c>
    </row>
    <row r="246" spans="1:58" ht="39.950000000000003" hidden="1" customHeight="1" x14ac:dyDescent="0.25">
      <c r="BD246" s="13">
        <v>244</v>
      </c>
      <c r="BE246" s="19">
        <v>122</v>
      </c>
      <c r="BF246" s="36" t="s">
        <v>0</v>
      </c>
    </row>
    <row r="247" spans="1:58" ht="39.950000000000003" hidden="1" customHeight="1" x14ac:dyDescent="0.25">
      <c r="BD247" s="13">
        <v>245</v>
      </c>
      <c r="BE247" s="19">
        <v>122.5</v>
      </c>
      <c r="BF247" s="36" t="s">
        <v>0</v>
      </c>
    </row>
    <row r="248" spans="1:58" ht="39.950000000000003" hidden="1" customHeight="1" x14ac:dyDescent="0.25">
      <c r="BD248" s="13">
        <v>246</v>
      </c>
      <c r="BE248" s="19">
        <v>123</v>
      </c>
      <c r="BF248" s="36" t="s">
        <v>0</v>
      </c>
    </row>
    <row r="249" spans="1:58" ht="39.950000000000003" hidden="1" customHeight="1" x14ac:dyDescent="0.25">
      <c r="BD249" s="13">
        <v>247</v>
      </c>
      <c r="BE249" s="19">
        <v>123.5</v>
      </c>
      <c r="BF249" s="36" t="s">
        <v>0</v>
      </c>
    </row>
    <row r="250" spans="1:58" ht="39.950000000000003" hidden="1" customHeight="1" x14ac:dyDescent="0.25">
      <c r="BD250" s="13">
        <v>248</v>
      </c>
      <c r="BE250" s="19">
        <v>124</v>
      </c>
      <c r="BF250" s="36" t="s">
        <v>0</v>
      </c>
    </row>
    <row r="251" spans="1:58" ht="39.950000000000003" hidden="1" customHeight="1" x14ac:dyDescent="0.25">
      <c r="BD251" s="13">
        <v>249</v>
      </c>
      <c r="BE251" s="19">
        <v>124.5</v>
      </c>
      <c r="BF251" s="36" t="s">
        <v>0</v>
      </c>
    </row>
    <row r="252" spans="1:58" ht="39.950000000000003" hidden="1" customHeight="1" x14ac:dyDescent="0.25">
      <c r="BD252" s="13">
        <v>250</v>
      </c>
      <c r="BE252" s="19">
        <v>125</v>
      </c>
      <c r="BF252" s="36" t="s">
        <v>0</v>
      </c>
    </row>
    <row r="253" spans="1:58" ht="39.950000000000003" hidden="1" customHeight="1" x14ac:dyDescent="0.25">
      <c r="BD253" s="13">
        <v>251</v>
      </c>
      <c r="BE253" s="19">
        <v>125.5</v>
      </c>
      <c r="BF253" s="36" t="s">
        <v>0</v>
      </c>
    </row>
    <row r="254" spans="1:58" s="12" customFormat="1" ht="39.950000000000003" hidden="1"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v>252</v>
      </c>
      <c r="BE254" s="19">
        <v>126</v>
      </c>
      <c r="BF254" s="36" t="s">
        <v>0</v>
      </c>
    </row>
    <row r="255" spans="1:58" s="12" customFormat="1" ht="39.950000000000003" hidden="1"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v>253</v>
      </c>
      <c r="BE255" s="19">
        <v>126.5</v>
      </c>
      <c r="BF255" s="36" t="s">
        <v>0</v>
      </c>
    </row>
    <row r="256" spans="1:58" s="12" customFormat="1" ht="39.950000000000003" hidden="1"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v>254</v>
      </c>
      <c r="BE256" s="19">
        <v>127</v>
      </c>
      <c r="BF256" s="36" t="s">
        <v>0</v>
      </c>
    </row>
    <row r="257" spans="1:58" s="12" customFormat="1" ht="39.950000000000003" hidden="1"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v>255</v>
      </c>
      <c r="BE257" s="19">
        <v>127.5</v>
      </c>
      <c r="BF257" s="36" t="s">
        <v>0</v>
      </c>
    </row>
    <row r="258" spans="1:58" s="12" customFormat="1" ht="39.950000000000003" hidden="1"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v>256</v>
      </c>
      <c r="BE258" s="19">
        <v>128</v>
      </c>
      <c r="BF258" s="36" t="s">
        <v>0</v>
      </c>
    </row>
    <row r="259" spans="1:58" s="12" customFormat="1" ht="39.950000000000003" hidden="1"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v>257</v>
      </c>
      <c r="BE259" s="19">
        <v>128.5</v>
      </c>
      <c r="BF259" s="36" t="s">
        <v>0</v>
      </c>
    </row>
    <row r="260" spans="1:58" s="12" customFormat="1" ht="39.950000000000003" hidden="1"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v>258</v>
      </c>
      <c r="BE260" s="19">
        <v>129</v>
      </c>
      <c r="BF260" s="36" t="s">
        <v>0</v>
      </c>
    </row>
    <row r="261" spans="1:58" s="12" customFormat="1" ht="39.950000000000003" hidden="1"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v>259</v>
      </c>
      <c r="BE261" s="19">
        <v>129.5</v>
      </c>
      <c r="BF261" s="36" t="s">
        <v>0</v>
      </c>
    </row>
    <row r="262" spans="1:58" s="12" customFormat="1" ht="39.950000000000003" hidden="1"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v>260</v>
      </c>
      <c r="BE262" s="19">
        <v>130</v>
      </c>
      <c r="BF262" s="36" t="s">
        <v>0</v>
      </c>
    </row>
    <row r="263" spans="1:58" s="12" customFormat="1" ht="39.950000000000003" hidden="1"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v>261</v>
      </c>
      <c r="BE263" s="19">
        <v>130.5</v>
      </c>
      <c r="BF263" s="36" t="s">
        <v>0</v>
      </c>
    </row>
    <row r="264" spans="1:58" s="12" customFormat="1" ht="39.950000000000003" hidden="1"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v>262</v>
      </c>
      <c r="BE264" s="19">
        <v>131</v>
      </c>
      <c r="BF264" s="36" t="s">
        <v>0</v>
      </c>
    </row>
    <row r="265" spans="1:58" s="12" customFormat="1" ht="39.950000000000003" hidden="1"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v>263</v>
      </c>
      <c r="BE265" s="19">
        <v>131.5</v>
      </c>
      <c r="BF265" s="36" t="s">
        <v>0</v>
      </c>
    </row>
    <row r="266" spans="1:58" s="12" customFormat="1" ht="39.950000000000003" hidden="1"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v>264</v>
      </c>
      <c r="BE266" s="19">
        <v>132</v>
      </c>
      <c r="BF266" s="36" t="s">
        <v>0</v>
      </c>
    </row>
    <row r="267" spans="1:58" s="12" customFormat="1" ht="39.950000000000003" hidden="1"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v>265</v>
      </c>
      <c r="BE267" s="19">
        <v>132.5</v>
      </c>
      <c r="BF267" s="36" t="s">
        <v>0</v>
      </c>
    </row>
    <row r="268" spans="1:58" s="12" customFormat="1" ht="39.950000000000003" hidden="1"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v>266</v>
      </c>
      <c r="BE268" s="19">
        <v>133</v>
      </c>
      <c r="BF268" s="36" t="s">
        <v>0</v>
      </c>
    </row>
    <row r="269" spans="1:58" s="12" customFormat="1" ht="39.950000000000003" hidden="1"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v>267</v>
      </c>
      <c r="BE269" s="19">
        <v>133.5</v>
      </c>
      <c r="BF269" s="36" t="s">
        <v>0</v>
      </c>
    </row>
    <row r="270" spans="1:58" ht="39.950000000000003" hidden="1" customHeight="1" x14ac:dyDescent="0.25">
      <c r="BD270" s="13">
        <v>268</v>
      </c>
      <c r="BE270" s="19">
        <v>134</v>
      </c>
      <c r="BF270" s="36" t="s">
        <v>0</v>
      </c>
    </row>
    <row r="271" spans="1:58" ht="39.950000000000003" hidden="1" customHeight="1" x14ac:dyDescent="0.25">
      <c r="BD271" s="13">
        <v>269</v>
      </c>
      <c r="BE271" s="19">
        <v>134.5</v>
      </c>
      <c r="BF271" s="36" t="s">
        <v>0</v>
      </c>
    </row>
    <row r="272" spans="1:58" ht="39.950000000000003" hidden="1" customHeight="1" x14ac:dyDescent="0.25">
      <c r="BD272" s="13">
        <v>270</v>
      </c>
      <c r="BE272" s="19">
        <v>135</v>
      </c>
      <c r="BF272" s="36" t="s">
        <v>0</v>
      </c>
    </row>
    <row r="273" spans="56:58" ht="39.950000000000003" hidden="1" customHeight="1" x14ac:dyDescent="0.25">
      <c r="BD273" s="13">
        <v>271</v>
      </c>
      <c r="BE273" s="19">
        <v>135.5</v>
      </c>
      <c r="BF273" s="36" t="s">
        <v>0</v>
      </c>
    </row>
    <row r="274" spans="56:58" ht="39.950000000000003" hidden="1" customHeight="1" x14ac:dyDescent="0.25">
      <c r="BD274" s="13">
        <v>272</v>
      </c>
      <c r="BE274" s="19">
        <v>136</v>
      </c>
      <c r="BF274" s="36" t="s">
        <v>0</v>
      </c>
    </row>
    <row r="275" spans="56:58" ht="39.950000000000003" hidden="1" customHeight="1" x14ac:dyDescent="0.25">
      <c r="BD275" s="13">
        <v>273</v>
      </c>
      <c r="BE275" s="19">
        <v>136.5</v>
      </c>
      <c r="BF275" s="36" t="s">
        <v>0</v>
      </c>
    </row>
    <row r="276" spans="56:58" ht="39.950000000000003" hidden="1" customHeight="1" x14ac:dyDescent="0.25">
      <c r="BD276" s="13">
        <v>274</v>
      </c>
      <c r="BE276" s="19">
        <v>137</v>
      </c>
      <c r="BF276" s="36" t="s">
        <v>0</v>
      </c>
    </row>
    <row r="277" spans="56:58" ht="39.950000000000003" hidden="1" customHeight="1" x14ac:dyDescent="0.25">
      <c r="BD277" s="13">
        <v>275</v>
      </c>
      <c r="BE277" s="19">
        <v>137.5</v>
      </c>
      <c r="BF277" s="36" t="s">
        <v>0</v>
      </c>
    </row>
    <row r="278" spans="56:58" ht="39.950000000000003" hidden="1" customHeight="1" x14ac:dyDescent="0.25">
      <c r="BD278" s="13">
        <v>276</v>
      </c>
      <c r="BE278" s="19">
        <v>138</v>
      </c>
      <c r="BF278" s="36" t="s">
        <v>0</v>
      </c>
    </row>
    <row r="279" spans="56:58" ht="39.950000000000003" hidden="1" customHeight="1" x14ac:dyDescent="0.25">
      <c r="BD279" s="13">
        <v>277</v>
      </c>
      <c r="BE279" s="19">
        <v>138.5</v>
      </c>
      <c r="BF279" s="36" t="s">
        <v>0</v>
      </c>
    </row>
    <row r="280" spans="56:58" ht="39.950000000000003" hidden="1" customHeight="1" x14ac:dyDescent="0.25">
      <c r="BD280" s="13">
        <v>278</v>
      </c>
      <c r="BE280" s="19">
        <v>139</v>
      </c>
      <c r="BF280" s="36" t="s">
        <v>0</v>
      </c>
    </row>
    <row r="281" spans="56:58" ht="39.950000000000003" hidden="1" customHeight="1" x14ac:dyDescent="0.25">
      <c r="BD281" s="13">
        <v>279</v>
      </c>
      <c r="BE281" s="19">
        <v>139.5</v>
      </c>
      <c r="BF281" s="36" t="s">
        <v>0</v>
      </c>
    </row>
    <row r="282" spans="56:58" ht="39.950000000000003" hidden="1" customHeight="1" x14ac:dyDescent="0.25">
      <c r="BD282" s="13">
        <v>280</v>
      </c>
      <c r="BE282" s="19">
        <v>140</v>
      </c>
      <c r="BF282" s="36" t="s">
        <v>0</v>
      </c>
    </row>
    <row r="283" spans="56:58" ht="39.950000000000003" hidden="1" customHeight="1" x14ac:dyDescent="0.25">
      <c r="BD283" s="13">
        <v>281</v>
      </c>
      <c r="BE283" s="19">
        <v>140.5</v>
      </c>
      <c r="BF283" s="36" t="s">
        <v>0</v>
      </c>
    </row>
    <row r="284" spans="56:58" ht="39.950000000000003" hidden="1" customHeight="1" x14ac:dyDescent="0.25">
      <c r="BD284" s="13">
        <v>282</v>
      </c>
      <c r="BE284" s="19">
        <v>141</v>
      </c>
      <c r="BF284" s="36" t="s">
        <v>0</v>
      </c>
    </row>
    <row r="285" spans="56:58" ht="39.950000000000003" hidden="1" customHeight="1" x14ac:dyDescent="0.25">
      <c r="BD285" s="13">
        <v>283</v>
      </c>
      <c r="BE285" s="19">
        <v>141.5</v>
      </c>
      <c r="BF285" s="36" t="s">
        <v>0</v>
      </c>
    </row>
    <row r="286" spans="56:58" ht="39.950000000000003" hidden="1" customHeight="1" x14ac:dyDescent="0.25">
      <c r="BD286" s="13">
        <v>284</v>
      </c>
      <c r="BE286" s="19">
        <v>142</v>
      </c>
      <c r="BF286" s="36" t="s">
        <v>0</v>
      </c>
    </row>
    <row r="287" spans="56:58" ht="39.950000000000003" hidden="1" customHeight="1" x14ac:dyDescent="0.25">
      <c r="BD287" s="13">
        <v>285</v>
      </c>
      <c r="BE287" s="19">
        <v>142.5</v>
      </c>
      <c r="BF287" s="36" t="s">
        <v>0</v>
      </c>
    </row>
    <row r="288" spans="56:58" ht="39.950000000000003" hidden="1" customHeight="1" x14ac:dyDescent="0.25">
      <c r="BD288" s="13">
        <v>286</v>
      </c>
      <c r="BE288" s="19">
        <v>143</v>
      </c>
      <c r="BF288" s="36" t="s">
        <v>0</v>
      </c>
    </row>
    <row r="289" spans="56:58" ht="39.950000000000003" hidden="1" customHeight="1" x14ac:dyDescent="0.25">
      <c r="BD289" s="13">
        <v>287</v>
      </c>
      <c r="BE289" s="19">
        <v>143.5</v>
      </c>
      <c r="BF289" s="36" t="s">
        <v>0</v>
      </c>
    </row>
    <row r="290" spans="56:58" ht="39.950000000000003" hidden="1" customHeight="1" x14ac:dyDescent="0.25">
      <c r="BD290" s="13">
        <v>288</v>
      </c>
      <c r="BE290" s="19">
        <v>144</v>
      </c>
      <c r="BF290" s="36" t="s">
        <v>0</v>
      </c>
    </row>
    <row r="291" spans="56:58" ht="39.950000000000003" hidden="1" customHeight="1" x14ac:dyDescent="0.25">
      <c r="BD291" s="13">
        <v>289</v>
      </c>
      <c r="BE291" s="19">
        <v>144.5</v>
      </c>
      <c r="BF291" s="36" t="s">
        <v>0</v>
      </c>
    </row>
    <row r="292" spans="56:58" ht="39.950000000000003" hidden="1" customHeight="1" x14ac:dyDescent="0.25">
      <c r="BD292" s="13">
        <v>290</v>
      </c>
      <c r="BE292" s="19">
        <v>145</v>
      </c>
      <c r="BF292" s="36" t="s">
        <v>0</v>
      </c>
    </row>
    <row r="293" spans="56:58" ht="39.950000000000003" hidden="1" customHeight="1" x14ac:dyDescent="0.25">
      <c r="BD293" s="13">
        <v>291</v>
      </c>
      <c r="BE293" s="19">
        <v>145.5</v>
      </c>
      <c r="BF293" s="36" t="s">
        <v>0</v>
      </c>
    </row>
    <row r="294" spans="56:58" ht="39.950000000000003" hidden="1" customHeight="1" x14ac:dyDescent="0.25">
      <c r="BD294" s="13">
        <v>292</v>
      </c>
      <c r="BE294" s="19">
        <v>146</v>
      </c>
      <c r="BF294" s="36" t="s">
        <v>0</v>
      </c>
    </row>
    <row r="295" spans="56:58" ht="39.950000000000003" hidden="1" customHeight="1" x14ac:dyDescent="0.25">
      <c r="BD295" s="13">
        <v>293</v>
      </c>
      <c r="BE295" s="19">
        <v>146.5</v>
      </c>
      <c r="BF295" s="36" t="s">
        <v>0</v>
      </c>
    </row>
    <row r="296" spans="56:58" ht="39.950000000000003" hidden="1" customHeight="1" x14ac:dyDescent="0.25">
      <c r="BD296" s="13">
        <v>294</v>
      </c>
      <c r="BE296" s="19">
        <v>147</v>
      </c>
      <c r="BF296" s="36" t="s">
        <v>0</v>
      </c>
    </row>
    <row r="297" spans="56:58" ht="39.950000000000003" hidden="1" customHeight="1" x14ac:dyDescent="0.25">
      <c r="BD297" s="13">
        <v>295</v>
      </c>
      <c r="BE297" s="19">
        <v>147.5</v>
      </c>
      <c r="BF297" s="36" t="s">
        <v>0</v>
      </c>
    </row>
    <row r="298" spans="56:58" ht="39.950000000000003" hidden="1" customHeight="1" x14ac:dyDescent="0.25">
      <c r="BD298" s="13">
        <v>296</v>
      </c>
      <c r="BE298" s="19">
        <v>148</v>
      </c>
      <c r="BF298" s="36" t="s">
        <v>0</v>
      </c>
    </row>
    <row r="299" spans="56:58" ht="39.950000000000003" hidden="1" customHeight="1" x14ac:dyDescent="0.25">
      <c r="BD299" s="13">
        <v>297</v>
      </c>
      <c r="BE299" s="19">
        <v>148.5</v>
      </c>
      <c r="BF299" s="36" t="s">
        <v>0</v>
      </c>
    </row>
    <row r="300" spans="56:58" ht="39.950000000000003" hidden="1" customHeight="1" x14ac:dyDescent="0.25">
      <c r="BD300" s="13">
        <v>298</v>
      </c>
      <c r="BE300" s="19">
        <v>149</v>
      </c>
      <c r="BF300" s="36" t="s">
        <v>0</v>
      </c>
    </row>
    <row r="301" spans="56:58" ht="39.950000000000003" hidden="1" customHeight="1" x14ac:dyDescent="0.25">
      <c r="BD301" s="13">
        <v>299</v>
      </c>
      <c r="BE301" s="19">
        <v>149.5</v>
      </c>
      <c r="BF301" s="36" t="s">
        <v>0</v>
      </c>
    </row>
    <row r="302" spans="56:58" ht="39.950000000000003" hidden="1" customHeight="1" x14ac:dyDescent="0.25">
      <c r="BD302" s="13">
        <v>300</v>
      </c>
      <c r="BE302" s="19">
        <v>150</v>
      </c>
      <c r="BF302" s="36" t="s">
        <v>0</v>
      </c>
    </row>
    <row r="303" spans="56:58" ht="39.950000000000003" hidden="1" customHeight="1" x14ac:dyDescent="0.25">
      <c r="BD303" s="13">
        <v>301</v>
      </c>
      <c r="BE303" s="19">
        <v>150.5</v>
      </c>
      <c r="BF303" s="36" t="s">
        <v>0</v>
      </c>
    </row>
    <row r="304" spans="56:58" ht="39.950000000000003" hidden="1" customHeight="1" x14ac:dyDescent="0.25">
      <c r="BD304" s="13">
        <v>302</v>
      </c>
      <c r="BE304" s="19">
        <v>151</v>
      </c>
      <c r="BF304" s="36" t="s">
        <v>0</v>
      </c>
    </row>
    <row r="305" spans="56:58" ht="39.950000000000003" hidden="1" customHeight="1" x14ac:dyDescent="0.25">
      <c r="BD305" s="13">
        <v>303</v>
      </c>
      <c r="BE305" s="19">
        <v>151.5</v>
      </c>
      <c r="BF305" s="36" t="s">
        <v>0</v>
      </c>
    </row>
    <row r="306" spans="56:58" ht="39.950000000000003" hidden="1" customHeight="1" x14ac:dyDescent="0.25">
      <c r="BD306" s="13">
        <v>304</v>
      </c>
      <c r="BE306" s="19">
        <v>152</v>
      </c>
      <c r="BF306" s="36" t="s">
        <v>0</v>
      </c>
    </row>
    <row r="307" spans="56:58" ht="39.950000000000003" hidden="1" customHeight="1" x14ac:dyDescent="0.25">
      <c r="BD307" s="13">
        <v>305</v>
      </c>
      <c r="BE307" s="19">
        <v>152.5</v>
      </c>
      <c r="BF307" s="36" t="s">
        <v>0</v>
      </c>
    </row>
    <row r="308" spans="56:58" ht="39.950000000000003" hidden="1" customHeight="1" x14ac:dyDescent="0.25">
      <c r="BD308" s="13">
        <v>306</v>
      </c>
      <c r="BE308" s="19">
        <v>153</v>
      </c>
      <c r="BF308" s="36" t="s">
        <v>0</v>
      </c>
    </row>
    <row r="309" spans="56:58" ht="39.950000000000003" hidden="1" customHeight="1" x14ac:dyDescent="0.25">
      <c r="BD309" s="13">
        <v>307</v>
      </c>
      <c r="BE309" s="19">
        <v>153.5</v>
      </c>
      <c r="BF309" s="36" t="s">
        <v>0</v>
      </c>
    </row>
    <row r="310" spans="56:58" ht="39.950000000000003" hidden="1" customHeight="1" x14ac:dyDescent="0.25">
      <c r="BD310" s="13">
        <v>308</v>
      </c>
      <c r="BE310" s="19">
        <v>154</v>
      </c>
      <c r="BF310" s="36" t="s">
        <v>0</v>
      </c>
    </row>
    <row r="311" spans="56:58" ht="39.950000000000003" hidden="1" customHeight="1" x14ac:dyDescent="0.25">
      <c r="BD311" s="13">
        <v>309</v>
      </c>
      <c r="BE311" s="19">
        <v>154.5</v>
      </c>
      <c r="BF311" s="36" t="s">
        <v>0</v>
      </c>
    </row>
    <row r="312" spans="56:58" ht="39.950000000000003" hidden="1" customHeight="1" x14ac:dyDescent="0.25">
      <c r="BD312" s="13">
        <v>310</v>
      </c>
      <c r="BE312" s="19">
        <v>155</v>
      </c>
      <c r="BF312" s="36" t="s">
        <v>0</v>
      </c>
    </row>
    <row r="313" spans="56:58" ht="39.950000000000003" hidden="1" customHeight="1" x14ac:dyDescent="0.25">
      <c r="BD313" s="13">
        <v>311</v>
      </c>
      <c r="BE313" s="19">
        <v>155.5</v>
      </c>
      <c r="BF313" s="36" t="s">
        <v>0</v>
      </c>
    </row>
    <row r="314" spans="56:58" ht="39.950000000000003" hidden="1" customHeight="1" x14ac:dyDescent="0.25">
      <c r="BD314" s="13">
        <v>312</v>
      </c>
      <c r="BE314" s="19">
        <v>156</v>
      </c>
      <c r="BF314" s="36" t="s">
        <v>0</v>
      </c>
    </row>
    <row r="315" spans="56:58" ht="39.950000000000003" hidden="1" customHeight="1" x14ac:dyDescent="0.25">
      <c r="BD315" s="13">
        <v>313</v>
      </c>
      <c r="BE315" s="19">
        <v>156.5</v>
      </c>
      <c r="BF315" s="36" t="s">
        <v>0</v>
      </c>
    </row>
    <row r="316" spans="56:58" ht="39.950000000000003" hidden="1" customHeight="1" x14ac:dyDescent="0.25">
      <c r="BD316" s="13">
        <v>314</v>
      </c>
      <c r="BE316" s="19">
        <v>157</v>
      </c>
      <c r="BF316" s="36" t="s">
        <v>0</v>
      </c>
    </row>
    <row r="317" spans="56:58" ht="39.950000000000003" hidden="1" customHeight="1" x14ac:dyDescent="0.25">
      <c r="BD317" s="13">
        <v>315</v>
      </c>
      <c r="BE317" s="19">
        <v>157.5</v>
      </c>
      <c r="BF317" s="36" t="s">
        <v>0</v>
      </c>
    </row>
    <row r="318" spans="56:58" ht="39.950000000000003" hidden="1" customHeight="1" x14ac:dyDescent="0.25">
      <c r="BD318" s="13">
        <v>316</v>
      </c>
      <c r="BE318" s="19">
        <v>158</v>
      </c>
      <c r="BF318" s="36" t="s">
        <v>0</v>
      </c>
    </row>
    <row r="319" spans="56:58" ht="39.950000000000003" hidden="1" customHeight="1" x14ac:dyDescent="0.25">
      <c r="BD319" s="13">
        <v>317</v>
      </c>
      <c r="BE319" s="19">
        <v>158.5</v>
      </c>
      <c r="BF319" s="36" t="s">
        <v>0</v>
      </c>
    </row>
    <row r="320" spans="56:58" ht="39.950000000000003" hidden="1" customHeight="1" x14ac:dyDescent="0.25">
      <c r="BD320" s="13">
        <v>318</v>
      </c>
      <c r="BE320" s="19">
        <v>159</v>
      </c>
      <c r="BF320" s="36" t="s">
        <v>0</v>
      </c>
    </row>
    <row r="321" spans="56:58" ht="39.950000000000003" hidden="1" customHeight="1" x14ac:dyDescent="0.25">
      <c r="BD321" s="13">
        <v>319</v>
      </c>
      <c r="BE321" s="19">
        <v>159.5</v>
      </c>
      <c r="BF321" s="36" t="s">
        <v>0</v>
      </c>
    </row>
    <row r="322" spans="56:58" ht="39.950000000000003" hidden="1" customHeight="1" x14ac:dyDescent="0.25">
      <c r="BD322" s="13">
        <v>320</v>
      </c>
      <c r="BE322" s="19">
        <v>160</v>
      </c>
      <c r="BF322" s="36" t="s">
        <v>0</v>
      </c>
    </row>
    <row r="323" spans="56:58" ht="39.950000000000003" hidden="1" customHeight="1" x14ac:dyDescent="0.25">
      <c r="BD323" s="13">
        <v>321</v>
      </c>
      <c r="BE323" s="19">
        <v>160.5</v>
      </c>
      <c r="BF323" s="36" t="s">
        <v>0</v>
      </c>
    </row>
    <row r="324" spans="56:58" ht="39.950000000000003" hidden="1" customHeight="1" x14ac:dyDescent="0.25">
      <c r="BD324" s="13">
        <v>322</v>
      </c>
      <c r="BE324" s="19">
        <v>161</v>
      </c>
      <c r="BF324" s="36" t="s">
        <v>0</v>
      </c>
    </row>
    <row r="325" spans="56:58" ht="39.950000000000003" hidden="1" customHeight="1" x14ac:dyDescent="0.25">
      <c r="BD325" s="13">
        <v>323</v>
      </c>
      <c r="BE325" s="19">
        <v>161.5</v>
      </c>
      <c r="BF325" s="36" t="s">
        <v>0</v>
      </c>
    </row>
    <row r="326" spans="56:58" ht="39.950000000000003" hidden="1" customHeight="1" x14ac:dyDescent="0.25">
      <c r="BD326" s="13">
        <v>324</v>
      </c>
      <c r="BE326" s="19">
        <v>162</v>
      </c>
      <c r="BF326" s="36" t="s">
        <v>0</v>
      </c>
    </row>
    <row r="327" spans="56:58" ht="39.950000000000003" hidden="1" customHeight="1" x14ac:dyDescent="0.25">
      <c r="BD327" s="13">
        <v>325</v>
      </c>
      <c r="BE327" s="19">
        <v>162.5</v>
      </c>
      <c r="BF327" s="36" t="s">
        <v>0</v>
      </c>
    </row>
    <row r="328" spans="56:58" ht="39.950000000000003" hidden="1" customHeight="1" x14ac:dyDescent="0.25">
      <c r="BD328" s="13">
        <v>326</v>
      </c>
      <c r="BE328" s="19">
        <v>163</v>
      </c>
      <c r="BF328" s="36" t="s">
        <v>0</v>
      </c>
    </row>
    <row r="329" spans="56:58" ht="39.950000000000003" hidden="1" customHeight="1" x14ac:dyDescent="0.25">
      <c r="BD329" s="13">
        <v>327</v>
      </c>
      <c r="BE329" s="19">
        <v>163.5</v>
      </c>
      <c r="BF329" s="36" t="s">
        <v>0</v>
      </c>
    </row>
    <row r="330" spans="56:58" ht="39.950000000000003" hidden="1" customHeight="1" x14ac:dyDescent="0.25">
      <c r="BD330" s="13">
        <v>328</v>
      </c>
      <c r="BE330" s="19">
        <v>164</v>
      </c>
      <c r="BF330" s="36" t="s">
        <v>0</v>
      </c>
    </row>
    <row r="331" spans="56:58" ht="39.950000000000003" hidden="1" customHeight="1" x14ac:dyDescent="0.25">
      <c r="BD331" s="13">
        <v>329</v>
      </c>
      <c r="BE331" s="19">
        <v>164.5</v>
      </c>
      <c r="BF331" s="36" t="s">
        <v>0</v>
      </c>
    </row>
    <row r="332" spans="56:58" ht="39.950000000000003" hidden="1" customHeight="1" x14ac:dyDescent="0.25">
      <c r="BD332" s="13">
        <v>330</v>
      </c>
      <c r="BE332" s="19">
        <v>165</v>
      </c>
      <c r="BF332" s="36" t="s">
        <v>0</v>
      </c>
    </row>
    <row r="333" spans="56:58" ht="39.950000000000003" hidden="1" customHeight="1" x14ac:dyDescent="0.25">
      <c r="BD333" s="13">
        <v>331</v>
      </c>
      <c r="BE333" s="19">
        <v>165.5</v>
      </c>
      <c r="BF333" s="36" t="s">
        <v>0</v>
      </c>
    </row>
    <row r="334" spans="56:58" ht="39.950000000000003" hidden="1" customHeight="1" x14ac:dyDescent="0.25">
      <c r="BD334" s="13">
        <v>332</v>
      </c>
      <c r="BE334" s="19">
        <v>166</v>
      </c>
      <c r="BF334" s="36" t="s">
        <v>0</v>
      </c>
    </row>
    <row r="335" spans="56:58" ht="39.950000000000003" hidden="1" customHeight="1" x14ac:dyDescent="0.25">
      <c r="BD335" s="13">
        <v>333</v>
      </c>
      <c r="BE335" s="19">
        <v>166.5</v>
      </c>
      <c r="BF335" s="36" t="s">
        <v>0</v>
      </c>
    </row>
    <row r="336" spans="56:58" ht="39.950000000000003" hidden="1" customHeight="1" x14ac:dyDescent="0.25">
      <c r="BD336" s="13">
        <v>334</v>
      </c>
      <c r="BE336" s="19">
        <v>167</v>
      </c>
      <c r="BF336" s="36" t="s">
        <v>0</v>
      </c>
    </row>
    <row r="337" spans="56:58" ht="39.950000000000003" hidden="1" customHeight="1" x14ac:dyDescent="0.25">
      <c r="BD337" s="13">
        <v>335</v>
      </c>
      <c r="BE337" s="19">
        <v>167.5</v>
      </c>
      <c r="BF337" s="36" t="s">
        <v>0</v>
      </c>
    </row>
    <row r="338" spans="56:58" ht="39.950000000000003" hidden="1" customHeight="1" x14ac:dyDescent="0.25">
      <c r="BD338" s="13">
        <v>336</v>
      </c>
      <c r="BE338" s="19">
        <v>168</v>
      </c>
      <c r="BF338" s="36" t="s">
        <v>0</v>
      </c>
    </row>
    <row r="339" spans="56:58" ht="39.950000000000003" hidden="1" customHeight="1" x14ac:dyDescent="0.25">
      <c r="BD339" s="13">
        <v>337</v>
      </c>
      <c r="BE339" s="19">
        <v>168.5</v>
      </c>
      <c r="BF339" s="36" t="s">
        <v>0</v>
      </c>
    </row>
    <row r="340" spans="56:58" ht="39.950000000000003" hidden="1" customHeight="1" x14ac:dyDescent="0.25">
      <c r="BD340" s="13">
        <v>338</v>
      </c>
      <c r="BE340" s="19">
        <v>169</v>
      </c>
      <c r="BF340" s="36" t="s">
        <v>0</v>
      </c>
    </row>
    <row r="341" spans="56:58" ht="39.950000000000003" hidden="1" customHeight="1" x14ac:dyDescent="0.25">
      <c r="BD341" s="13">
        <v>339</v>
      </c>
      <c r="BE341" s="19">
        <v>169.5</v>
      </c>
      <c r="BF341" s="36" t="s">
        <v>0</v>
      </c>
    </row>
    <row r="342" spans="56:58" ht="39.950000000000003" hidden="1" customHeight="1" x14ac:dyDescent="0.25">
      <c r="BD342" s="13">
        <v>340</v>
      </c>
      <c r="BE342" s="19">
        <v>170</v>
      </c>
      <c r="BF342" s="36" t="s">
        <v>0</v>
      </c>
    </row>
    <row r="343" spans="56:58" ht="39.950000000000003" hidden="1" customHeight="1" x14ac:dyDescent="0.25">
      <c r="BD343" s="13">
        <v>341</v>
      </c>
      <c r="BE343" s="19">
        <v>170.5</v>
      </c>
      <c r="BF343" s="36" t="s">
        <v>0</v>
      </c>
    </row>
    <row r="344" spans="56:58" ht="39.950000000000003" hidden="1" customHeight="1" x14ac:dyDescent="0.25">
      <c r="BD344" s="13">
        <v>342</v>
      </c>
      <c r="BE344" s="19">
        <v>171</v>
      </c>
      <c r="BF344" s="36" t="s">
        <v>0</v>
      </c>
    </row>
    <row r="345" spans="56:58" ht="39.950000000000003" hidden="1" customHeight="1" x14ac:dyDescent="0.25">
      <c r="BD345" s="13">
        <v>343</v>
      </c>
      <c r="BE345" s="19">
        <v>171.5</v>
      </c>
      <c r="BF345" s="36" t="s">
        <v>0</v>
      </c>
    </row>
    <row r="346" spans="56:58" ht="39.950000000000003" hidden="1" customHeight="1" x14ac:dyDescent="0.25">
      <c r="BD346" s="13">
        <v>344</v>
      </c>
      <c r="BE346" s="19">
        <v>172</v>
      </c>
      <c r="BF346" s="36" t="s">
        <v>0</v>
      </c>
    </row>
    <row r="347" spans="56:58" ht="39.950000000000003" hidden="1" customHeight="1" x14ac:dyDescent="0.25">
      <c r="BD347" s="13">
        <v>345</v>
      </c>
      <c r="BE347" s="19">
        <v>172.5</v>
      </c>
      <c r="BF347" s="36" t="s">
        <v>0</v>
      </c>
    </row>
    <row r="348" spans="56:58" ht="39.950000000000003" hidden="1" customHeight="1" x14ac:dyDescent="0.25">
      <c r="BD348" s="13">
        <v>346</v>
      </c>
      <c r="BE348" s="19">
        <v>173</v>
      </c>
      <c r="BF348" s="36" t="s">
        <v>0</v>
      </c>
    </row>
    <row r="349" spans="56:58" ht="39.950000000000003" hidden="1" customHeight="1" x14ac:dyDescent="0.25">
      <c r="BD349" s="13">
        <v>347</v>
      </c>
      <c r="BE349" s="19">
        <v>173.5</v>
      </c>
      <c r="BF349" s="36" t="s">
        <v>0</v>
      </c>
    </row>
    <row r="350" spans="56:58" ht="39.950000000000003" hidden="1" customHeight="1" x14ac:dyDescent="0.25">
      <c r="BD350" s="13">
        <v>348</v>
      </c>
      <c r="BE350" s="19">
        <v>174</v>
      </c>
      <c r="BF350" s="36" t="s">
        <v>0</v>
      </c>
    </row>
    <row r="351" spans="56:58" ht="39.950000000000003" hidden="1" customHeight="1" x14ac:dyDescent="0.25">
      <c r="BD351" s="13">
        <v>349</v>
      </c>
      <c r="BE351" s="19">
        <v>174.5</v>
      </c>
      <c r="BF351" s="36" t="s">
        <v>0</v>
      </c>
    </row>
    <row r="352" spans="56:58" ht="39.950000000000003" hidden="1" customHeight="1" x14ac:dyDescent="0.25">
      <c r="BD352" s="13">
        <v>350</v>
      </c>
      <c r="BE352" s="19">
        <v>175</v>
      </c>
      <c r="BF352" s="36" t="s">
        <v>0</v>
      </c>
    </row>
    <row r="353" spans="56:58" ht="39.950000000000003" hidden="1" customHeight="1" x14ac:dyDescent="0.25">
      <c r="BD353" s="13">
        <v>351</v>
      </c>
      <c r="BE353" s="19">
        <v>175.5</v>
      </c>
      <c r="BF353" s="36" t="s">
        <v>0</v>
      </c>
    </row>
    <row r="354" spans="56:58" ht="39.950000000000003" hidden="1" customHeight="1" x14ac:dyDescent="0.25">
      <c r="BD354" s="13">
        <v>352</v>
      </c>
      <c r="BE354" s="19">
        <v>176</v>
      </c>
      <c r="BF354" s="36" t="s">
        <v>0</v>
      </c>
    </row>
    <row r="355" spans="56:58" ht="39.950000000000003" hidden="1" customHeight="1" x14ac:dyDescent="0.25">
      <c r="BD355" s="13">
        <v>353</v>
      </c>
      <c r="BE355" s="19">
        <v>176.5</v>
      </c>
      <c r="BF355" s="36" t="s">
        <v>0</v>
      </c>
    </row>
    <row r="356" spans="56:58" ht="39.950000000000003" hidden="1" customHeight="1" x14ac:dyDescent="0.25">
      <c r="BD356" s="13">
        <v>354</v>
      </c>
      <c r="BE356" s="19">
        <v>177</v>
      </c>
      <c r="BF356" s="36" t="s">
        <v>0</v>
      </c>
    </row>
    <row r="357" spans="56:58" ht="39.950000000000003" hidden="1" customHeight="1" x14ac:dyDescent="0.25">
      <c r="BD357" s="13">
        <v>355</v>
      </c>
      <c r="BE357" s="19">
        <v>177.5</v>
      </c>
      <c r="BF357" s="36" t="s">
        <v>0</v>
      </c>
    </row>
    <row r="358" spans="56:58" ht="39.950000000000003" hidden="1" customHeight="1" x14ac:dyDescent="0.25">
      <c r="BD358" s="13">
        <v>356</v>
      </c>
      <c r="BE358" s="19">
        <v>178</v>
      </c>
      <c r="BF358" s="36" t="s">
        <v>0</v>
      </c>
    </row>
    <row r="359" spans="56:58" ht="39.950000000000003" hidden="1" customHeight="1" x14ac:dyDescent="0.25">
      <c r="BD359" s="13">
        <v>357</v>
      </c>
      <c r="BE359" s="19">
        <v>178.5</v>
      </c>
      <c r="BF359" s="36" t="s">
        <v>0</v>
      </c>
    </row>
    <row r="360" spans="56:58" ht="39.950000000000003" hidden="1" customHeight="1" x14ac:dyDescent="0.25">
      <c r="BD360" s="13">
        <v>358</v>
      </c>
      <c r="BE360" s="19">
        <v>179</v>
      </c>
      <c r="BF360" s="36" t="s">
        <v>0</v>
      </c>
    </row>
    <row r="361" spans="56:58" ht="39.950000000000003" hidden="1" customHeight="1" x14ac:dyDescent="0.25">
      <c r="BD361" s="13">
        <v>359</v>
      </c>
      <c r="BE361" s="19">
        <v>179.5</v>
      </c>
      <c r="BF361" s="36" t="s">
        <v>0</v>
      </c>
    </row>
    <row r="362" spans="56:58" ht="39.950000000000003" hidden="1" customHeight="1" x14ac:dyDescent="0.25">
      <c r="BD362" s="13">
        <v>360</v>
      </c>
      <c r="BE362" s="19">
        <v>180</v>
      </c>
      <c r="BF362" s="36" t="s">
        <v>0</v>
      </c>
    </row>
    <row r="363" spans="56:58" ht="9.9499999999999993" hidden="1" customHeight="1" x14ac:dyDescent="0.25"/>
  </sheetData>
  <sheetProtection algorithmName="SHA-512" hashValue="AwmiFNICVAJp8tL/Td/veRk8HK6NRdMvIn4tKurPBbI5mVygfI7TcIjGElI1fAJ2Glq/NCTrgtVcjLcY8Exfpw==" saltValue="Fz6BneUr/p5U+tl3wwG6jg==" spinCount="100000" sheet="1" objects="1" scenarios="1" selectLockedCells="1"/>
  <mergeCells count="42">
    <mergeCell ref="C10:C14"/>
    <mergeCell ref="B15:C15"/>
    <mergeCell ref="B25:C25"/>
    <mergeCell ref="B27:C27"/>
    <mergeCell ref="B28:C28"/>
    <mergeCell ref="C1:C4"/>
    <mergeCell ref="B1:B4"/>
    <mergeCell ref="B5:B9"/>
    <mergeCell ref="C5:C9"/>
    <mergeCell ref="B16:C16"/>
    <mergeCell ref="B17:C17"/>
    <mergeCell ref="B18:C18"/>
    <mergeCell ref="B19:C19"/>
    <mergeCell ref="B20:C20"/>
    <mergeCell ref="B21:C21"/>
    <mergeCell ref="B22:C22"/>
    <mergeCell ref="B23:C23"/>
    <mergeCell ref="B24:C24"/>
    <mergeCell ref="B10:B14"/>
    <mergeCell ref="D1:D14"/>
    <mergeCell ref="F1:F14"/>
    <mergeCell ref="A1:A14"/>
    <mergeCell ref="I1:I14"/>
    <mergeCell ref="X2:X27"/>
    <mergeCell ref="W2:W27"/>
    <mergeCell ref="V1:X1"/>
    <mergeCell ref="S1:S28"/>
    <mergeCell ref="V28:X28"/>
    <mergeCell ref="T1:T28"/>
    <mergeCell ref="Q1:Q14"/>
    <mergeCell ref="P1:P14"/>
    <mergeCell ref="V2:V27"/>
    <mergeCell ref="O1:O14"/>
    <mergeCell ref="U1:U28"/>
    <mergeCell ref="B26:C26"/>
    <mergeCell ref="E1:E14"/>
    <mergeCell ref="J1:L14"/>
    <mergeCell ref="Y1:Y28"/>
    <mergeCell ref="M1:M14"/>
    <mergeCell ref="N1:N14"/>
    <mergeCell ref="H1:H14"/>
    <mergeCell ref="G1:G14"/>
  </mergeCells>
  <phoneticPr fontId="4" type="noConversion"/>
  <dataValidations count="11">
    <dataValidation type="list" allowBlank="1" showInputMessage="1" showErrorMessage="1" sqref="AO29:AO40" xr:uid="{20F10BB2-A164-41CB-BF37-5B92258AC821}">
      <formula1>"Yok, Var"</formula1>
    </dataValidation>
    <dataValidation type="list" allowBlank="1" showInputMessage="1" showErrorMessage="1" sqref="M15:M26" xr:uid="{D6DB34B5-9590-4803-9833-F0079B9818CB}">
      <formula1>$BF$2:$BF$50</formula1>
    </dataValidation>
    <dataValidation type="list" allowBlank="1" showInputMessage="1" showErrorMessage="1" sqref="S1:S28" xr:uid="{00000000-0002-0000-0000-000002000000}">
      <formula1>"Ocak, Şubat, Mart, Nisan, Mayıs, Haziran, Temmuz, Ağustos, Eylül, Ekim, Kasım, Aralık, Yıllık Toplam, Yıllık Ortalama"</formula1>
    </dataValidation>
    <dataValidation type="list" allowBlank="1" showInputMessage="1" showErrorMessage="1" sqref="AE18" xr:uid="{00000000-0002-0000-0000-000003000000}">
      <formula1>#REF!</formula1>
    </dataValidation>
    <dataValidation type="list" allowBlank="1" showInputMessage="1" showErrorMessage="1" sqref="R17:R26 E15:I26 M15:Q26" xr:uid="{00000000-0002-0000-0000-000005000000}">
      <formula1>$BE$2:$BE$362</formula1>
    </dataValidation>
    <dataValidation type="list" allowBlank="1" showInputMessage="1" showErrorMessage="1" sqref="AI29:AI40 I15:I26 AE29:AE40 AU1:AU12 D15:D26" xr:uid="{00000000-0002-0000-0000-000006000000}">
      <formula1>$BD$2:$BD$362</formula1>
    </dataValidation>
    <dataValidation type="list" allowBlank="1" showInputMessage="1" showErrorMessage="1" sqref="N15:N26" xr:uid="{7325020B-39D5-44BD-BE83-E1F4896C42EB}">
      <formula1>"Yok,1. Derece,2. Derece,3. Derece"</formula1>
    </dataValidation>
    <dataValidation type="list" allowBlank="1" showInputMessage="1" showErrorMessage="1" sqref="A1:A14" xr:uid="{ED3E3646-9B85-4FC6-81EA-D4ECEE5C785A}">
      <formula1>$Z$21:$Z$33</formula1>
    </dataValidation>
    <dataValidation type="list" allowBlank="1" showInputMessage="1" showErrorMessage="1" sqref="J15:L26" xr:uid="{BBFFD913-69CC-44D0-8837-AE74DDDF439D}">
      <formula1>$AB$71:$AB$86</formula1>
    </dataValidation>
    <dataValidation type="list" allowBlank="1" showInputMessage="1" showErrorMessage="1" sqref="U1" xr:uid="{00000000-0002-0000-0000-000007000000}">
      <formula1>$AW$1:$AW$14</formula1>
    </dataValidation>
    <dataValidation type="list" allowBlank="1" showInputMessage="1" showErrorMessage="1" sqref="J15:L26" xr:uid="{66905E7C-9BA2-45A8-94CD-96724A2310CF}">
      <formula1>$R$1:$R$16</formula1>
    </dataValidation>
  </dataValidations>
  <printOptions horizontalCentered="1" verticalCentered="1"/>
  <pageMargins left="0" right="0" top="0" bottom="0" header="0" footer="0"/>
  <pageSetup paperSize="8"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17</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Özet Tablo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dc:creator>
  <dc:description/>
  <cp:lastModifiedBy>½</cp:lastModifiedBy>
  <cp:lastPrinted>2021-01-27T16:23:43Z</cp:lastPrinted>
  <dcterms:created xsi:type="dcterms:W3CDTF">2015-06-05T18:19:34Z</dcterms:created>
  <dcterms:modified xsi:type="dcterms:W3CDTF">2026-10-21T06:47:41Z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