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codeName="BuÇalışmaKitabı" autoCompressPictures="0" defaultThemeVersion="124226"/>
  <mc:AlternateContent xmlns:mc="http://schemas.openxmlformats.org/markup-compatibility/2006">
    <mc:Choice Requires="x15">
      <x15ac:absPath xmlns:x15ac="http://schemas.microsoft.com/office/spreadsheetml/2010/11/ac" url="D:\Arif Gürer\Emek Defteri\Ödenekler Hesabı\01 - Genel Çalışmalar\Eklenenler\"/>
    </mc:Choice>
  </mc:AlternateContent>
  <xr:revisionPtr revIDLastSave="0" documentId="13_ncr:1_{54912165-70C4-484A-A334-850C4220BB9F}" xr6:coauthVersionLast="47" xr6:coauthVersionMax="47" xr10:uidLastSave="{00000000-0000-0000-0000-000000000000}"/>
  <workbookProtection workbookAlgorithmName="SHA-512" workbookHashValue="DgVZmGZHA2X+FPPBNj5LlnaA1MTFH43IS1i7jvRtmAw4DUDGaleB0k8gNHKSPYxWc4rtvuuXS26kguI02sHUtw==" workbookSaltValue="ovIXTM2setgE17xFuaoWcg==" workbookSpinCount="100000" lockStructure="1"/>
  <bookViews>
    <workbookView xWindow="-120" yWindow="-120" windowWidth="29040" windowHeight="15840" xr2:uid="{00000000-000D-0000-FFFF-FFFF00000000}"/>
  </bookViews>
  <sheets>
    <sheet name="Özet Tablo" sheetId="130" r:id="rId1"/>
  </sheets>
  <definedNames>
    <definedName name="_xlnm._FilterDatabase" localSheetId="0" hidden="1">'Özet Tablo'!#REF!</definedName>
    <definedName name="Bartın_854">'Özet Tablo'!#REF!</definedName>
    <definedName name="Çanakkale_4857">'Özet Tablo'!#REF!</definedName>
    <definedName name="Çanakkale_854">'Özet Tablo'!#REF!</definedName>
    <definedName name="İST_K_4857">'Özet Tablo'!#REF!</definedName>
    <definedName name="İST_K_854">'Özet Tablo'!#REF!</definedName>
    <definedName name="İST_K_854_Deniz_Taksi">'Özet Tablo'!#REF!</definedName>
    <definedName name="İST_K_Güvenlik_Kapsam_Dışı">'Özet Tablo'!#REF!</definedName>
    <definedName name="İST_K_Kafe_Kapsam_Dışı">'Özet Tablo'!#REF!</definedName>
    <definedName name="İST_K_Temizlik_Kapsam_Dışı">'Özet Tablo'!#REF!</definedName>
    <definedName name="İST_Ö_4857">'Özet Tablo'!#REF!</definedName>
    <definedName name="İST_Ö_854">'Özet Tablo'!#REF!</definedName>
    <definedName name="İzmir_4857">'Özet Tablo'!#REF!</definedName>
    <definedName name="İzmir_854">'Özet Tablo'!#REF!</definedName>
    <definedName name="Zonguldak_854">'Özet Tablo'!#REF!</definedName>
  </definedNames>
  <calcPr calcId="191029" iterate="1"/>
  <extLst>
    <ext xmlns:x14="http://schemas.microsoft.com/office/spreadsheetml/2009/9/main" uri="{79F54976-1DA5-4618-B147-4CDE4B953A38}">
      <x14:workbookPr defaultImageDpi="32767"/>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21" i="130" l="1"/>
  <c r="BG23" i="130"/>
  <c r="BG24" i="130"/>
  <c r="BG25" i="130"/>
  <c r="BG26" i="130"/>
  <c r="BG22" i="130"/>
  <c r="AE2" i="130"/>
  <c r="AE3" i="130"/>
  <c r="AE4" i="130"/>
  <c r="AE5" i="130"/>
  <c r="AE6" i="130"/>
  <c r="AE7" i="130"/>
  <c r="AE8" i="130"/>
  <c r="AE9" i="130"/>
  <c r="AE10" i="130"/>
  <c r="AE11" i="130"/>
  <c r="AE12" i="130"/>
  <c r="AE13" i="130"/>
  <c r="AE1" i="130"/>
  <c r="BG18" i="130"/>
  <c r="BG19" i="130"/>
  <c r="BG20" i="130"/>
  <c r="BG16" i="130"/>
  <c r="BG17" i="130"/>
  <c r="AP16" i="130"/>
  <c r="BD16" i="130" s="1"/>
  <c r="AP15" i="130"/>
  <c r="BD15" i="130" s="1"/>
  <c r="AR16" i="130"/>
  <c r="AR15" i="130"/>
  <c r="AK2" i="130"/>
  <c r="AK3" i="130"/>
  <c r="AK4" i="130"/>
  <c r="AK5" i="130"/>
  <c r="AK6" i="130"/>
  <c r="AK7" i="130"/>
  <c r="AK8" i="130"/>
  <c r="AK9" i="130"/>
  <c r="AK10" i="130"/>
  <c r="AK11" i="130"/>
  <c r="AK12" i="130"/>
  <c r="AK1" i="130"/>
  <c r="C1" i="130"/>
  <c r="AT29" i="130"/>
  <c r="AT30" i="130"/>
  <c r="BG15" i="130"/>
  <c r="AQ39" i="130"/>
  <c r="AQ38" i="130"/>
  <c r="AQ36" i="130"/>
  <c r="AQ35" i="130"/>
  <c r="AQ33" i="130"/>
  <c r="AQ32" i="130"/>
  <c r="AQ29" i="130"/>
  <c r="AQ30" i="130"/>
  <c r="AL30" i="130"/>
  <c r="AL31" i="130"/>
  <c r="AL32" i="130"/>
  <c r="AL33" i="130"/>
  <c r="AL34" i="130"/>
  <c r="AL35" i="130"/>
  <c r="AL36" i="130"/>
  <c r="AL37" i="130"/>
  <c r="AL38" i="130"/>
  <c r="AL39" i="130"/>
  <c r="AL40" i="130"/>
  <c r="AL29" i="130"/>
  <c r="AO29" i="130" l="1"/>
  <c r="AO30" i="130"/>
  <c r="AM30" i="130"/>
  <c r="AM31" i="130"/>
  <c r="AM32" i="130"/>
  <c r="AM33" i="130"/>
  <c r="AM34" i="130"/>
  <c r="AM35" i="130"/>
  <c r="AM36" i="130"/>
  <c r="AM37" i="130"/>
  <c r="AM38" i="130"/>
  <c r="AM39" i="130"/>
  <c r="AM40" i="130"/>
  <c r="AM29" i="130"/>
  <c r="AV16" i="130"/>
  <c r="AV17" i="130"/>
  <c r="AV18" i="130"/>
  <c r="AV19" i="130"/>
  <c r="AV20" i="130"/>
  <c r="AV21" i="130"/>
  <c r="AV22" i="130"/>
  <c r="AV23" i="130"/>
  <c r="AV24" i="130"/>
  <c r="AV25" i="130"/>
  <c r="AV26" i="130"/>
  <c r="AV15" i="130"/>
  <c r="BI15" i="130" l="1"/>
  <c r="BI16" i="130"/>
  <c r="BB16" i="130" l="1"/>
  <c r="BB15" i="130"/>
  <c r="AX16" i="130"/>
  <c r="AZ16" i="130"/>
  <c r="AX15" i="130"/>
  <c r="AZ15" i="130"/>
  <c r="AM4" i="130"/>
  <c r="AQ4" i="130" s="1"/>
  <c r="AM5" i="130"/>
  <c r="AM6" i="130"/>
  <c r="AN6" i="130" s="1"/>
  <c r="AO6" i="130" s="1"/>
  <c r="AP6" i="130" s="1"/>
  <c r="AM7" i="130"/>
  <c r="AN7" i="130" s="1"/>
  <c r="AM8" i="130"/>
  <c r="AN8" i="130" s="1"/>
  <c r="AM9" i="130"/>
  <c r="AM10" i="130"/>
  <c r="AN10" i="130" s="1"/>
  <c r="AO10" i="130" s="1"/>
  <c r="AP10" i="130" s="1"/>
  <c r="AM11" i="130"/>
  <c r="AQ11" i="130" s="1"/>
  <c r="AR11" i="130" s="1"/>
  <c r="AM12" i="130"/>
  <c r="AM1" i="130"/>
  <c r="AQ1" i="130" s="1"/>
  <c r="AR1" i="130" s="1"/>
  <c r="AM2" i="130"/>
  <c r="AM3" i="130"/>
  <c r="AQ3" i="130" s="1"/>
  <c r="AY30" i="130"/>
  <c r="AY31" i="130"/>
  <c r="AY32" i="130"/>
  <c r="AY33" i="130"/>
  <c r="AY34" i="130"/>
  <c r="AY35" i="130"/>
  <c r="AY36" i="130"/>
  <c r="AY37" i="130"/>
  <c r="AY38" i="130"/>
  <c r="AY39" i="130"/>
  <c r="AY40" i="130"/>
  <c r="AY29" i="130"/>
  <c r="F27" i="130"/>
  <c r="AX58" i="130"/>
  <c r="AW58" i="130"/>
  <c r="AV43" i="130"/>
  <c r="AU43" i="130"/>
  <c r="AZ40" i="130"/>
  <c r="BD40" i="130" s="1"/>
  <c r="AZ39" i="130"/>
  <c r="BD39" i="130" s="1"/>
  <c r="AZ38" i="130"/>
  <c r="BA38" i="130" s="1"/>
  <c r="AZ37" i="130"/>
  <c r="BE37" i="130" s="1"/>
  <c r="AZ36" i="130"/>
  <c r="BA51" i="130" s="1"/>
  <c r="AZ35" i="130"/>
  <c r="BD35" i="130" s="1"/>
  <c r="AZ34" i="130"/>
  <c r="AZ33" i="130"/>
  <c r="BE33" i="130" s="1"/>
  <c r="AZ32" i="130"/>
  <c r="BA32" i="130" s="1"/>
  <c r="BB32" i="130" s="1"/>
  <c r="BC32" i="130" s="1"/>
  <c r="AZ31" i="130"/>
  <c r="BA31" i="130" s="1"/>
  <c r="AZ30" i="130"/>
  <c r="AZ29" i="130"/>
  <c r="BA29" i="130" s="1"/>
  <c r="AG13" i="130"/>
  <c r="AG34" i="130"/>
  <c r="AG33" i="130" s="1"/>
  <c r="AH26" i="130"/>
  <c r="AG25" i="130"/>
  <c r="AI25" i="130" s="1"/>
  <c r="AG24" i="130"/>
  <c r="AJ24" i="130" s="1"/>
  <c r="AG23" i="130"/>
  <c r="AJ23" i="130" s="1"/>
  <c r="AG22" i="130"/>
  <c r="AG19" i="130"/>
  <c r="AG17" i="130"/>
  <c r="AG18" i="130" s="1"/>
  <c r="AI18" i="130" s="1"/>
  <c r="AI7" i="130" s="1"/>
  <c r="AG16" i="130"/>
  <c r="AI16" i="130" s="1"/>
  <c r="AI5" i="130" s="1"/>
  <c r="AG4" i="130"/>
  <c r="AI4" i="130" s="1"/>
  <c r="AG3" i="130"/>
  <c r="AI3" i="130" s="1"/>
  <c r="AG2" i="130"/>
  <c r="AJ2" i="130" s="1"/>
  <c r="W2" i="130"/>
  <c r="BJ16" i="130"/>
  <c r="BJ17" i="130"/>
  <c r="BJ18" i="130"/>
  <c r="BJ19" i="130"/>
  <c r="BJ20" i="130"/>
  <c r="BJ21" i="130"/>
  <c r="BJ22" i="130"/>
  <c r="BJ23" i="130"/>
  <c r="BJ24" i="130"/>
  <c r="BJ25" i="130"/>
  <c r="BJ26" i="130"/>
  <c r="BJ15" i="130"/>
  <c r="H27" i="130"/>
  <c r="G27" i="130"/>
  <c r="E27" i="130"/>
  <c r="AS41" i="130"/>
  <c r="J27" i="130"/>
  <c r="I27" i="130"/>
  <c r="AS45" i="130"/>
  <c r="AS46" i="130"/>
  <c r="AS47" i="130"/>
  <c r="AS48" i="130"/>
  <c r="AS49" i="130"/>
  <c r="AS50" i="130"/>
  <c r="AS51" i="130"/>
  <c r="AS52" i="130"/>
  <c r="AS53" i="130"/>
  <c r="AS54" i="130"/>
  <c r="AS55" i="130"/>
  <c r="AS44" i="130"/>
  <c r="BF30" i="130"/>
  <c r="BF31" i="130"/>
  <c r="BF32" i="130"/>
  <c r="BF33" i="130"/>
  <c r="BF34" i="130"/>
  <c r="BF35" i="130"/>
  <c r="BF36" i="130"/>
  <c r="BF37" i="130"/>
  <c r="BF38" i="130"/>
  <c r="BF39" i="130"/>
  <c r="BF40" i="130"/>
  <c r="BF29" i="130"/>
  <c r="AO45" i="130"/>
  <c r="AL15" i="130"/>
  <c r="AM15" i="130" s="1"/>
  <c r="AO48" i="130"/>
  <c r="AO47" i="130"/>
  <c r="AO46" i="130"/>
  <c r="AQ45" i="130"/>
  <c r="BD33" i="130" l="1"/>
  <c r="BA34" i="130"/>
  <c r="BA49" i="130"/>
  <c r="BA52" i="130"/>
  <c r="AG26" i="130"/>
  <c r="AI23" i="130"/>
  <c r="BA47" i="130"/>
  <c r="BA48" i="130"/>
  <c r="AJ17" i="130"/>
  <c r="AJ6" i="130" s="1"/>
  <c r="AI17" i="130"/>
  <c r="AI6" i="130" s="1"/>
  <c r="AJ3" i="130"/>
  <c r="BA55" i="130"/>
  <c r="AJ22" i="130"/>
  <c r="AI22" i="130"/>
  <c r="AI24" i="130"/>
  <c r="AJ4" i="130"/>
  <c r="AI2" i="130"/>
  <c r="AI34" i="130"/>
  <c r="AJ34" i="130"/>
  <c r="BE36" i="130"/>
  <c r="AK51" i="130" s="1"/>
  <c r="BA40" i="130"/>
  <c r="BB40" i="130" s="1"/>
  <c r="BC40" i="130" s="1"/>
  <c r="AJ18" i="130"/>
  <c r="AJ7" i="130" s="1"/>
  <c r="AJ16" i="130"/>
  <c r="AJ5" i="130" s="1"/>
  <c r="AQ46" i="130"/>
  <c r="AQ47" i="130" s="1"/>
  <c r="AQ48" i="130" s="1"/>
  <c r="BE32" i="130"/>
  <c r="AK47" i="130" s="1"/>
  <c r="AK48" i="130"/>
  <c r="AL48" i="130" s="1"/>
  <c r="BE40" i="130"/>
  <c r="AK55" i="130" s="1"/>
  <c r="AM55" i="130" s="1"/>
  <c r="BG27" i="130"/>
  <c r="BG28" i="130" s="1"/>
  <c r="AK52" i="130"/>
  <c r="AL52" i="130" s="1"/>
  <c r="AJ25" i="130"/>
  <c r="BD29" i="130"/>
  <c r="BA44" i="130"/>
  <c r="BD37" i="130"/>
  <c r="BD36" i="130"/>
  <c r="BA36" i="130"/>
  <c r="BB36" i="130" s="1"/>
  <c r="BC36" i="130" s="1"/>
  <c r="BD32" i="130"/>
  <c r="AQ12" i="130"/>
  <c r="AR12" i="130" s="1"/>
  <c r="AS12" i="130" s="1"/>
  <c r="AN12" i="130"/>
  <c r="AO12" i="130" s="1"/>
  <c r="AP12" i="130" s="1"/>
  <c r="AQ8" i="130"/>
  <c r="AR8" i="130" s="1"/>
  <c r="AP66" i="130" s="1"/>
  <c r="AP69" i="130"/>
  <c r="AP30" i="130"/>
  <c r="AN15" i="130"/>
  <c r="AO15" i="130" s="1"/>
  <c r="AK16" i="130"/>
  <c r="BA35" i="130"/>
  <c r="BB35" i="130" s="1"/>
  <c r="BC35" i="130" s="1"/>
  <c r="BA46" i="130"/>
  <c r="BA50" i="130"/>
  <c r="BA54" i="130"/>
  <c r="AV27" i="130"/>
  <c r="AV28" i="130" s="1"/>
  <c r="BE38" i="130"/>
  <c r="AK53" i="130" s="1"/>
  <c r="BA30" i="130"/>
  <c r="BB30" i="130" s="1"/>
  <c r="BC30" i="130" s="1"/>
  <c r="BA45" i="130"/>
  <c r="BE30" i="130"/>
  <c r="AK45" i="130" s="1"/>
  <c r="BA39" i="130"/>
  <c r="BB39" i="130" s="1"/>
  <c r="BC39" i="130" s="1"/>
  <c r="BD31" i="130"/>
  <c r="BD30" i="130"/>
  <c r="BA53" i="130"/>
  <c r="AZ41" i="130"/>
  <c r="AZ42" i="130" s="1"/>
  <c r="BE35" i="130"/>
  <c r="AK50" i="130" s="1"/>
  <c r="BD38" i="130"/>
  <c r="AQ2" i="130"/>
  <c r="AR2" i="130" s="1"/>
  <c r="AP60" i="130" s="1"/>
  <c r="AN2" i="130"/>
  <c r="AQ10" i="130"/>
  <c r="AR10" i="130" s="1"/>
  <c r="AS10" i="130" s="1"/>
  <c r="AU10" i="130" s="1"/>
  <c r="AN4" i="130"/>
  <c r="AL62" i="130" s="1"/>
  <c r="AQ6" i="130"/>
  <c r="AR6" i="130" s="1"/>
  <c r="AS6" i="130" s="1"/>
  <c r="AN11" i="130"/>
  <c r="BH27" i="130"/>
  <c r="AN5" i="130"/>
  <c r="AO5" i="130" s="1"/>
  <c r="AP5" i="130" s="1"/>
  <c r="AQ5" i="130"/>
  <c r="AR5" i="130" s="1"/>
  <c r="AP63" i="130" s="1"/>
  <c r="AN9" i="130"/>
  <c r="AO9" i="130" s="1"/>
  <c r="AP9" i="130" s="1"/>
  <c r="AQ9" i="130"/>
  <c r="AK13" i="130"/>
  <c r="AK14" i="130" s="1"/>
  <c r="AS11" i="130"/>
  <c r="AU11" i="130" s="1"/>
  <c r="AR3" i="130"/>
  <c r="AP61" i="130" s="1"/>
  <c r="AL68" i="130"/>
  <c r="AQ7" i="130"/>
  <c r="AR7" i="130" s="1"/>
  <c r="AS7" i="130" s="1"/>
  <c r="AN3" i="130"/>
  <c r="AN1" i="130"/>
  <c r="AL59" i="130" s="1"/>
  <c r="AT41" i="130"/>
  <c r="AT42" i="130" s="1"/>
  <c r="AY41" i="130"/>
  <c r="AY42" i="130" s="1"/>
  <c r="AT15" i="130"/>
  <c r="AI33" i="130"/>
  <c r="AJ33" i="130"/>
  <c r="BF41" i="130"/>
  <c r="BF42" i="130" s="1"/>
  <c r="AS56" i="130"/>
  <c r="AS57" i="130" s="1"/>
  <c r="AL64" i="130"/>
  <c r="BB34" i="130"/>
  <c r="BC34" i="130" s="1"/>
  <c r="AS1" i="130"/>
  <c r="AR4" i="130"/>
  <c r="AP62" i="130" s="1"/>
  <c r="BB31" i="130"/>
  <c r="BC31" i="130" s="1"/>
  <c r="AM13" i="130"/>
  <c r="AM14" i="130" s="1"/>
  <c r="AO8" i="130"/>
  <c r="AP8" i="130" s="1"/>
  <c r="BE29" i="130"/>
  <c r="BB29" i="130"/>
  <c r="BA37" i="130"/>
  <c r="BA33" i="130"/>
  <c r="BB38" i="130"/>
  <c r="BC38" i="130" s="1"/>
  <c r="BD34" i="130"/>
  <c r="AO7" i="130"/>
  <c r="AP7" i="130" s="1"/>
  <c r="BE39" i="130"/>
  <c r="AK54" i="130" s="1"/>
  <c r="BE31" i="130"/>
  <c r="AK46" i="130" s="1"/>
  <c r="BE34" i="130"/>
  <c r="AK49" i="130" s="1"/>
  <c r="AJ26" i="130" l="1"/>
  <c r="AJ27" i="130" s="1"/>
  <c r="AI26" i="130"/>
  <c r="AJ19" i="130"/>
  <c r="AJ20" i="130" s="1"/>
  <c r="AI19" i="130"/>
  <c r="AI20" i="130" s="1"/>
  <c r="AI27" i="130"/>
  <c r="AM48" i="130"/>
  <c r="AR48" i="130" s="1"/>
  <c r="AT48" i="130" s="1"/>
  <c r="AL70" i="130"/>
  <c r="AL51" i="130"/>
  <c r="AM51" i="130"/>
  <c r="AB8" i="130"/>
  <c r="AA8" i="130" s="1"/>
  <c r="AP70" i="130"/>
  <c r="AS8" i="130"/>
  <c r="AU8" i="130" s="1"/>
  <c r="AL69" i="130"/>
  <c r="AM52" i="130"/>
  <c r="AR52" i="130" s="1"/>
  <c r="AT52" i="130" s="1"/>
  <c r="AL47" i="130"/>
  <c r="AM47" i="130"/>
  <c r="AL55" i="130"/>
  <c r="AR55" i="130" s="1"/>
  <c r="AT55" i="130" s="1"/>
  <c r="AP64" i="130"/>
  <c r="BD41" i="130"/>
  <c r="BD42" i="130" s="1"/>
  <c r="AL65" i="130"/>
  <c r="AL66" i="130"/>
  <c r="AM45" i="130"/>
  <c r="AL45" i="130"/>
  <c r="AO11" i="130"/>
  <c r="AP11" i="130" s="1"/>
  <c r="AO2" i="130"/>
  <c r="AP2" i="130" s="1"/>
  <c r="AL60" i="130"/>
  <c r="AT11" i="130"/>
  <c r="AV11" i="130" s="1"/>
  <c r="AO3" i="130"/>
  <c r="AP3" i="130" s="1"/>
  <c r="AL61" i="130"/>
  <c r="AO4" i="130"/>
  <c r="AP4" i="130" s="1"/>
  <c r="AN13" i="130"/>
  <c r="AN14" i="130" s="1"/>
  <c r="AL16" i="130"/>
  <c r="AM16" i="130" s="1"/>
  <c r="BA56" i="130"/>
  <c r="BA57" i="130" s="1"/>
  <c r="AL50" i="130"/>
  <c r="AM50" i="130"/>
  <c r="AL53" i="130"/>
  <c r="AM53" i="130"/>
  <c r="AP68" i="130"/>
  <c r="AT10" i="130"/>
  <c r="AV10" i="130" s="1"/>
  <c r="AW10" i="130" s="1"/>
  <c r="AS5" i="130"/>
  <c r="AU5" i="130" s="1"/>
  <c r="AQ13" i="130"/>
  <c r="AQ14" i="130" s="1"/>
  <c r="AO1" i="130"/>
  <c r="AP1" i="130" s="1"/>
  <c r="AT12" i="130"/>
  <c r="AU12" i="130"/>
  <c r="AR9" i="130"/>
  <c r="AP67" i="130" s="1"/>
  <c r="AS3" i="130"/>
  <c r="AM46" i="130"/>
  <c r="AL46" i="130"/>
  <c r="BE41" i="130"/>
  <c r="BE42" i="130" s="1"/>
  <c r="AK44" i="130"/>
  <c r="AS4" i="130"/>
  <c r="AP65" i="130"/>
  <c r="AU6" i="130"/>
  <c r="AT6" i="130"/>
  <c r="AM49" i="130"/>
  <c r="AL49" i="130"/>
  <c r="BC29" i="130"/>
  <c r="AL54" i="130"/>
  <c r="AM54" i="130"/>
  <c r="BB33" i="130"/>
  <c r="BC33" i="130" s="1"/>
  <c r="AL63" i="130"/>
  <c r="AT7" i="130"/>
  <c r="AU7" i="130"/>
  <c r="BB37" i="130"/>
  <c r="BC37" i="130" s="1"/>
  <c r="AL67" i="130"/>
  <c r="AU1" i="130"/>
  <c r="AT1" i="130"/>
  <c r="AS2" i="130"/>
  <c r="BA41" i="130"/>
  <c r="BA42" i="130" s="1"/>
  <c r="AP29" i="130"/>
  <c r="AW30" i="130"/>
  <c r="AW29" i="130"/>
  <c r="BB48" i="130" l="1"/>
  <c r="BB51" i="130"/>
  <c r="BB52" i="130"/>
  <c r="AT8" i="130"/>
  <c r="AV8" i="130" s="1"/>
  <c r="AW8" i="130" s="1"/>
  <c r="BB55" i="130"/>
  <c r="BB45" i="130"/>
  <c r="AR51" i="130"/>
  <c r="AT51" i="130" s="1"/>
  <c r="AR45" i="130"/>
  <c r="AT45" i="130" s="1"/>
  <c r="AR50" i="130"/>
  <c r="AT50" i="130" s="1"/>
  <c r="BB47" i="130"/>
  <c r="AR47" i="130"/>
  <c r="AT47" i="130" s="1"/>
  <c r="AN16" i="130"/>
  <c r="BB50" i="130"/>
  <c r="AX10" i="130"/>
  <c r="AO13" i="130"/>
  <c r="AO14" i="130" s="1"/>
  <c r="AR46" i="130"/>
  <c r="AT46" i="130" s="1"/>
  <c r="BB53" i="130"/>
  <c r="AK17" i="130"/>
  <c r="AT5" i="130"/>
  <c r="AV5" i="130" s="1"/>
  <c r="AW5" i="130" s="1"/>
  <c r="AR53" i="130"/>
  <c r="AT53" i="130" s="1"/>
  <c r="BB41" i="130"/>
  <c r="BB42" i="130" s="1"/>
  <c r="BB46" i="130"/>
  <c r="AR49" i="130"/>
  <c r="AT49" i="130" s="1"/>
  <c r="AP13" i="130"/>
  <c r="AP14" i="130" s="1"/>
  <c r="AL71" i="130"/>
  <c r="AL72" i="130" s="1"/>
  <c r="AR13" i="130"/>
  <c r="AR14" i="130" s="1"/>
  <c r="AT3" i="130"/>
  <c r="AU3" i="130"/>
  <c r="AV12" i="130"/>
  <c r="AV6" i="130"/>
  <c r="AW6" i="130" s="1"/>
  <c r="AS9" i="130"/>
  <c r="AS13" i="130" s="1"/>
  <c r="AS14" i="130" s="1"/>
  <c r="AU4" i="130"/>
  <c r="AT4" i="130"/>
  <c r="AM44" i="130"/>
  <c r="AM56" i="130" s="1"/>
  <c r="AM57" i="130" s="1"/>
  <c r="AK56" i="130"/>
  <c r="AK57" i="130" s="1"/>
  <c r="AL44" i="130"/>
  <c r="AV7" i="130"/>
  <c r="AU2" i="130"/>
  <c r="AT2" i="130"/>
  <c r="AR54" i="130"/>
  <c r="AT54" i="130" s="1"/>
  <c r="BB54" i="130"/>
  <c r="AV1" i="130"/>
  <c r="AW11" i="130"/>
  <c r="BB49" i="130"/>
  <c r="BC41" i="130"/>
  <c r="BC42" i="130" s="1"/>
  <c r="AO16" i="130" l="1"/>
  <c r="AT16" i="130"/>
  <c r="AL17" i="130"/>
  <c r="AM17" i="130" s="1"/>
  <c r="BB44" i="130"/>
  <c r="BB56" i="130" s="1"/>
  <c r="BB57" i="130" s="1"/>
  <c r="AV3" i="130"/>
  <c r="AW3" i="130" s="1"/>
  <c r="AW12" i="130"/>
  <c r="AX11" i="130"/>
  <c r="AU9" i="130"/>
  <c r="AU13" i="130" s="1"/>
  <c r="AU14" i="130" s="1"/>
  <c r="AT9" i="130"/>
  <c r="AT13" i="130" s="1"/>
  <c r="AT14" i="130" s="1"/>
  <c r="AR44" i="130"/>
  <c r="AL56" i="130"/>
  <c r="AL57" i="130" s="1"/>
  <c r="AX6" i="130"/>
  <c r="AW1" i="130"/>
  <c r="AU59" i="130" s="1"/>
  <c r="AX8" i="130"/>
  <c r="AV2" i="130"/>
  <c r="AW7" i="130"/>
  <c r="AX5" i="130"/>
  <c r="AV4" i="130"/>
  <c r="AN17" i="130" l="1"/>
  <c r="AK18" i="130"/>
  <c r="AL18" i="130" s="1"/>
  <c r="AM18" i="130" s="1"/>
  <c r="AX3" i="130"/>
  <c r="AX7" i="130"/>
  <c r="AV9" i="130"/>
  <c r="AV13" i="130" s="1"/>
  <c r="AV14" i="130" s="1"/>
  <c r="AX12" i="130"/>
  <c r="AX1" i="130"/>
  <c r="AR56" i="130"/>
  <c r="AR57" i="130" s="1"/>
  <c r="AT44" i="130"/>
  <c r="AW2" i="130"/>
  <c r="AU60" i="130" s="1"/>
  <c r="AW4" i="130"/>
  <c r="AO17" i="130" l="1"/>
  <c r="AN18" i="130"/>
  <c r="AK19" i="130"/>
  <c r="AL19" i="130" s="1"/>
  <c r="AM19" i="130" s="1"/>
  <c r="AW9" i="130"/>
  <c r="AX9" i="130" s="1"/>
  <c r="AX4" i="130"/>
  <c r="AX2" i="130"/>
  <c r="AU47" i="130"/>
  <c r="AV47" i="130" s="1"/>
  <c r="AU44" i="130"/>
  <c r="AV44" i="130" s="1"/>
  <c r="AW44" i="130" s="1"/>
  <c r="AX44" i="130" s="1"/>
  <c r="AZ44" i="130" s="1"/>
  <c r="AU49" i="130"/>
  <c r="AV49" i="130" s="1"/>
  <c r="AU46" i="130"/>
  <c r="AV46" i="130" s="1"/>
  <c r="AU54" i="130"/>
  <c r="AV54" i="130" s="1"/>
  <c r="AU51" i="130"/>
  <c r="AV51" i="130" s="1"/>
  <c r="AT56" i="130"/>
  <c r="AT57" i="130" s="1"/>
  <c r="AU45" i="130"/>
  <c r="AV45" i="130" s="1"/>
  <c r="AU50" i="130"/>
  <c r="AV50" i="130" s="1"/>
  <c r="AU48" i="130"/>
  <c r="AV48" i="130" s="1"/>
  <c r="AU53" i="130"/>
  <c r="AV53" i="130" s="1"/>
  <c r="AU52" i="130"/>
  <c r="AV52" i="130" s="1"/>
  <c r="AU55" i="130"/>
  <c r="AV55" i="130" s="1"/>
  <c r="AW54" i="130" l="1"/>
  <c r="AX54" i="130" s="1"/>
  <c r="AW47" i="130"/>
  <c r="AX47" i="130" s="1"/>
  <c r="AK20" i="130"/>
  <c r="AL20" i="130" s="1"/>
  <c r="AM20" i="130" s="1"/>
  <c r="AN19" i="130"/>
  <c r="AO19" i="130" s="1"/>
  <c r="AW51" i="130"/>
  <c r="AX51" i="130" s="1"/>
  <c r="AZ51" i="130" s="1"/>
  <c r="AW48" i="130"/>
  <c r="AX48" i="130" s="1"/>
  <c r="AZ48" i="130" s="1"/>
  <c r="AW55" i="130"/>
  <c r="AX55" i="130" s="1"/>
  <c r="AZ55" i="130" s="1"/>
  <c r="AW50" i="130"/>
  <c r="AX50" i="130" s="1"/>
  <c r="AZ50" i="130" s="1"/>
  <c r="AO18" i="130"/>
  <c r="AY44" i="130"/>
  <c r="AW53" i="130"/>
  <c r="AX53" i="130" s="1"/>
  <c r="AY53" i="130" s="1"/>
  <c r="AW13" i="130"/>
  <c r="AW14" i="130" s="1"/>
  <c r="AW52" i="130"/>
  <c r="AX52" i="130" s="1"/>
  <c r="AW45" i="130"/>
  <c r="AX45" i="130" s="1"/>
  <c r="AW46" i="130"/>
  <c r="AX46" i="130" s="1"/>
  <c r="AX13" i="130"/>
  <c r="AX14" i="130" s="1"/>
  <c r="AW49" i="130"/>
  <c r="AX49" i="130" s="1"/>
  <c r="AY54" i="130" l="1"/>
  <c r="AZ54" i="130"/>
  <c r="AZ47" i="130"/>
  <c r="AY47" i="130"/>
  <c r="AY50" i="130"/>
  <c r="AY51" i="130"/>
  <c r="AY55" i="130"/>
  <c r="AY48" i="130"/>
  <c r="AN20" i="130"/>
  <c r="AZ53" i="130"/>
  <c r="AZ49" i="130"/>
  <c r="AY49" i="130"/>
  <c r="AZ46" i="130"/>
  <c r="AY46" i="130"/>
  <c r="AZ45" i="130"/>
  <c r="AY45" i="130"/>
  <c r="AK21" i="130"/>
  <c r="AZ52" i="130"/>
  <c r="AY52" i="130"/>
  <c r="AY56" i="130" l="1"/>
  <c r="AY57" i="130" s="1"/>
  <c r="AL21" i="130"/>
  <c r="AM21" i="130" s="1"/>
  <c r="AO20" i="130"/>
  <c r="AK22" i="130" l="1"/>
  <c r="AN21" i="130"/>
  <c r="AL22" i="130" l="1"/>
  <c r="AM22" i="130" s="1"/>
  <c r="AO21" i="130"/>
  <c r="AN22" i="130" l="1"/>
  <c r="AK23" i="130"/>
  <c r="AL23" i="130" l="1"/>
  <c r="AM23" i="130" s="1"/>
  <c r="AO22" i="130"/>
  <c r="AN23" i="130" l="1"/>
  <c r="AK24" i="130"/>
  <c r="AO23" i="130" l="1"/>
  <c r="AL24" i="130"/>
  <c r="AM24" i="130" s="1"/>
  <c r="AK25" i="130" l="1"/>
  <c r="AN24" i="130"/>
  <c r="AO24" i="130" l="1"/>
  <c r="AL25" i="130"/>
  <c r="AM25" i="130" s="1"/>
  <c r="AK26" i="130" l="1"/>
  <c r="AN25" i="130"/>
  <c r="AL26" i="130" l="1"/>
  <c r="AM26" i="130" s="1"/>
  <c r="AO25" i="130"/>
  <c r="AM27" i="130" l="1"/>
  <c r="AN26" i="130"/>
  <c r="AN27" i="130" s="1"/>
  <c r="AO26" i="130" l="1"/>
  <c r="AO27" i="130" s="1"/>
  <c r="AM41" i="130"/>
  <c r="AM42" i="130" s="1"/>
  <c r="AB11" i="130" l="1"/>
  <c r="AA11" i="130" s="1"/>
  <c r="AP59" i="130"/>
  <c r="AP71" i="130" s="1"/>
  <c r="AP72" i="130" s="1"/>
  <c r="AL41" i="130"/>
  <c r="AL42" i="130" s="1"/>
  <c r="C5" i="130"/>
  <c r="AP17" i="130"/>
  <c r="AO31" i="130" s="1"/>
  <c r="AR17" i="130"/>
  <c r="AP18" i="130"/>
  <c r="AO32" i="130" s="1"/>
  <c r="AR18" i="130"/>
  <c r="AP19" i="130"/>
  <c r="AO33" i="130" s="1"/>
  <c r="AR19" i="130"/>
  <c r="AP20" i="130"/>
  <c r="AO34" i="130" s="1"/>
  <c r="AR20" i="130"/>
  <c r="AP21" i="130"/>
  <c r="AO35" i="130" s="1"/>
  <c r="AR21" i="130"/>
  <c r="AP22" i="130"/>
  <c r="AO36" i="130" s="1"/>
  <c r="AR22" i="130"/>
  <c r="AP23" i="130"/>
  <c r="AX23" i="130" l="1"/>
  <c r="AO37" i="130"/>
  <c r="AP37" i="130" s="1"/>
  <c r="AU67" i="130" s="1"/>
  <c r="C10" i="130"/>
  <c r="AR23" i="130"/>
  <c r="AP24" i="130"/>
  <c r="AO38" i="130" s="1"/>
  <c r="AR24" i="130"/>
  <c r="AP25" i="130"/>
  <c r="AO39" i="130" s="1"/>
  <c r="AR25" i="130"/>
  <c r="AP26" i="130"/>
  <c r="AO40" i="130" s="1"/>
  <c r="AR26" i="130"/>
  <c r="AX19" i="130"/>
  <c r="AZ19" i="130"/>
  <c r="AZ22" i="130"/>
  <c r="AT22" i="130"/>
  <c r="AX22" i="130"/>
  <c r="AT23" i="130"/>
  <c r="AZ23" i="130"/>
  <c r="AT20" i="130"/>
  <c r="AX20" i="130"/>
  <c r="AZ20" i="130"/>
  <c r="BB21" i="130"/>
  <c r="BD21" i="130"/>
  <c r="BI21" i="130"/>
  <c r="AP35" i="130"/>
  <c r="AU65" i="130" s="1"/>
  <c r="AT21" i="130"/>
  <c r="AX21" i="130"/>
  <c r="AZ21" i="130"/>
  <c r="BB23" i="130"/>
  <c r="BD23" i="130"/>
  <c r="BI23" i="130"/>
  <c r="AT18" i="130"/>
  <c r="AX18" i="130"/>
  <c r="AZ18" i="130"/>
  <c r="BB18" i="130"/>
  <c r="BB19" i="130"/>
  <c r="BD19" i="130"/>
  <c r="BI19" i="130"/>
  <c r="BB20" i="130"/>
  <c r="BD20" i="130"/>
  <c r="BI20" i="130"/>
  <c r="AP34" i="130"/>
  <c r="AU64" i="130" s="1"/>
  <c r="BB22" i="130"/>
  <c r="BD22" i="130"/>
  <c r="BI22" i="130"/>
  <c r="AP36" i="130"/>
  <c r="AU66" i="130" s="1"/>
  <c r="AX17" i="130"/>
  <c r="AZ17" i="130"/>
  <c r="BB17" i="130"/>
  <c r="BD17" i="130"/>
  <c r="BI17" i="130"/>
  <c r="AT17" i="130"/>
  <c r="BD18" i="130"/>
  <c r="BI18" i="130"/>
  <c r="AP32" i="130"/>
  <c r="AU62" i="130" s="1"/>
  <c r="AP33" i="130"/>
  <c r="AU63" i="130" s="1"/>
  <c r="AT19" i="130"/>
  <c r="AR27" i="130" l="1"/>
  <c r="AR28" i="130" s="1"/>
  <c r="AW37" i="130"/>
  <c r="AP27" i="130"/>
  <c r="AP28" i="130" s="1"/>
  <c r="BD24" i="130"/>
  <c r="BB24" i="130"/>
  <c r="BI24" i="130"/>
  <c r="AT24" i="130"/>
  <c r="AX24" i="130"/>
  <c r="AZ24" i="130"/>
  <c r="AT25" i="130"/>
  <c r="AX25" i="130"/>
  <c r="AZ25" i="130"/>
  <c r="BB25" i="130"/>
  <c r="AP39" i="130"/>
  <c r="AU69" i="130" s="1"/>
  <c r="BD25" i="130"/>
  <c r="BI25" i="130"/>
  <c r="AT26" i="130"/>
  <c r="AX26" i="130"/>
  <c r="AP40" i="130"/>
  <c r="AU70" i="130" s="1"/>
  <c r="AZ26" i="130"/>
  <c r="BB26" i="130"/>
  <c r="BD26" i="130"/>
  <c r="BI26" i="130"/>
  <c r="AQ34" i="130"/>
  <c r="AW33" i="130"/>
  <c r="AQ37" i="130"/>
  <c r="AW35" i="130"/>
  <c r="AW36" i="130"/>
  <c r="AW34" i="130"/>
  <c r="AW31" i="130"/>
  <c r="AQ31" i="130"/>
  <c r="AP31" i="130"/>
  <c r="AW32" i="130"/>
  <c r="AW40" i="130" l="1"/>
  <c r="BD27" i="130"/>
  <c r="BD28" i="130" s="1"/>
  <c r="BB27" i="130"/>
  <c r="BB28" i="130" s="1"/>
  <c r="AT27" i="130"/>
  <c r="AT28" i="130" s="1"/>
  <c r="AZ27" i="130"/>
  <c r="AZ28" i="130" s="1"/>
  <c r="AW39" i="130"/>
  <c r="AP38" i="130"/>
  <c r="AO41" i="130"/>
  <c r="AO42" i="130" s="1"/>
  <c r="AQ40" i="130"/>
  <c r="AQ41" i="130" s="1"/>
  <c r="AQ42" i="130" s="1"/>
  <c r="BI27" i="130"/>
  <c r="BI28" i="130" s="1"/>
  <c r="AX27" i="130"/>
  <c r="AX28" i="130" s="1"/>
  <c r="AW38" i="130"/>
  <c r="AU61" i="130"/>
  <c r="AB12" i="130" l="1"/>
  <c r="AA12" i="130" s="1"/>
  <c r="AW41" i="130"/>
  <c r="AW42" i="130" s="1"/>
  <c r="AU68" i="130"/>
  <c r="AU71" i="130" s="1"/>
  <c r="AU72" i="130" s="1"/>
  <c r="AP41" i="130"/>
  <c r="AP42" i="130" s="1"/>
  <c r="AA1" i="130"/>
  <c r="AB1" i="130"/>
  <c r="AL1" i="130"/>
  <c r="AY1" i="130"/>
  <c r="AZ1" i="130"/>
  <c r="BA1" i="130"/>
  <c r="BB1" i="130"/>
  <c r="BC1" i="130"/>
  <c r="BD1" i="130"/>
  <c r="AA2" i="130"/>
  <c r="AB2" i="130"/>
  <c r="AL2" i="130"/>
  <c r="AY2" i="130"/>
  <c r="AZ2" i="130"/>
  <c r="BA2" i="130"/>
  <c r="BB2" i="130"/>
  <c r="BC2" i="130"/>
  <c r="BD2" i="130"/>
  <c r="AA3" i="130"/>
  <c r="AB3" i="130"/>
  <c r="AL3" i="130"/>
  <c r="AY3" i="130"/>
  <c r="AZ3" i="130"/>
  <c r="BA3" i="130"/>
  <c r="BB3" i="130"/>
  <c r="BC3" i="130"/>
  <c r="BD3" i="130"/>
  <c r="AA4" i="130"/>
  <c r="AB4" i="130"/>
  <c r="AL4" i="130"/>
  <c r="AY4" i="130"/>
  <c r="AZ4" i="130"/>
  <c r="BA4" i="130"/>
  <c r="BB4" i="130"/>
  <c r="BC4" i="130"/>
  <c r="BD4" i="130"/>
  <c r="AA5" i="130"/>
  <c r="AB5" i="130"/>
  <c r="AL5" i="130"/>
  <c r="AY5" i="130"/>
  <c r="AZ5" i="130"/>
  <c r="BA5" i="130"/>
  <c r="BB5" i="130"/>
  <c r="BC5" i="130"/>
  <c r="BD5" i="130"/>
  <c r="AA6" i="130"/>
  <c r="AB6" i="130"/>
  <c r="AL6" i="130"/>
  <c r="AY6" i="130"/>
  <c r="AZ6" i="130"/>
  <c r="BA6" i="130"/>
  <c r="BB6" i="130"/>
  <c r="BC6" i="130"/>
  <c r="BD6" i="130"/>
  <c r="AA7" i="130"/>
  <c r="AB7" i="130"/>
  <c r="AL7" i="130"/>
  <c r="AY7" i="130"/>
  <c r="AZ7" i="130"/>
  <c r="BA7" i="130"/>
  <c r="BB7" i="130"/>
  <c r="BC7" i="130"/>
  <c r="BD7" i="130"/>
  <c r="AL8" i="130"/>
  <c r="AY8" i="130"/>
  <c r="AZ8" i="130"/>
  <c r="BA8" i="130"/>
  <c r="BB8" i="130"/>
  <c r="BC8" i="130"/>
  <c r="BD8" i="130"/>
  <c r="AA9" i="130"/>
  <c r="AB9" i="130"/>
  <c r="AL9" i="130"/>
  <c r="AY9" i="130"/>
  <c r="AZ9" i="130"/>
  <c r="BA9" i="130"/>
  <c r="BB9" i="130"/>
  <c r="BC9" i="130"/>
  <c r="BD9" i="130"/>
  <c r="AA10" i="130"/>
  <c r="AB10" i="130"/>
  <c r="AL10" i="130"/>
  <c r="AY10" i="130"/>
  <c r="AZ10" i="130"/>
  <c r="BA10" i="130"/>
  <c r="BB10" i="130"/>
  <c r="BC10" i="130"/>
  <c r="BD10" i="130"/>
  <c r="AL11" i="130"/>
  <c r="AY11" i="130"/>
  <c r="AZ11" i="130"/>
  <c r="BA11" i="130"/>
  <c r="BB11" i="130"/>
  <c r="BC11" i="130"/>
  <c r="BD11" i="130"/>
  <c r="AL12" i="130"/>
  <c r="AY12" i="130"/>
  <c r="AZ12" i="130"/>
  <c r="BA12" i="130"/>
  <c r="BB12" i="130"/>
  <c r="BC12" i="130"/>
  <c r="BD12" i="130"/>
  <c r="AA13" i="130"/>
  <c r="AB13" i="130"/>
  <c r="AL13" i="130"/>
  <c r="AY13" i="130"/>
  <c r="AZ13" i="130"/>
  <c r="BA13" i="130"/>
  <c r="BB13" i="130"/>
  <c r="BC13" i="130"/>
  <c r="BD13" i="130"/>
  <c r="AA14" i="130"/>
  <c r="AB14" i="130"/>
  <c r="AL14" i="130"/>
  <c r="AY14" i="130"/>
  <c r="AZ14" i="130"/>
  <c r="BA14" i="130"/>
  <c r="BB14" i="130"/>
  <c r="BC14" i="130"/>
  <c r="BD14" i="130"/>
  <c r="A15" i="130"/>
  <c r="P15" i="130"/>
  <c r="Q15" i="130"/>
  <c r="R15" i="130"/>
  <c r="AA15" i="130"/>
  <c r="AB15" i="130"/>
  <c r="AQ15" i="130"/>
  <c r="AS15" i="130"/>
  <c r="AU15" i="130"/>
  <c r="AW15" i="130"/>
  <c r="AY15" i="130"/>
  <c r="BA15" i="130"/>
  <c r="BC15" i="130"/>
  <c r="BE15" i="130"/>
  <c r="BF15" i="130"/>
  <c r="BK15" i="130"/>
  <c r="A16" i="130"/>
  <c r="P16" i="130"/>
  <c r="Q16" i="130"/>
  <c r="R16" i="130"/>
  <c r="AA16" i="130"/>
  <c r="AB16" i="130"/>
  <c r="AQ16" i="130"/>
  <c r="AS16" i="130"/>
  <c r="AU16" i="130"/>
  <c r="AW16" i="130"/>
  <c r="AY16" i="130"/>
  <c r="BA16" i="130"/>
  <c r="BC16" i="130"/>
  <c r="BE16" i="130"/>
  <c r="BF16" i="130"/>
  <c r="BK16" i="130"/>
  <c r="A17" i="130"/>
  <c r="P17" i="130"/>
  <c r="Q17" i="130"/>
  <c r="R17" i="130"/>
  <c r="AA17" i="130"/>
  <c r="AB17" i="130"/>
  <c r="AQ17" i="130"/>
  <c r="AS17" i="130"/>
  <c r="AU17" i="130"/>
  <c r="AW17" i="130"/>
  <c r="AY17" i="130"/>
  <c r="BA17" i="130"/>
  <c r="BC17" i="130"/>
  <c r="BE17" i="130"/>
  <c r="BF17" i="130"/>
  <c r="BK17" i="130"/>
  <c r="A18" i="130"/>
  <c r="P18" i="130"/>
  <c r="Q18" i="130"/>
  <c r="R18" i="130"/>
  <c r="AA18" i="130"/>
  <c r="AB18" i="130"/>
  <c r="AQ18" i="130"/>
  <c r="AS18" i="130"/>
  <c r="AU18" i="130"/>
  <c r="AW18" i="130"/>
  <c r="AY18" i="130"/>
  <c r="BA18" i="130"/>
  <c r="BC18" i="130"/>
  <c r="BE18" i="130"/>
  <c r="BF18" i="130"/>
  <c r="BK18" i="130"/>
  <c r="A19" i="130"/>
  <c r="P19" i="130"/>
  <c r="Q19" i="130"/>
  <c r="R19" i="130"/>
  <c r="AA19" i="130"/>
  <c r="AB19" i="130"/>
  <c r="AQ19" i="130"/>
  <c r="AS19" i="130"/>
  <c r="AU19" i="130"/>
  <c r="AW19" i="130"/>
  <c r="AY19" i="130"/>
  <c r="BA19" i="130"/>
  <c r="BC19" i="130"/>
  <c r="BE19" i="130"/>
  <c r="BF19" i="130"/>
  <c r="BK19" i="130"/>
  <c r="A20" i="130"/>
  <c r="P20" i="130"/>
  <c r="Q20" i="130"/>
  <c r="R20" i="130"/>
  <c r="AA20" i="130"/>
  <c r="AB20" i="130"/>
  <c r="AQ20" i="130"/>
  <c r="AS20" i="130"/>
  <c r="AU20" i="130"/>
  <c r="AW20" i="130"/>
  <c r="AY20" i="130"/>
  <c r="BA20" i="130"/>
  <c r="BC20" i="130"/>
  <c r="BE20" i="130"/>
  <c r="BF20" i="130"/>
  <c r="BK20" i="130"/>
  <c r="A21" i="130"/>
  <c r="P21" i="130"/>
  <c r="Q21" i="130"/>
  <c r="R21" i="130"/>
  <c r="AQ21" i="130"/>
  <c r="AS21" i="130"/>
  <c r="AU21" i="130"/>
  <c r="AW21" i="130"/>
  <c r="AY21" i="130"/>
  <c r="BA21" i="130"/>
  <c r="BC21" i="130"/>
  <c r="BE21" i="130"/>
  <c r="BF21" i="130"/>
  <c r="BK21" i="130"/>
  <c r="A22" i="130"/>
  <c r="P22" i="130"/>
  <c r="Q22" i="130"/>
  <c r="R22" i="130"/>
  <c r="AQ22" i="130"/>
  <c r="AS22" i="130"/>
  <c r="AU22" i="130"/>
  <c r="AW22" i="130"/>
  <c r="AY22" i="130"/>
  <c r="BA22" i="130"/>
  <c r="BC22" i="130"/>
  <c r="BE22" i="130"/>
  <c r="BF22" i="130"/>
  <c r="BK22" i="130"/>
  <c r="A23" i="130"/>
  <c r="P23" i="130"/>
  <c r="Q23" i="130"/>
  <c r="R23" i="130"/>
  <c r="AQ23" i="130"/>
  <c r="AS23" i="130"/>
  <c r="AU23" i="130"/>
  <c r="AW23" i="130"/>
  <c r="AY23" i="130"/>
  <c r="BA23" i="130"/>
  <c r="BC23" i="130"/>
  <c r="BE23" i="130"/>
  <c r="BF23" i="130"/>
  <c r="BK23" i="130"/>
  <c r="A24" i="130"/>
  <c r="P24" i="130"/>
  <c r="Q24" i="130"/>
  <c r="R24" i="130"/>
  <c r="AQ24" i="130"/>
  <c r="AS24" i="130"/>
  <c r="AU24" i="130"/>
  <c r="AW24" i="130"/>
  <c r="AY24" i="130"/>
  <c r="BA24" i="130"/>
  <c r="BC24" i="130"/>
  <c r="BE24" i="130"/>
  <c r="BF24" i="130"/>
  <c r="BK24" i="130"/>
  <c r="A25" i="130"/>
  <c r="P25" i="130"/>
  <c r="Q25" i="130"/>
  <c r="R25" i="130"/>
  <c r="AQ25" i="130"/>
  <c r="AS25" i="130"/>
  <c r="AU25" i="130"/>
  <c r="AW25" i="130"/>
  <c r="AY25" i="130"/>
  <c r="BA25" i="130"/>
  <c r="BC25" i="130"/>
  <c r="BE25" i="130"/>
  <c r="BF25" i="130"/>
  <c r="BK25" i="130"/>
  <c r="A26" i="130"/>
  <c r="P26" i="130"/>
  <c r="Q26" i="130"/>
  <c r="R26" i="130"/>
  <c r="AQ26" i="130"/>
  <c r="AS26" i="130"/>
  <c r="AU26" i="130"/>
  <c r="AW26" i="130"/>
  <c r="AY26" i="130"/>
  <c r="BA26" i="130"/>
  <c r="BC26" i="130"/>
  <c r="BE26" i="130"/>
  <c r="BF26" i="130"/>
  <c r="BK26" i="130"/>
  <c r="P27" i="130"/>
  <c r="Q27" i="130"/>
  <c r="R27" i="130"/>
  <c r="AQ27" i="130"/>
  <c r="AS27" i="130"/>
  <c r="AU27" i="130"/>
  <c r="AW27" i="130"/>
  <c r="AY27" i="130"/>
  <c r="BA27" i="130"/>
  <c r="BC27" i="130"/>
  <c r="BE27" i="130"/>
  <c r="BF27" i="130"/>
  <c r="A28" i="130"/>
  <c r="P28" i="130"/>
  <c r="Q28" i="130"/>
  <c r="R28" i="130"/>
  <c r="AQ28" i="130"/>
  <c r="AS28" i="130"/>
  <c r="AU28" i="130"/>
  <c r="AW28" i="130"/>
  <c r="AY28" i="130"/>
  <c r="BA28" i="130"/>
  <c r="BC28" i="130"/>
  <c r="BE28" i="130"/>
  <c r="BF28" i="130"/>
  <c r="AK29" i="130"/>
  <c r="AR29" i="130"/>
  <c r="AU29" i="130"/>
  <c r="AV29" i="130"/>
  <c r="AX29" i="130"/>
  <c r="AK30" i="130"/>
  <c r="AR30" i="130"/>
  <c r="AU30" i="130"/>
  <c r="AV30" i="130"/>
  <c r="AX30" i="130"/>
  <c r="AK31" i="130"/>
  <c r="AR31" i="130"/>
  <c r="AU31" i="130"/>
  <c r="AV31" i="130"/>
  <c r="AX31" i="130"/>
  <c r="AK32" i="130"/>
  <c r="AR32" i="130"/>
  <c r="AU32" i="130"/>
  <c r="AV32" i="130"/>
  <c r="AX32" i="130"/>
  <c r="AK33" i="130"/>
  <c r="AR33" i="130"/>
  <c r="AU33" i="130"/>
  <c r="AV33" i="130"/>
  <c r="AX33" i="130"/>
  <c r="AK34" i="130"/>
  <c r="AR34" i="130"/>
  <c r="AU34" i="130"/>
  <c r="AV34" i="130"/>
  <c r="AX34" i="130"/>
  <c r="AK35" i="130"/>
  <c r="AR35" i="130"/>
  <c r="AU35" i="130"/>
  <c r="AV35" i="130"/>
  <c r="AX35" i="130"/>
  <c r="AK36" i="130"/>
  <c r="AR36" i="130"/>
  <c r="AU36" i="130"/>
  <c r="AV36" i="130"/>
  <c r="AX36" i="130"/>
  <c r="AK37" i="130"/>
  <c r="AR37" i="130"/>
  <c r="AU37" i="130"/>
  <c r="AV37" i="130"/>
  <c r="AX37" i="130"/>
  <c r="AK38" i="130"/>
  <c r="AR38" i="130"/>
  <c r="AU38" i="130"/>
  <c r="AV38" i="130"/>
  <c r="AX38" i="130"/>
  <c r="AK39" i="130"/>
  <c r="AR39" i="130"/>
  <c r="AU39" i="130"/>
  <c r="AV39" i="130"/>
  <c r="AX39" i="130"/>
  <c r="AK40" i="130"/>
  <c r="AR40" i="130"/>
  <c r="AU40" i="130"/>
  <c r="AV40" i="130"/>
  <c r="AX40" i="130"/>
  <c r="AK41" i="130"/>
  <c r="AR41" i="130"/>
  <c r="AU41" i="130"/>
  <c r="AV41" i="130"/>
  <c r="AX41" i="130"/>
  <c r="AK42" i="130"/>
  <c r="AR42" i="130"/>
  <c r="AU42" i="130"/>
  <c r="AV42" i="130"/>
  <c r="AX42" i="130"/>
  <c r="AK59" i="130"/>
  <c r="AM59" i="130"/>
  <c r="AN59" i="130"/>
  <c r="AO59" i="130"/>
  <c r="AQ59" i="130"/>
  <c r="AR59" i="130"/>
  <c r="AS59" i="130"/>
  <c r="AT59" i="130"/>
  <c r="AV59" i="130"/>
  <c r="AW59" i="130"/>
  <c r="AX59" i="130"/>
  <c r="AY59" i="130"/>
  <c r="AZ59" i="130"/>
  <c r="BA59" i="130"/>
  <c r="BB59" i="130"/>
  <c r="BC59" i="130"/>
  <c r="AK60" i="130"/>
  <c r="AM60" i="130"/>
  <c r="AN60" i="130"/>
  <c r="AO60" i="130"/>
  <c r="AQ60" i="130"/>
  <c r="AR60" i="130"/>
  <c r="AS60" i="130"/>
  <c r="AT60" i="130"/>
  <c r="AV60" i="130"/>
  <c r="AW60" i="130"/>
  <c r="AX60" i="130"/>
  <c r="AY60" i="130"/>
  <c r="AZ60" i="130"/>
  <c r="BA60" i="130"/>
  <c r="BB60" i="130"/>
  <c r="BC60" i="130"/>
  <c r="AK61" i="130"/>
  <c r="AM61" i="130"/>
  <c r="AN61" i="130"/>
  <c r="AO61" i="130"/>
  <c r="AQ61" i="130"/>
  <c r="AR61" i="130"/>
  <c r="AS61" i="130"/>
  <c r="AT61" i="130"/>
  <c r="AV61" i="130"/>
  <c r="AW61" i="130"/>
  <c r="AX61" i="130"/>
  <c r="AY61" i="130"/>
  <c r="AZ61" i="130"/>
  <c r="BA61" i="130"/>
  <c r="BB61" i="130"/>
  <c r="BC61" i="130"/>
  <c r="AK62" i="130"/>
  <c r="AM62" i="130"/>
  <c r="AN62" i="130"/>
  <c r="AO62" i="130"/>
  <c r="AQ62" i="130"/>
  <c r="AR62" i="130"/>
  <c r="AS62" i="130"/>
  <c r="AT62" i="130"/>
  <c r="AV62" i="130"/>
  <c r="AW62" i="130"/>
  <c r="AX62" i="130"/>
  <c r="AY62" i="130"/>
  <c r="AZ62" i="130"/>
  <c r="BA62" i="130"/>
  <c r="BB62" i="130"/>
  <c r="BC62" i="130"/>
  <c r="AK63" i="130"/>
  <c r="AM63" i="130"/>
  <c r="AN63" i="130"/>
  <c r="AO63" i="130"/>
  <c r="AQ63" i="130"/>
  <c r="AR63" i="130"/>
  <c r="AS63" i="130"/>
  <c r="AT63" i="130"/>
  <c r="AV63" i="130"/>
  <c r="AW63" i="130"/>
  <c r="AX63" i="130"/>
  <c r="AY63" i="130"/>
  <c r="AZ63" i="130"/>
  <c r="BA63" i="130"/>
  <c r="BB63" i="130"/>
  <c r="BC63" i="130"/>
  <c r="AK64" i="130"/>
  <c r="AM64" i="130"/>
  <c r="AN64" i="130"/>
  <c r="AO64" i="130"/>
  <c r="AQ64" i="130"/>
  <c r="AR64" i="130"/>
  <c r="AS64" i="130"/>
  <c r="AT64" i="130"/>
  <c r="AV64" i="130"/>
  <c r="AW64" i="130"/>
  <c r="AX64" i="130"/>
  <c r="AY64" i="130"/>
  <c r="AZ64" i="130"/>
  <c r="BA64" i="130"/>
  <c r="BB64" i="130"/>
  <c r="BC64" i="130"/>
  <c r="AK65" i="130"/>
  <c r="AM65" i="130"/>
  <c r="AN65" i="130"/>
  <c r="AO65" i="130"/>
  <c r="AQ65" i="130"/>
  <c r="AR65" i="130"/>
  <c r="AS65" i="130"/>
  <c r="AT65" i="130"/>
  <c r="AV65" i="130"/>
  <c r="AW65" i="130"/>
  <c r="AX65" i="130"/>
  <c r="AY65" i="130"/>
  <c r="AZ65" i="130"/>
  <c r="BA65" i="130"/>
  <c r="BB65" i="130"/>
  <c r="BC65" i="130"/>
  <c r="AK66" i="130"/>
  <c r="AM66" i="130"/>
  <c r="AN66" i="130"/>
  <c r="AO66" i="130"/>
  <c r="AQ66" i="130"/>
  <c r="AR66" i="130"/>
  <c r="AS66" i="130"/>
  <c r="AT66" i="130"/>
  <c r="AV66" i="130"/>
  <c r="AW66" i="130"/>
  <c r="AX66" i="130"/>
  <c r="AY66" i="130"/>
  <c r="AZ66" i="130"/>
  <c r="BA66" i="130"/>
  <c r="BB66" i="130"/>
  <c r="BC66" i="130"/>
  <c r="AK67" i="130"/>
  <c r="AM67" i="130"/>
  <c r="AN67" i="130"/>
  <c r="AO67" i="130"/>
  <c r="AQ67" i="130"/>
  <c r="AR67" i="130"/>
  <c r="AS67" i="130"/>
  <c r="AT67" i="130"/>
  <c r="AV67" i="130"/>
  <c r="AW67" i="130"/>
  <c r="AX67" i="130"/>
  <c r="AY67" i="130"/>
  <c r="AZ67" i="130"/>
  <c r="BA67" i="130"/>
  <c r="BB67" i="130"/>
  <c r="BC67" i="130"/>
  <c r="AK68" i="130"/>
  <c r="AM68" i="130"/>
  <c r="AN68" i="130"/>
  <c r="AO68" i="130"/>
  <c r="AQ68" i="130"/>
  <c r="AR68" i="130"/>
  <c r="AS68" i="130"/>
  <c r="AT68" i="130"/>
  <c r="AV68" i="130"/>
  <c r="AW68" i="130"/>
  <c r="AX68" i="130"/>
  <c r="AY68" i="130"/>
  <c r="AZ68" i="130"/>
  <c r="BA68" i="130"/>
  <c r="BB68" i="130"/>
  <c r="BC68" i="130"/>
  <c r="AK69" i="130"/>
  <c r="AM69" i="130"/>
  <c r="AN69" i="130"/>
  <c r="AO69" i="130"/>
  <c r="AQ69" i="130"/>
  <c r="AR69" i="130"/>
  <c r="AS69" i="130"/>
  <c r="AT69" i="130"/>
  <c r="AV69" i="130"/>
  <c r="AW69" i="130"/>
  <c r="AX69" i="130"/>
  <c r="AY69" i="130"/>
  <c r="AZ69" i="130"/>
  <c r="BA69" i="130"/>
  <c r="BB69" i="130"/>
  <c r="BC69" i="130"/>
  <c r="AK70" i="130"/>
  <c r="AM70" i="130"/>
  <c r="AN70" i="130"/>
  <c r="AO70" i="130"/>
  <c r="AQ70" i="130"/>
  <c r="AR70" i="130"/>
  <c r="AS70" i="130"/>
  <c r="AT70" i="130"/>
  <c r="AV70" i="130"/>
  <c r="AW70" i="130"/>
  <c r="AX70" i="130"/>
  <c r="AY70" i="130"/>
  <c r="AZ70" i="130"/>
  <c r="BA70" i="130"/>
  <c r="BB70" i="130"/>
  <c r="BC70" i="130"/>
  <c r="AK71" i="130"/>
  <c r="AM71" i="130"/>
  <c r="AN71" i="130"/>
  <c r="AO71" i="130"/>
  <c r="AQ71" i="130"/>
  <c r="AR71" i="130"/>
  <c r="AS71" i="130"/>
  <c r="AT71" i="130"/>
  <c r="AV71" i="130"/>
  <c r="AZ71" i="130"/>
  <c r="BA71" i="130"/>
  <c r="BB71" i="130"/>
  <c r="AK72" i="130"/>
  <c r="AM72" i="130"/>
  <c r="AN72" i="130"/>
  <c r="AO72" i="130"/>
  <c r="AQ72" i="130"/>
  <c r="AR72" i="130"/>
  <c r="AS72" i="130"/>
  <c r="AT72" i="130"/>
  <c r="AV72" i="130"/>
  <c r="AZ72" i="130"/>
  <c r="BA72" i="130"/>
  <c r="BB72" i="130"/>
</calcChain>
</file>

<file path=xl/sharedStrings.xml><?xml version="1.0" encoding="utf-8"?>
<sst xmlns="http://schemas.openxmlformats.org/spreadsheetml/2006/main" count="586" uniqueCount="111">
  <si>
    <t>-</t>
  </si>
  <si>
    <t>Yok</t>
  </si>
  <si>
    <t>Doğal Afet Yardımı</t>
  </si>
  <si>
    <t>Kıdem Yardımı</t>
  </si>
  <si>
    <t>SGK Prim Kesintisi</t>
  </si>
  <si>
    <t>SGK İşsizlik Primi Kesintisi</t>
  </si>
  <si>
    <t>Yemek Yardımı</t>
  </si>
  <si>
    <t>Sosyal Yardım</t>
  </si>
  <si>
    <t>Evlilik Yardımı</t>
  </si>
  <si>
    <t>Var</t>
  </si>
  <si>
    <t>Annelik İzni</t>
  </si>
  <si>
    <t>Analık Hâli İzni</t>
  </si>
  <si>
    <t>Babalık İzni</t>
  </si>
  <si>
    <t>Süt İzni</t>
  </si>
  <si>
    <t>Engelli Çocuk İzni</t>
  </si>
  <si>
    <t>Evlat Edinme İzni</t>
  </si>
  <si>
    <t>Doğal Afet İzni</t>
  </si>
  <si>
    <t>Ulaşım Yardımı</t>
  </si>
  <si>
    <t>Normal Çalışma</t>
  </si>
  <si>
    <t>BES Kesintisi</t>
  </si>
  <si>
    <t>Damga Vergisi Kesintisi</t>
  </si>
  <si>
    <t>Gelir Vergisi Kesintisi</t>
  </si>
  <si>
    <t>İkramiye Yardımı</t>
  </si>
  <si>
    <t>İş Kazası veya Meslek Hastalığı Tazminatı</t>
  </si>
  <si>
    <t>Ustabaşı</t>
  </si>
  <si>
    <t>Usta</t>
  </si>
  <si>
    <t>Vinç Operatörü</t>
  </si>
  <si>
    <t>Forklift Operatörü</t>
  </si>
  <si>
    <t>İtfaiye Amiri</t>
  </si>
  <si>
    <t>Usta Yardımcısı</t>
  </si>
  <si>
    <t>Gemi Havuzlama Personeli</t>
  </si>
  <si>
    <t>İtfaiyeci</t>
  </si>
  <si>
    <t>Yakıt Yağ ve Atık Personeli</t>
  </si>
  <si>
    <t>Nakdi Yardımlar</t>
  </si>
  <si>
    <t>Sendika Üyelik Aidatı Kesintisi</t>
  </si>
  <si>
    <t>Gıda Yardımı</t>
  </si>
  <si>
    <t>Ücretli Sendikal İzin ve Sendika Temsilci Sayısı</t>
  </si>
  <si>
    <t>İş Arama İzni</t>
  </si>
  <si>
    <t>Ücretli Yıllık İzin</t>
  </si>
  <si>
    <t>Kazançlar</t>
  </si>
  <si>
    <t>Kesintiler</t>
  </si>
  <si>
    <t>Cenaze İzni</t>
  </si>
  <si>
    <t>Evlilik İzni</t>
  </si>
  <si>
    <t>Mazeret İzni</t>
  </si>
  <si>
    <t>Yol İzni</t>
  </si>
  <si>
    <t>a) İşçinin eşinin doğum yapması hâlinde 5 takvim günü ücretli sosyal izin verilir.</t>
  </si>
  <si>
    <t>a) İşçinin ikamet ettiği konutun doğal afet nedeniyle hasara uğraması hâlinde 10 iş günü ücretli sosyal izin verilir.</t>
  </si>
  <si>
    <t>a) İşçinin evlenmesi hâlinde 7 iş günü ücretli sosyal izin verilir.
b) İşçinin çocuğunun evlenmesi hâlinde 0 iş günü ücretli sosyal izin verilir.
c) İşçinin evliliğinde, evlilik izninin hangi şekilde kullanılacağı işçinin talebi doğrultusunda değerlendirilir.</t>
  </si>
  <si>
    <t>a) İşçilere, gerekli ve geçerli mazeretleri hâlinde işverenin takdirine bağlı olarak yılda 6 iş günü ücretli sosyal izin verilir.
b) İşçilere, gerekli ve geçerli mazeretleri hâlinde işverenin takdirine bağlı olarak yılda 6 aya kadar ücretsiz sosyal izin verilebilir. Genel müdürün uygun görmesi hâlinde 12 aya kadar uzatılabilir.</t>
  </si>
  <si>
    <t>Askerlik Yardımı</t>
  </si>
  <si>
    <t>a) İşçinin eşinin veya çocuğunun vefatı hâlinde 5 iş günü ücretli sosyal izin verilir.
b) İşçinin annesinin, babasının veya kardeşinin vefatı hâlinde 5 iş günü ücretli sosyal izin verilir.
c) İşçinin eşinin annesinin, babasının veya kardeşinin vefatı hâlinde 5 iş günü ücretli sosyal izin verilir.
d) İşçinin amcasının, halasının, dayısının, teyzesinin, dedesinin veya ninesinin vefatı hâlinde 0 iş günü ücretli sosyal izin verilir.
e) Cenazenin il dışında olması veya il dışına götürülmesi hâlinde işçinin annesinin, babasının, kardeşinin, eşinin veya çocuğunun cenazesi için ilave 5 iş günü amcasının, halasının, dayısının, teyzesinin, dedesinin veya ninesinin cenazesi için ilave 0 iş günü ücretli sosyal izin verilir.
f) İşçilerden birinin vefatı hâlinde cenaze işlemleri veya katılımı için ihtiyaç kadar işçiye ücretli sosyal izin verilir.
g) Vefat eden kişi birden fazla personelin yakını ise cenaze izni her personele ayrı ayrı verilir.</t>
  </si>
  <si>
    <t>a) Yıllık ücretli izinleri işyerinin kurulu bulunduğu yerden başka bir yerde geçirecek olanlara istemde bulunmaları ve bu hususu belgelemeleri koşulu ile gidiş ve dönüşlerinde yolda geçecek süreleri karşılamak üzere işveren toplam 4 güne kadar ücretsiz yol izni vermek zorundadır.
(Yıllık Ücretli İzin Yönetmeliği / Madde 6)</t>
  </si>
  <si>
    <t>a) 01.01.2009 Tarihinden Önce İşe Başlayanlar İçin:
Hizmeti 6 ay olanlar için 0 iş günü ücretli yıllık izin verilir.
Hizmeti 1-5 yıl olanlar için 14 iş günü ücretli yıllık izin verilir.
Hizmeti 5-10 yıl olanlar için 23 iş günü ücretli yıllık izin verilir.
Hizmeti 10-15 yıl olanlar için 23 iş günü ücretli yıllık izin verilir.
Hizmeti 15 yıldan fazla olanlar için 26 iş günü ücretli yıllık izin verilir.
b) 01.01.2009 Tarihinden Sonra İşe Başlayanlar İçin:
Hizmeti 6 ay olanlar için 0 iş günü ücretli yıllık izin verilir.
Hizmeti 1-5 yıl olanlar için 14 iş günü ücretli yıllık izin verilir.
Hizmeti 5-10 yıl olanlar için 20 iş günü ücretli yıllık izin verilir.
Hizmeti 10-15 yıl olanlar için 20 iş günü ücretli yıllık izin verilir.
Hizmeti 15 yıldan fazla olanlar için 26 iş günü ücretli yıllık izin verilir.</t>
  </si>
  <si>
    <t>Yıllık Ortalama</t>
  </si>
  <si>
    <t>Tersane Saha Personeli</t>
  </si>
  <si>
    <t xml:space="preserve">   Kıdem Yardımı</t>
  </si>
  <si>
    <t xml:space="preserve">   Yemek Yardımı</t>
  </si>
  <si>
    <t xml:space="preserve">   Ulaşım Yardımı</t>
  </si>
  <si>
    <t xml:space="preserve">   Nakdi Yardımlar
   Sürekliliği Olmayan Yardımlar</t>
  </si>
  <si>
    <t>Cenaze Yardımı (Anne-Baba)</t>
  </si>
  <si>
    <t>Cenaze Yardımı (Eş-Çocuk)</t>
  </si>
  <si>
    <t>Cenaze Yardımı (İşçi-İş Kazası Sonucu)</t>
  </si>
  <si>
    <t>Cenaze Yardımı (İşçi-Tabii Sebepler Sonucu)</t>
  </si>
  <si>
    <t>Eğitim Yardımı (İşçi-Lise)</t>
  </si>
  <si>
    <t>Eğitim Yardımı (İşçi-Yükseköğretim)</t>
  </si>
  <si>
    <t>Eğitim Yardımı (Çocuk-İlköğretim)</t>
  </si>
  <si>
    <t>Eğitim Yardımı (Çocuk-Ortaöğretim)</t>
  </si>
  <si>
    <t>Eğitim Yardımı (Çocuk-Lise)</t>
  </si>
  <si>
    <t>Eğitim Yardımı (Çocuk-Yükseköğretim)</t>
  </si>
  <si>
    <t xml:space="preserve">   Toplam Kazanç
   Net</t>
  </si>
  <si>
    <t>İşveren Maliyeti</t>
  </si>
  <si>
    <r>
      <t xml:space="preserve">   Sonraki Ayın 1'inde
   </t>
    </r>
    <r>
      <rPr>
        <b/>
        <sz val="16"/>
        <rFont val="Calibri"/>
        <family val="2"/>
        <charset val="162"/>
        <scheme val="minor"/>
      </rPr>
      <t>Net</t>
    </r>
  </si>
  <si>
    <t>a) 3 yaşını doldurmamış çocuğu evlat edinen eşlerden birine veya evlat edinene çocuğun aileye fiilen teslim edildiği tarihten itibaren 8 hafta analık hâli izni kullandırılır.
(4857 sayılı İş Kanunu / Madde 74)</t>
  </si>
  <si>
    <t>Miktar</t>
  </si>
  <si>
    <t xml:space="preserve">   BES Kesintisi</t>
  </si>
  <si>
    <t>Toplam</t>
  </si>
  <si>
    <t>Ortalama</t>
  </si>
  <si>
    <t>Fazla Çalışma (% 50)</t>
  </si>
  <si>
    <t>Fazla Sürelerle Çalışma (% 25)</t>
  </si>
  <si>
    <t>Resmi Tatillerde Çalışma (% 100)</t>
  </si>
  <si>
    <t>Gece Çalışma (% 12)</t>
  </si>
  <si>
    <r>
      <t xml:space="preserve">   Resmi Tatillerde Çalışma
   </t>
    </r>
    <r>
      <rPr>
        <b/>
        <sz val="16"/>
        <rFont val="Calibri"/>
        <family val="2"/>
        <charset val="162"/>
        <scheme val="minor"/>
      </rPr>
      <t>% 100</t>
    </r>
  </si>
  <si>
    <r>
      <t xml:space="preserve">   Sonraki Ayın 15'inde
   Fazla Çalışma (Gündüz-Gece-Resmi Tatil)
   Yemek Yardımı
   </t>
    </r>
    <r>
      <rPr>
        <b/>
        <sz val="16"/>
        <rFont val="Calibri"/>
        <family val="2"/>
        <charset val="162"/>
        <scheme val="minor"/>
      </rPr>
      <t>Net</t>
    </r>
  </si>
  <si>
    <t xml:space="preserve">   Engellilik İndirimi</t>
  </si>
  <si>
    <t>Amir</t>
  </si>
  <si>
    <t>Gişe</t>
  </si>
  <si>
    <t>Çıma</t>
  </si>
  <si>
    <r>
      <t xml:space="preserve">   Gece Çalışma
   </t>
    </r>
    <r>
      <rPr>
        <b/>
        <sz val="16"/>
        <rFont val="Calibri"/>
        <family val="2"/>
        <charset val="162"/>
        <scheme val="minor"/>
      </rPr>
      <t>% 15</t>
    </r>
  </si>
  <si>
    <r>
      <t xml:space="preserve">   Fazla Sürelerle Çalışma
   </t>
    </r>
    <r>
      <rPr>
        <b/>
        <sz val="16"/>
        <rFont val="Calibri"/>
        <family val="2"/>
        <charset val="162"/>
        <scheme val="minor"/>
      </rPr>
      <t>% 30</t>
    </r>
  </si>
  <si>
    <r>
      <t xml:space="preserve">   Fazla Çalışma
   </t>
    </r>
    <r>
      <rPr>
        <b/>
        <sz val="16"/>
        <rFont val="Calibri"/>
        <family val="2"/>
        <charset val="162"/>
        <scheme val="minor"/>
      </rPr>
      <t>% 60</t>
    </r>
  </si>
  <si>
    <t>Ocak</t>
  </si>
  <si>
    <t>Şubat</t>
  </si>
  <si>
    <t>Mart</t>
  </si>
  <si>
    <t>Nisan</t>
  </si>
  <si>
    <t>Mayıs</t>
  </si>
  <si>
    <t>Haziran</t>
  </si>
  <si>
    <t>Temmuz</t>
  </si>
  <si>
    <t>Ağustos</t>
  </si>
  <si>
    <t>Eylül</t>
  </si>
  <si>
    <t>Ekim</t>
  </si>
  <si>
    <t>Kasım</t>
  </si>
  <si>
    <t>Aralık</t>
  </si>
  <si>
    <t>Ocak &gt; Şubat</t>
  </si>
  <si>
    <t>Mart &gt; Ağustos</t>
  </si>
  <si>
    <r>
      <t xml:space="preserve">a) Kadın işçilerin </t>
    </r>
    <r>
      <rPr>
        <b/>
        <sz val="16"/>
        <color theme="0"/>
        <rFont val="Calibri"/>
        <family val="2"/>
        <charset val="162"/>
        <scheme val="minor"/>
      </rPr>
      <t>doğumdan önce 8 ve doğumdan sonra 8 hafta</t>
    </r>
    <r>
      <rPr>
        <sz val="16"/>
        <color theme="0"/>
        <rFont val="Calibri"/>
        <family val="2"/>
        <charset val="162"/>
        <scheme val="minor"/>
      </rPr>
      <t xml:space="preserve"> olmak üzere toplam 16 haftalık süre için çalıştırılmamaları esastır.
(4857 sayılı İş Kanunu / Madde 74)</t>
    </r>
  </si>
  <si>
    <r>
      <t xml:space="preserve">a) İşçilerin en az %70 oranında engelli veya süreğen hastalığı olan çocuğunun tedavisinde, hastalık raporuna dayalı olarak ve çalışan ebeveynden sadece biri tarafından kullanılması kaydıyla, </t>
    </r>
    <r>
      <rPr>
        <b/>
        <sz val="16"/>
        <color theme="0"/>
        <rFont val="Calibri"/>
        <family val="2"/>
        <charset val="162"/>
        <scheme val="minor"/>
      </rPr>
      <t>bir yıl içinde toptan veya bölümler hâlinde 10 güne kadar</t>
    </r>
    <r>
      <rPr>
        <sz val="16"/>
        <color theme="0"/>
        <rFont val="Calibri"/>
        <family val="2"/>
        <charset val="162"/>
        <scheme val="minor"/>
      </rPr>
      <t xml:space="preserve"> ücretli izin verilir.
(4857 sayılı İş Kanunu / Ek Madde 2)</t>
    </r>
  </si>
  <si>
    <r>
      <t xml:space="preserve">a) İşçiye; evlat edinmesi hâlinde </t>
    </r>
    <r>
      <rPr>
        <b/>
        <sz val="16"/>
        <color theme="0"/>
        <rFont val="Calibri"/>
        <family val="2"/>
        <charset val="162"/>
        <scheme val="minor"/>
      </rPr>
      <t>3 gün</t>
    </r>
    <r>
      <rPr>
        <sz val="16"/>
        <color theme="0"/>
        <rFont val="Calibri"/>
        <family val="2"/>
        <charset val="162"/>
        <scheme val="minor"/>
      </rPr>
      <t xml:space="preserve"> ücretli izin verilir.
(4857 sayılı İş Kanunu / Ek Madde 2)</t>
    </r>
  </si>
  <si>
    <r>
      <t xml:space="preserve">a) Bildirim süreleri içinde işveren, işçiye yeni bir iş bulması için gerekli olan iş arama iznini iş saatleri içinde ve ücret kesintisi yapmadan vermeye mecburdur. İş arama izninin süresi </t>
    </r>
    <r>
      <rPr>
        <b/>
        <sz val="16"/>
        <color theme="0"/>
        <rFont val="Calibri"/>
        <family val="2"/>
        <charset val="162"/>
        <scheme val="minor"/>
      </rPr>
      <t>günde 2 saatten az olamaz</t>
    </r>
    <r>
      <rPr>
        <sz val="16"/>
        <color theme="0"/>
        <rFont val="Calibri"/>
        <family val="2"/>
        <charset val="162"/>
        <scheme val="minor"/>
      </rPr>
      <t xml:space="preserve"> ve işçi isterse iş arama izin saatlerini birleştirerek toplu kullanabilir.
(4857 sayılı İş Kanunu / Madde 27)</t>
    </r>
  </si>
  <si>
    <r>
      <t xml:space="preserve">a) Kadın işçilere bir yaşından küçük çocuklarını emzirmeleri için </t>
    </r>
    <r>
      <rPr>
        <b/>
        <sz val="16"/>
        <color theme="0"/>
        <rFont val="Calibri"/>
        <family val="2"/>
        <charset val="162"/>
        <scheme val="minor"/>
      </rPr>
      <t>günde toplam 1,5 saat</t>
    </r>
    <r>
      <rPr>
        <sz val="16"/>
        <color theme="0"/>
        <rFont val="Calibri"/>
        <family val="2"/>
        <charset val="162"/>
        <scheme val="minor"/>
      </rPr>
      <t xml:space="preserve"> süt izni verilir.
(4857 sayılı İş Kanunu / Madde 74)</t>
    </r>
  </si>
  <si>
    <r>
      <t xml:space="preserve">a) İşyerinde işçi sayısı 50’ye kadar ise yıllık en fazla 20 iş günü ücretli izin verilir.
İşyerinde işçi sayısı 51 ile 100 arasında ise yıllık en fazla 30 iş günü ücretli izin verilir.
İşyerinde işçi sayısı 101 ile 200 arasında ise yıllık en fazla 40 iş günü ücretli izin verilir.
İşyerinde işçi sayısı 201 ile 500 arasında ise yıllık en fazla 60 iş günü ücretli izin verilir.
İşyerinde işçi sayısı 501 ile 1000 arasında ise yıllık en fazla 80 iş günü ücretli izin verilir.
İşyerinde işçi sayısı 1000 işçiden fazla ise yıllık en fazla işçi sayısının % 10'u kadar iş günü ücretli sendikal izin verilir.
(6. Dönem Toplu İş Sözleşmesi / Madde 36)
b) Sendikal faaliyetler için sendikanın yazılı talebi üzerine ve işverenin hizmetlerini aksatmamak suretiyle, işçilere ayrı ayrı olmadan çalışan kişi sayısı karşılığına gelen gün kadar yıllık ücretli sendikal izin verilir.
c) Temsilcilik görevlerini yerine getirmeleri için baştemsilciye haftada 1 gün, diğer temsilcilere ayda 1’er gün ücretli sendikal izin verilir.
d) Toplu iş sözleşmesi yapmak üzere yetkisi kesinleşen sendika; 
işyerinde işçi sayısı </t>
    </r>
    <r>
      <rPr>
        <b/>
        <sz val="16"/>
        <color theme="0"/>
        <rFont val="Calibri"/>
        <family val="2"/>
        <charset val="162"/>
        <scheme val="minor"/>
      </rPr>
      <t>50’ye kadar ise 1</t>
    </r>
    <r>
      <rPr>
        <sz val="16"/>
        <color theme="0"/>
        <rFont val="Calibri"/>
        <family val="2"/>
        <charset val="162"/>
        <scheme val="minor"/>
      </rPr>
      <t xml:space="preserve">,
</t>
    </r>
    <r>
      <rPr>
        <b/>
        <sz val="16"/>
        <color theme="0"/>
        <rFont val="Calibri"/>
        <family val="2"/>
        <charset val="162"/>
        <scheme val="minor"/>
      </rPr>
      <t>51 ile 100 arasında</t>
    </r>
    <r>
      <rPr>
        <sz val="16"/>
        <color theme="0"/>
        <rFont val="Calibri"/>
        <family val="2"/>
        <charset val="162"/>
        <scheme val="minor"/>
      </rPr>
      <t xml:space="preserve"> ise </t>
    </r>
    <r>
      <rPr>
        <b/>
        <sz val="16"/>
        <color theme="0"/>
        <rFont val="Calibri"/>
        <family val="2"/>
        <charset val="162"/>
        <scheme val="minor"/>
      </rPr>
      <t>en çok 2</t>
    </r>
    <r>
      <rPr>
        <sz val="16"/>
        <color theme="0"/>
        <rFont val="Calibri"/>
        <family val="2"/>
        <charset val="162"/>
        <scheme val="minor"/>
      </rPr>
      <t xml:space="preserve">,
</t>
    </r>
    <r>
      <rPr>
        <b/>
        <sz val="16"/>
        <color theme="0"/>
        <rFont val="Calibri"/>
        <family val="2"/>
        <charset val="162"/>
        <scheme val="minor"/>
      </rPr>
      <t>101 ile 500 arasında</t>
    </r>
    <r>
      <rPr>
        <sz val="16"/>
        <color theme="0"/>
        <rFont val="Calibri"/>
        <family val="2"/>
        <charset val="162"/>
        <scheme val="minor"/>
      </rPr>
      <t xml:space="preserve"> ise </t>
    </r>
    <r>
      <rPr>
        <b/>
        <sz val="16"/>
        <color theme="0"/>
        <rFont val="Calibri"/>
        <family val="2"/>
        <charset val="162"/>
        <scheme val="minor"/>
      </rPr>
      <t>en çok 3</t>
    </r>
    <r>
      <rPr>
        <sz val="16"/>
        <color theme="0"/>
        <rFont val="Calibri"/>
        <family val="2"/>
        <charset val="162"/>
        <scheme val="minor"/>
      </rPr>
      <t xml:space="preserve">,
</t>
    </r>
    <r>
      <rPr>
        <b/>
        <sz val="16"/>
        <color theme="0"/>
        <rFont val="Calibri"/>
        <family val="2"/>
        <charset val="162"/>
        <scheme val="minor"/>
      </rPr>
      <t>501 ile 1000 arasında</t>
    </r>
    <r>
      <rPr>
        <sz val="16"/>
        <color theme="0"/>
        <rFont val="Calibri"/>
        <family val="2"/>
        <charset val="162"/>
        <scheme val="minor"/>
      </rPr>
      <t xml:space="preserve"> ise </t>
    </r>
    <r>
      <rPr>
        <b/>
        <sz val="16"/>
        <color theme="0"/>
        <rFont val="Calibri"/>
        <family val="2"/>
        <charset val="162"/>
        <scheme val="minor"/>
      </rPr>
      <t>en çok 4</t>
    </r>
    <r>
      <rPr>
        <sz val="16"/>
        <color theme="0"/>
        <rFont val="Calibri"/>
        <family val="2"/>
        <charset val="162"/>
        <scheme val="minor"/>
      </rPr>
      <t xml:space="preserve">,
</t>
    </r>
    <r>
      <rPr>
        <b/>
        <sz val="16"/>
        <color theme="0"/>
        <rFont val="Calibri"/>
        <family val="2"/>
        <charset val="162"/>
        <scheme val="minor"/>
      </rPr>
      <t>1001 ile 2000 arasında</t>
    </r>
    <r>
      <rPr>
        <sz val="16"/>
        <color theme="0"/>
        <rFont val="Calibri"/>
        <family val="2"/>
        <charset val="162"/>
        <scheme val="minor"/>
      </rPr>
      <t xml:space="preserve"> ise </t>
    </r>
    <r>
      <rPr>
        <b/>
        <sz val="16"/>
        <color theme="0"/>
        <rFont val="Calibri"/>
        <family val="2"/>
        <charset val="162"/>
        <scheme val="minor"/>
      </rPr>
      <t>en çok 6</t>
    </r>
    <r>
      <rPr>
        <sz val="16"/>
        <color theme="0"/>
        <rFont val="Calibri"/>
        <family val="2"/>
        <charset val="162"/>
        <scheme val="minor"/>
      </rPr>
      <t xml:space="preserve">,
</t>
    </r>
    <r>
      <rPr>
        <b/>
        <sz val="16"/>
        <color theme="0"/>
        <rFont val="Calibri"/>
        <family val="2"/>
        <charset val="162"/>
        <scheme val="minor"/>
      </rPr>
      <t>2000’den fazla</t>
    </r>
    <r>
      <rPr>
        <sz val="16"/>
        <color theme="0"/>
        <rFont val="Calibri"/>
        <family val="2"/>
        <charset val="162"/>
        <scheme val="minor"/>
      </rPr>
      <t xml:space="preserve"> ise </t>
    </r>
    <r>
      <rPr>
        <b/>
        <sz val="16"/>
        <color theme="0"/>
        <rFont val="Calibri"/>
        <family val="2"/>
        <charset val="162"/>
        <scheme val="minor"/>
      </rPr>
      <t>en çok 8</t>
    </r>
    <r>
      <rPr>
        <sz val="16"/>
        <color theme="0"/>
        <rFont val="Calibri"/>
        <family val="2"/>
        <charset val="162"/>
        <scheme val="minor"/>
      </rPr>
      <t xml:space="preserve"> işyeri sendika temsilcisini işyerinde çalışan üyeleri arasından atayarak </t>
    </r>
    <r>
      <rPr>
        <b/>
        <sz val="16"/>
        <color theme="0"/>
        <rFont val="Calibri"/>
        <family val="2"/>
        <charset val="162"/>
        <scheme val="minor"/>
      </rPr>
      <t>15 gün içinde</t>
    </r>
    <r>
      <rPr>
        <sz val="16"/>
        <color theme="0"/>
        <rFont val="Calibri"/>
        <family val="2"/>
        <charset val="162"/>
        <scheme val="minor"/>
      </rPr>
      <t xml:space="preserve"> kimliklerini işverene bildirir. Bunlardan </t>
    </r>
    <r>
      <rPr>
        <b/>
        <sz val="16"/>
        <color theme="0"/>
        <rFont val="Calibri"/>
        <family val="2"/>
        <charset val="162"/>
        <scheme val="minor"/>
      </rPr>
      <t>biri baş temsilci</t>
    </r>
    <r>
      <rPr>
        <sz val="16"/>
        <color theme="0"/>
        <rFont val="Calibri"/>
        <family val="2"/>
        <charset val="162"/>
        <scheme val="minor"/>
      </rPr>
      <t xml:space="preserve"> olarak görevlendirilebilir. Temsilcilerin görevi, sendikanın yetkisi süresince devam eder.
(6356 sayılı Sendikalar ve Toplu İş Sözleşmesi Kanunu / Madde 27)</t>
    </r>
  </si>
  <si>
    <t>Eylül &gt; Aralık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</si>
</sst>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dd/mm/yyyy;@"/>
    <numFmt numFmtId="165" formatCode="0\ &quot;Gün&quot;"/>
    <numFmt numFmtId="166" formatCode="#,##0.00\ &quot;₺&quot;"/>
    <numFmt numFmtId="167" formatCode="0.000000"/>
    <numFmt numFmtId="168" formatCode="%\ 0"/>
    <numFmt numFmtId="169" formatCode="%\ 0.00"/>
    <numFmt numFmtId="170" formatCode="0.0000000"/>
    <numFmt numFmtId="171" formatCode="0.0"/>
  </numFmts>
  <fonts count="14" x14ac:knownFonts="1">
    <font>
      <sz val="11"/>
      <color rgb="FF000000"/>
      <name val="Calibri"/>
      <family val="2"/>
      <charset val="1"/>
    </font>
    <font>
      <sz val="11"/>
      <color rgb="FF000000"/>
      <name val="Calibri"/>
      <family val="2"/>
      <charset val="162"/>
    </font>
    <font>
      <sz val="11"/>
      <color rgb="FF000000"/>
      <name val="Calibri"/>
      <family val="2"/>
      <charset val="1"/>
    </font>
    <font>
      <sz val="10"/>
      <name val="Arial Tur"/>
      <charset val="162"/>
    </font>
    <font>
      <sz val="8"/>
      <name val="Calibri"/>
      <family val="2"/>
      <charset val="1"/>
    </font>
    <font>
      <sz val="16"/>
      <name val="Calibri"/>
      <family val="2"/>
      <charset val="162"/>
      <scheme val="minor"/>
    </font>
    <font>
      <b/>
      <sz val="16"/>
      <name val="Calibri"/>
      <family val="2"/>
      <charset val="162"/>
      <scheme val="minor"/>
    </font>
    <font>
      <sz val="16"/>
      <color rgb="FFFF0000"/>
      <name val="Calibri"/>
      <family val="2"/>
      <charset val="162"/>
      <scheme val="minor"/>
    </font>
    <font>
      <sz val="20"/>
      <name val="Calibri"/>
      <family val="2"/>
      <charset val="162"/>
      <scheme val="minor"/>
    </font>
    <font>
      <b/>
      <sz val="22"/>
      <name val="Calibri"/>
      <family val="2"/>
      <charset val="162"/>
      <scheme val="minor"/>
    </font>
    <font>
      <b/>
      <sz val="22"/>
      <color rgb="FFFF0000"/>
      <name val="Calibri"/>
      <family val="2"/>
      <charset val="162"/>
      <scheme val="minor"/>
    </font>
    <font>
      <sz val="15"/>
      <name val="Calibri"/>
      <family val="2"/>
      <charset val="162"/>
      <scheme val="minor"/>
    </font>
    <font>
      <sz val="16"/>
      <color theme="0"/>
      <name val="Calibri"/>
      <family val="2"/>
      <charset val="162"/>
      <scheme val="minor"/>
    </font>
    <font>
      <b/>
      <sz val="16"/>
      <color theme="0"/>
      <name val="Calibri"/>
      <family val="2"/>
      <charset val="162"/>
      <scheme val="minor"/>
    </font>
  </fonts>
  <fills count="6">
    <fill>
      <patternFill patternType="none"/>
    </fill>
    <fill>
      <patternFill patternType="gray125"/>
    </fill>
    <fill>
      <patternFill patternType="solid">
        <fgColor theme="0" tint="-0.14999847407452621"/>
        <bgColor indexed="64"/>
      </patternFill>
    </fill>
    <fill>
      <patternFill patternType="solid">
        <fgColor rgb="FFC8E1B4"/>
        <bgColor indexed="64"/>
      </patternFill>
    </fill>
    <fill>
      <patternFill patternType="solid">
        <fgColor theme="8" tint="0.79998168889431442"/>
        <bgColor indexed="64"/>
      </patternFill>
    </fill>
    <fill>
      <patternFill patternType="solid">
        <fgColor rgb="FFC8E1B4"/>
        <bgColor rgb="FFC5E0B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6">
    <xf numFmtId="0" fontId="0" fillId="0" borderId="0"/>
    <xf numFmtId="0" fontId="1" fillId="0" borderId="0"/>
    <xf numFmtId="0" fontId="3" fillId="0" borderId="0"/>
    <xf numFmtId="0" fontId="2" fillId="0" borderId="0"/>
    <xf numFmtId="9" fontId="3" fillId="0" borderId="0" applyFont="0" applyFill="0" applyBorder="0" applyAlignment="0" applyProtection="0"/>
    <xf numFmtId="0" fontId="3" fillId="0" borderId="0" applyFont="0" applyFill="0" applyBorder="0" applyAlignment="0" applyProtection="0"/>
  </cellStyleXfs>
  <cellXfs count="78">
    <xf numFmtId="0" fontId="0" fillId="0" borderId="0" xfId="0"/>
    <xf numFmtId="0" fontId="5" fillId="2" borderId="1" xfId="2" applyFont="1" applyFill="1" applyBorder="1" applyAlignment="1" applyProtection="1">
      <alignment horizontal="center" vertical="center" wrapText="1"/>
      <protection hidden="1"/>
    </xf>
    <xf numFmtId="0" fontId="5" fillId="0" borderId="0" xfId="2" applyFont="1" applyAlignment="1" applyProtection="1">
      <alignment horizontal="center" vertical="center" wrapText="1"/>
      <protection hidden="1"/>
    </xf>
    <xf numFmtId="169" fontId="11" fillId="2" borderId="1" xfId="2" applyNumberFormat="1" applyFont="1" applyFill="1" applyBorder="1" applyAlignment="1" applyProtection="1">
      <alignment horizontal="center" vertical="center" wrapText="1"/>
      <protection hidden="1"/>
    </xf>
    <xf numFmtId="4" fontId="9" fillId="4" borderId="1" xfId="2" applyNumberFormat="1" applyFont="1" applyFill="1" applyBorder="1" applyAlignment="1" applyProtection="1">
      <alignment horizontal="center" vertical="center" wrapText="1"/>
      <protection hidden="1"/>
    </xf>
    <xf numFmtId="4" fontId="10" fillId="4" borderId="1" xfId="2" applyNumberFormat="1" applyFont="1" applyFill="1" applyBorder="1" applyAlignment="1" applyProtection="1">
      <alignment horizontal="center" vertical="center" wrapText="1"/>
      <protection hidden="1"/>
    </xf>
    <xf numFmtId="4" fontId="11" fillId="2" borderId="1" xfId="2" applyNumberFormat="1" applyFont="1" applyFill="1" applyBorder="1" applyAlignment="1" applyProtection="1">
      <alignment horizontal="center" vertical="center" wrapText="1"/>
      <protection hidden="1"/>
    </xf>
    <xf numFmtId="4" fontId="5" fillId="2" borderId="1" xfId="2" applyNumberFormat="1" applyFont="1" applyFill="1" applyBorder="1" applyAlignment="1" applyProtection="1">
      <alignment horizontal="center" vertical="center" wrapText="1"/>
      <protection hidden="1"/>
    </xf>
    <xf numFmtId="171" fontId="5" fillId="2" borderId="1" xfId="2" applyNumberFormat="1" applyFont="1" applyFill="1" applyBorder="1" applyAlignment="1" applyProtection="1">
      <alignment horizontal="center" vertical="center" wrapText="1"/>
      <protection hidden="1"/>
    </xf>
    <xf numFmtId="1" fontId="5" fillId="2" borderId="1" xfId="2" applyNumberFormat="1" applyFont="1" applyFill="1" applyBorder="1" applyAlignment="1" applyProtection="1">
      <alignment horizontal="center" vertical="center" wrapText="1"/>
      <protection hidden="1"/>
    </xf>
    <xf numFmtId="4" fontId="9" fillId="2" borderId="1" xfId="2" applyNumberFormat="1" applyFont="1" applyFill="1" applyBorder="1" applyAlignment="1" applyProtection="1">
      <alignment horizontal="center" vertical="center" wrapText="1"/>
      <protection hidden="1"/>
    </xf>
    <xf numFmtId="4" fontId="10" fillId="2" borderId="1" xfId="2" applyNumberFormat="1" applyFont="1" applyFill="1" applyBorder="1" applyAlignment="1" applyProtection="1">
      <alignment horizontal="center" vertical="center" wrapText="1"/>
      <protection hidden="1"/>
    </xf>
    <xf numFmtId="0" fontId="5" fillId="0" borderId="0" xfId="2" applyFont="1" applyAlignment="1" applyProtection="1">
      <alignment horizontal="right" vertical="center" wrapText="1"/>
      <protection hidden="1"/>
    </xf>
    <xf numFmtId="1" fontId="5" fillId="3" borderId="1" xfId="2" applyNumberFormat="1" applyFont="1" applyFill="1" applyBorder="1" applyAlignment="1" applyProtection="1">
      <alignment horizontal="center" vertical="center" wrapText="1"/>
      <protection locked="0" hidden="1"/>
    </xf>
    <xf numFmtId="171" fontId="5" fillId="3" borderId="1" xfId="3" applyNumberFormat="1" applyFont="1" applyFill="1" applyBorder="1" applyAlignment="1" applyProtection="1">
      <alignment horizontal="center" vertical="center" wrapText="1"/>
      <protection locked="0" hidden="1"/>
    </xf>
    <xf numFmtId="2" fontId="5" fillId="5" borderId="1" xfId="2" applyNumberFormat="1" applyFont="1" applyFill="1" applyBorder="1" applyAlignment="1" applyProtection="1">
      <alignment horizontal="center" vertical="center" wrapText="1"/>
      <protection locked="0" hidden="1"/>
    </xf>
    <xf numFmtId="168" fontId="5" fillId="3" borderId="1" xfId="2" applyNumberFormat="1" applyFont="1" applyFill="1" applyBorder="1" applyAlignment="1" applyProtection="1">
      <alignment horizontal="center" vertical="center" wrapText="1"/>
      <protection locked="0" hidden="1"/>
    </xf>
    <xf numFmtId="0" fontId="12" fillId="0" borderId="0" xfId="2" applyFont="1" applyAlignment="1" applyProtection="1">
      <alignment horizontal="center" vertical="center" wrapText="1"/>
      <protection hidden="1"/>
    </xf>
    <xf numFmtId="166" fontId="12" fillId="0" borderId="0" xfId="2" applyNumberFormat="1" applyFont="1" applyAlignment="1" applyProtection="1">
      <alignment horizontal="center" vertical="center" wrapText="1"/>
      <protection hidden="1"/>
    </xf>
    <xf numFmtId="2" fontId="12" fillId="0" borderId="0" xfId="3" applyNumberFormat="1" applyFont="1" applyAlignment="1" applyProtection="1">
      <alignment horizontal="center" vertical="center" wrapText="1"/>
      <protection hidden="1"/>
    </xf>
    <xf numFmtId="169" fontId="12" fillId="0" borderId="0" xfId="2" applyNumberFormat="1" applyFont="1" applyAlignment="1" applyProtection="1">
      <alignment horizontal="center" vertical="center" wrapText="1"/>
      <protection hidden="1"/>
    </xf>
    <xf numFmtId="0" fontId="12" fillId="0" borderId="0" xfId="3" applyFont="1" applyAlignment="1" applyProtection="1">
      <alignment horizontal="center" vertical="center" wrapText="1"/>
      <protection hidden="1"/>
    </xf>
    <xf numFmtId="2" fontId="12" fillId="0" borderId="0" xfId="2" applyNumberFormat="1" applyFont="1" applyAlignment="1" applyProtection="1">
      <alignment horizontal="center" vertical="center" wrapText="1"/>
      <protection hidden="1"/>
    </xf>
    <xf numFmtId="166" fontId="12" fillId="0" borderId="0" xfId="3" applyNumberFormat="1" applyFont="1" applyAlignment="1" applyProtection="1">
      <alignment horizontal="center" vertical="center" wrapText="1"/>
      <protection hidden="1"/>
    </xf>
    <xf numFmtId="164" fontId="12" fillId="0" borderId="0" xfId="2" applyNumberFormat="1" applyFont="1" applyAlignment="1" applyProtection="1">
      <alignment horizontal="center" vertical="center" wrapText="1"/>
      <protection hidden="1"/>
    </xf>
    <xf numFmtId="164" fontId="12" fillId="0" borderId="0" xfId="0" applyNumberFormat="1" applyFont="1" applyAlignment="1" applyProtection="1">
      <alignment horizontal="center" vertical="center" wrapText="1"/>
      <protection hidden="1"/>
    </xf>
    <xf numFmtId="165" fontId="12" fillId="0" borderId="0" xfId="0" applyNumberFormat="1" applyFont="1" applyAlignment="1" applyProtection="1">
      <alignment horizontal="center" vertical="center" wrapText="1"/>
      <protection hidden="1"/>
    </xf>
    <xf numFmtId="166" fontId="12" fillId="0" borderId="0" xfId="0" applyNumberFormat="1" applyFont="1" applyAlignment="1" applyProtection="1">
      <alignment horizontal="center" vertical="center" wrapText="1"/>
      <protection hidden="1"/>
    </xf>
    <xf numFmtId="165" fontId="12" fillId="0" borderId="0" xfId="2" applyNumberFormat="1" applyFont="1" applyAlignment="1" applyProtection="1">
      <alignment horizontal="center" vertical="center" wrapText="1"/>
      <protection hidden="1"/>
    </xf>
    <xf numFmtId="167" fontId="12" fillId="0" borderId="0" xfId="2" applyNumberFormat="1" applyFont="1" applyAlignment="1" applyProtection="1">
      <alignment horizontal="center" vertical="center" wrapText="1"/>
      <protection hidden="1"/>
    </xf>
    <xf numFmtId="3" fontId="12" fillId="0" borderId="0" xfId="2" applyNumberFormat="1" applyFont="1" applyAlignment="1" applyProtection="1">
      <alignment horizontal="center" vertical="center" wrapText="1"/>
      <protection hidden="1"/>
    </xf>
    <xf numFmtId="0" fontId="12" fillId="0" borderId="0" xfId="0" applyFont="1" applyAlignment="1" applyProtection="1">
      <alignment horizontal="center" vertical="center" wrapText="1"/>
      <protection hidden="1"/>
    </xf>
    <xf numFmtId="0" fontId="12" fillId="0" borderId="0" xfId="0" applyFont="1" applyAlignment="1" applyProtection="1">
      <alignment horizontal="right" vertical="center" wrapText="1"/>
      <protection hidden="1"/>
    </xf>
    <xf numFmtId="49" fontId="12" fillId="0" borderId="0" xfId="0" applyNumberFormat="1" applyFont="1" applyAlignment="1" applyProtection="1">
      <alignment horizontal="center" vertical="center" wrapText="1"/>
      <protection hidden="1"/>
    </xf>
    <xf numFmtId="49" fontId="12" fillId="0" borderId="0" xfId="2" applyNumberFormat="1" applyFont="1" applyAlignment="1" applyProtection="1">
      <alignment horizontal="center" vertical="center" wrapText="1"/>
      <protection hidden="1"/>
    </xf>
    <xf numFmtId="4" fontId="12" fillId="0" borderId="0" xfId="2" applyNumberFormat="1" applyFont="1" applyAlignment="1" applyProtection="1">
      <alignment horizontal="center" vertical="center" wrapText="1"/>
      <protection hidden="1"/>
    </xf>
    <xf numFmtId="170" fontId="12" fillId="0" borderId="0" xfId="2" applyNumberFormat="1" applyFont="1" applyAlignment="1" applyProtection="1">
      <alignment horizontal="center" vertical="center" wrapText="1"/>
      <protection hidden="1"/>
    </xf>
    <xf numFmtId="2" fontId="12" fillId="0" borderId="0" xfId="2" applyNumberFormat="1" applyFont="1" applyAlignment="1" applyProtection="1">
      <alignment horizontal="right" vertical="center" wrapText="1"/>
      <protection hidden="1"/>
    </xf>
    <xf numFmtId="168" fontId="12" fillId="0" borderId="0" xfId="2" applyNumberFormat="1" applyFont="1" applyAlignment="1" applyProtection="1">
      <alignment horizontal="center" vertical="center" wrapText="1"/>
      <protection hidden="1"/>
    </xf>
    <xf numFmtId="169" fontId="12" fillId="0" borderId="0" xfId="4" applyNumberFormat="1" applyFont="1" applyFill="1" applyBorder="1" applyAlignment="1" applyProtection="1">
      <alignment horizontal="center" vertical="center" wrapText="1"/>
      <protection hidden="1"/>
    </xf>
    <xf numFmtId="166" fontId="12" fillId="0" borderId="0" xfId="4" applyNumberFormat="1" applyFont="1" applyFill="1" applyBorder="1" applyAlignment="1" applyProtection="1">
      <alignment horizontal="center" vertical="center" wrapText="1"/>
      <protection hidden="1"/>
    </xf>
    <xf numFmtId="49" fontId="12" fillId="0" borderId="0" xfId="3" applyNumberFormat="1" applyFont="1" applyAlignment="1" applyProtection="1">
      <alignment horizontal="center" vertical="center" wrapText="1"/>
      <protection hidden="1"/>
    </xf>
    <xf numFmtId="2" fontId="5" fillId="2" borderId="10" xfId="0" applyNumberFormat="1" applyFont="1" applyFill="1" applyBorder="1" applyAlignment="1" applyProtection="1">
      <alignment horizontal="center" vertical="center" wrapText="1"/>
      <protection hidden="1"/>
    </xf>
    <xf numFmtId="2" fontId="5" fillId="2" borderId="11" xfId="0" applyNumberFormat="1" applyFont="1" applyFill="1" applyBorder="1" applyAlignment="1" applyProtection="1">
      <alignment horizontal="center" vertical="center" wrapText="1"/>
      <protection hidden="1"/>
    </xf>
    <xf numFmtId="166" fontId="8" fillId="2" borderId="7" xfId="2" applyNumberFormat="1" applyFont="1" applyFill="1" applyBorder="1" applyAlignment="1" applyProtection="1">
      <alignment horizontal="right" vertical="center" textRotation="90" wrapText="1"/>
      <protection hidden="1"/>
    </xf>
    <xf numFmtId="166" fontId="8" fillId="2" borderId="9" xfId="2" applyNumberFormat="1" applyFont="1" applyFill="1" applyBorder="1" applyAlignment="1" applyProtection="1">
      <alignment horizontal="right" vertical="center" textRotation="90" wrapText="1"/>
      <protection hidden="1"/>
    </xf>
    <xf numFmtId="166" fontId="8" fillId="2" borderId="4" xfId="2" applyNumberFormat="1" applyFont="1" applyFill="1" applyBorder="1" applyAlignment="1" applyProtection="1">
      <alignment horizontal="right" vertical="center" textRotation="90" wrapText="1"/>
      <protection hidden="1"/>
    </xf>
    <xf numFmtId="2" fontId="8" fillId="2" borderId="5" xfId="2" applyNumberFormat="1" applyFont="1" applyFill="1" applyBorder="1" applyAlignment="1" applyProtection="1">
      <alignment horizontal="center" vertical="center" textRotation="90" wrapText="1"/>
      <protection hidden="1"/>
    </xf>
    <xf numFmtId="2" fontId="8" fillId="2" borderId="8" xfId="2" applyNumberFormat="1" applyFont="1" applyFill="1" applyBorder="1" applyAlignment="1" applyProtection="1">
      <alignment horizontal="center" vertical="center" textRotation="90" wrapText="1"/>
      <protection hidden="1"/>
    </xf>
    <xf numFmtId="2" fontId="8" fillId="2" borderId="2" xfId="2" applyNumberFormat="1" applyFont="1" applyFill="1" applyBorder="1" applyAlignment="1" applyProtection="1">
      <alignment horizontal="center" vertical="center" textRotation="90" wrapText="1"/>
      <protection hidden="1"/>
    </xf>
    <xf numFmtId="0" fontId="5" fillId="2" borderId="9" xfId="0" applyFont="1" applyFill="1" applyBorder="1" applyAlignment="1" applyProtection="1">
      <alignment horizontal="center" vertical="center" wrapText="1"/>
      <protection hidden="1"/>
    </xf>
    <xf numFmtId="0" fontId="5" fillId="2" borderId="0" xfId="0" applyFont="1" applyFill="1" applyAlignment="1" applyProtection="1">
      <alignment horizontal="left" vertical="center" wrapText="1"/>
      <protection hidden="1"/>
    </xf>
    <xf numFmtId="0" fontId="5" fillId="2" borderId="5" xfId="0" applyFont="1" applyFill="1" applyBorder="1" applyAlignment="1" applyProtection="1">
      <alignment horizontal="center" vertical="center" wrapText="1"/>
      <protection hidden="1"/>
    </xf>
    <xf numFmtId="0" fontId="5" fillId="2" borderId="6" xfId="0" applyFont="1" applyFill="1" applyBorder="1" applyAlignment="1" applyProtection="1">
      <alignment horizontal="center" vertical="center" wrapText="1"/>
      <protection hidden="1"/>
    </xf>
    <xf numFmtId="0" fontId="5" fillId="2" borderId="7" xfId="0" applyFont="1" applyFill="1" applyBorder="1" applyAlignment="1" applyProtection="1">
      <alignment horizontal="center" vertical="center" wrapText="1"/>
      <protection hidden="1"/>
    </xf>
    <xf numFmtId="0" fontId="5" fillId="3" borderId="1" xfId="2" applyFont="1" applyFill="1" applyBorder="1" applyAlignment="1" applyProtection="1">
      <alignment horizontal="center" vertical="center" textRotation="90" wrapText="1"/>
      <protection locked="0" hidden="1"/>
    </xf>
    <xf numFmtId="0" fontId="5" fillId="2" borderId="2" xfId="0" applyFont="1" applyFill="1" applyBorder="1" applyAlignment="1" applyProtection="1">
      <alignment horizontal="center" vertical="center" wrapText="1"/>
      <protection hidden="1"/>
    </xf>
    <xf numFmtId="0" fontId="5" fillId="2" borderId="3" xfId="0" applyFont="1" applyFill="1" applyBorder="1" applyAlignment="1" applyProtection="1">
      <alignment horizontal="center" vertical="center" wrapText="1"/>
      <protection hidden="1"/>
    </xf>
    <xf numFmtId="0" fontId="5" fillId="2" borderId="4" xfId="0" applyFont="1" applyFill="1" applyBorder="1" applyAlignment="1" applyProtection="1">
      <alignment horizontal="center" vertical="center" wrapText="1"/>
      <protection hidden="1"/>
    </xf>
    <xf numFmtId="0" fontId="5" fillId="2" borderId="1" xfId="2" applyFont="1" applyFill="1" applyBorder="1" applyAlignment="1" applyProtection="1">
      <alignment horizontal="center" vertical="center" wrapText="1"/>
      <protection hidden="1"/>
    </xf>
    <xf numFmtId="2" fontId="7" fillId="2" borderId="1" xfId="2" applyNumberFormat="1" applyFont="1" applyFill="1" applyBorder="1" applyAlignment="1" applyProtection="1">
      <alignment horizontal="center" textRotation="90" wrapText="1"/>
      <protection hidden="1"/>
    </xf>
    <xf numFmtId="2" fontId="5" fillId="2" borderId="1" xfId="2" applyNumberFormat="1" applyFont="1" applyFill="1" applyBorder="1" applyAlignment="1" applyProtection="1">
      <alignment horizontal="center" textRotation="90" wrapText="1"/>
      <protection hidden="1"/>
    </xf>
    <xf numFmtId="0" fontId="5" fillId="2" borderId="8" xfId="0" applyFont="1" applyFill="1" applyBorder="1" applyAlignment="1" applyProtection="1">
      <alignment horizontal="center" vertical="center" wrapText="1"/>
      <protection hidden="1"/>
    </xf>
    <xf numFmtId="0" fontId="5" fillId="3" borderId="1" xfId="0" applyFont="1" applyFill="1" applyBorder="1" applyAlignment="1" applyProtection="1">
      <alignment horizontal="center" vertical="center" textRotation="90" wrapText="1"/>
      <protection locked="0" hidden="1"/>
    </xf>
    <xf numFmtId="2" fontId="8" fillId="3" borderId="1" xfId="2" applyNumberFormat="1" applyFont="1" applyFill="1" applyBorder="1" applyAlignment="1" applyProtection="1">
      <alignment horizontal="center" vertical="center" textRotation="90" wrapText="1"/>
      <protection locked="0" hidden="1"/>
    </xf>
    <xf numFmtId="2" fontId="5" fillId="2" borderId="1" xfId="0" applyNumberFormat="1" applyFont="1" applyFill="1" applyBorder="1" applyAlignment="1" applyProtection="1">
      <alignment horizontal="center" textRotation="90" wrapText="1"/>
      <protection hidden="1"/>
    </xf>
    <xf numFmtId="2" fontId="5" fillId="2" borderId="5" xfId="2" applyNumberFormat="1" applyFont="1" applyFill="1" applyBorder="1" applyAlignment="1" applyProtection="1">
      <alignment horizontal="center" textRotation="90" wrapText="1"/>
      <protection hidden="1"/>
    </xf>
    <xf numFmtId="2" fontId="5" fillId="2" borderId="6" xfId="2" applyNumberFormat="1" applyFont="1" applyFill="1" applyBorder="1" applyAlignment="1" applyProtection="1">
      <alignment horizontal="center" textRotation="90" wrapText="1"/>
      <protection hidden="1"/>
    </xf>
    <xf numFmtId="2" fontId="5" fillId="2" borderId="7" xfId="2" applyNumberFormat="1" applyFont="1" applyFill="1" applyBorder="1" applyAlignment="1" applyProtection="1">
      <alignment horizontal="center" textRotation="90" wrapText="1"/>
      <protection hidden="1"/>
    </xf>
    <xf numFmtId="2" fontId="5" fillId="2" borderId="8" xfId="2" applyNumberFormat="1" applyFont="1" applyFill="1" applyBorder="1" applyAlignment="1" applyProtection="1">
      <alignment horizontal="center" textRotation="90" wrapText="1"/>
      <protection hidden="1"/>
    </xf>
    <xf numFmtId="2" fontId="5" fillId="2" borderId="0" xfId="2" applyNumberFormat="1" applyFont="1" applyFill="1" applyAlignment="1" applyProtection="1">
      <alignment horizontal="center" textRotation="90" wrapText="1"/>
      <protection hidden="1"/>
    </xf>
    <xf numFmtId="2" fontId="5" fillId="2" borderId="9" xfId="2" applyNumberFormat="1" applyFont="1" applyFill="1" applyBorder="1" applyAlignment="1" applyProtection="1">
      <alignment horizontal="center" textRotation="90" wrapText="1"/>
      <protection hidden="1"/>
    </xf>
    <xf numFmtId="2" fontId="5" fillId="2" borderId="2" xfId="2" applyNumberFormat="1" applyFont="1" applyFill="1" applyBorder="1" applyAlignment="1" applyProtection="1">
      <alignment horizontal="center" textRotation="90" wrapText="1"/>
      <protection hidden="1"/>
    </xf>
    <xf numFmtId="2" fontId="5" fillId="2" borderId="3" xfId="2" applyNumberFormat="1" applyFont="1" applyFill="1" applyBorder="1" applyAlignment="1" applyProtection="1">
      <alignment horizontal="center" textRotation="90" wrapText="1"/>
      <protection hidden="1"/>
    </xf>
    <xf numFmtId="2" fontId="5" fillId="2" borderId="4" xfId="2" applyNumberFormat="1" applyFont="1" applyFill="1" applyBorder="1" applyAlignment="1" applyProtection="1">
      <alignment horizontal="center" textRotation="90" wrapText="1"/>
      <protection hidden="1"/>
    </xf>
    <xf numFmtId="0" fontId="5" fillId="2" borderId="12" xfId="0" applyFont="1" applyFill="1" applyBorder="1" applyAlignment="1" applyProtection="1">
      <alignment horizontal="center" vertical="center" wrapText="1"/>
      <protection hidden="1"/>
    </xf>
    <xf numFmtId="0" fontId="5" fillId="2" borderId="13" xfId="0" applyFont="1" applyFill="1" applyBorder="1" applyAlignment="1" applyProtection="1">
      <alignment horizontal="center" vertical="center" wrapText="1"/>
      <protection hidden="1"/>
    </xf>
    <xf numFmtId="0" fontId="5" fillId="2" borderId="14" xfId="0" applyFont="1" applyFill="1" applyBorder="1" applyAlignment="1" applyProtection="1">
      <alignment horizontal="center" vertical="center" wrapText="1"/>
      <protection hidden="1"/>
    </xf>
  </cellXfs>
  <cellStyles count="6">
    <cellStyle name="Açıklama Metni" xfId="1" builtinId="53" customBuiltin="1"/>
    <cellStyle name="Normal" xfId="0" builtinId="0"/>
    <cellStyle name="Normal 2" xfId="2" xr:uid="{00000000-0005-0000-0000-000002000000}"/>
    <cellStyle name="Normal 2 2" xfId="3" xr:uid="{00000000-0005-0000-0000-000003000000}"/>
    <cellStyle name="Virgül 2" xfId="5" xr:uid="{00000000-0005-0000-0000-000004000000}"/>
    <cellStyle name="Yüzde 2" xfId="4" xr:uid="{00000000-0005-0000-0000-000005000000}"/>
  </cellStyles>
  <dxfs count="0"/>
  <tableStyles count="0" defaultTableStyle="TableStyleMedium9"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B4C7E7"/>
      <rgbColor rgb="FF808080"/>
      <rgbColor rgb="FF9999FF"/>
      <rgbColor rgb="FF993366"/>
      <rgbColor rgb="FFFFE699"/>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C5E0B4"/>
      <rgbColor rgb="FFFFFF99"/>
      <rgbColor rgb="FF99CCFF"/>
      <rgbColor rgb="FFFF99CC"/>
      <rgbColor rgb="FFCC99FF"/>
      <rgbColor rgb="FFF8CBAD"/>
      <rgbColor rgb="FF3366FF"/>
      <rgbColor rgb="FF33CCCC"/>
      <rgbColor rgb="FF99CC00"/>
      <rgbColor rgb="FFFFCC00"/>
      <rgbColor rgb="FFFF9900"/>
      <rgbColor rgb="FFFF3333"/>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mruColors>
      <color rgb="FFDAEEF3"/>
      <color rgb="FFC8E1B4"/>
      <color rgb="FF003300"/>
      <color rgb="FF9933FF"/>
      <color rgb="FFAAD7E1"/>
      <color rgb="FFAAD7DC"/>
      <color rgb="FFAAD7E6"/>
      <color rgb="FFAACDE6"/>
      <color rgb="FFAFCDE6"/>
      <color rgb="FFAFE1E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46821142851852943"/>
          <c:y val="1.6407513119655142E-2"/>
          <c:w val="0.22938183964581099"/>
          <c:h val="0.96718497376068968"/>
        </c:manualLayout>
      </c:layout>
      <c:barChart>
        <c:barDir val="bar"/>
        <c:grouping val="clustered"/>
        <c:varyColors val="0"/>
        <c:ser>
          <c:idx val="0"/>
          <c:order val="0"/>
          <c:spPr>
            <a:solidFill>
              <a:schemeClr val="tx1"/>
            </a:solidFill>
            <a:ln>
              <a:noFill/>
            </a:ln>
            <a:effectLst/>
          </c:spPr>
          <c:invertIfNegative val="0"/>
          <c:dPt>
            <c:idx val="10"/>
            <c:invertIfNegative val="0"/>
            <c:bubble3D val="0"/>
            <c:spPr>
              <a:solidFill>
                <a:schemeClr val="tx1"/>
              </a:solidFill>
              <a:ln>
                <a:noFill/>
              </a:ln>
              <a:effectLst/>
            </c:spPr>
            <c:extLst>
              <c:ext xmlns:c16="http://schemas.microsoft.com/office/drawing/2014/chart" uri="{C3380CC4-5D6E-409C-BE32-E72D297353CC}">
                <c16:uniqueId val="{00000035-7CFE-44BF-A422-9711557B250B}"/>
              </c:ext>
            </c:extLst>
          </c:dPt>
          <c:dPt>
            <c:idx val="11"/>
            <c:invertIfNegative val="0"/>
            <c:bubble3D val="0"/>
            <c:spPr>
              <a:solidFill>
                <a:srgbClr val="C00000"/>
              </a:solidFill>
              <a:ln>
                <a:noFill/>
              </a:ln>
              <a:effectLst/>
            </c:spPr>
            <c:extLst>
              <c:ext xmlns:c16="http://schemas.microsoft.com/office/drawing/2014/chart" uri="{C3380CC4-5D6E-409C-BE32-E72D297353CC}">
                <c16:uniqueId val="{00000027-15C5-4CF9-A126-8061EA1D968F}"/>
              </c:ext>
            </c:extLst>
          </c:dPt>
          <c:dPt>
            <c:idx val="12"/>
            <c:invertIfNegative val="0"/>
            <c:bubble3D val="0"/>
            <c:spPr>
              <a:solidFill>
                <a:srgbClr val="C00000"/>
              </a:solidFill>
              <a:ln>
                <a:noFill/>
              </a:ln>
              <a:effectLst/>
            </c:spPr>
            <c:extLst>
              <c:ext xmlns:c16="http://schemas.microsoft.com/office/drawing/2014/chart" uri="{C3380CC4-5D6E-409C-BE32-E72D297353CC}">
                <c16:uniqueId val="{00000028-15C5-4CF9-A126-8061EA1D968F}"/>
              </c:ext>
            </c:extLst>
          </c:dPt>
          <c:dPt>
            <c:idx val="13"/>
            <c:invertIfNegative val="0"/>
            <c:bubble3D val="0"/>
            <c:spPr>
              <a:solidFill>
                <a:srgbClr val="C00000"/>
              </a:solidFill>
              <a:ln>
                <a:noFill/>
              </a:ln>
              <a:effectLst/>
            </c:spPr>
            <c:extLst>
              <c:ext xmlns:c16="http://schemas.microsoft.com/office/drawing/2014/chart" uri="{C3380CC4-5D6E-409C-BE32-E72D297353CC}">
                <c16:uniqueId val="{00000029-15C5-4CF9-A126-8061EA1D968F}"/>
              </c:ext>
            </c:extLst>
          </c:dPt>
          <c:dPt>
            <c:idx val="14"/>
            <c:invertIfNegative val="0"/>
            <c:bubble3D val="0"/>
            <c:spPr>
              <a:solidFill>
                <a:srgbClr val="C00000"/>
              </a:solidFill>
              <a:ln>
                <a:noFill/>
              </a:ln>
              <a:effectLst/>
            </c:spPr>
            <c:extLst>
              <c:ext xmlns:c16="http://schemas.microsoft.com/office/drawing/2014/chart" uri="{C3380CC4-5D6E-409C-BE32-E72D297353CC}">
                <c16:uniqueId val="{0000002A-15C5-4CF9-A126-8061EA1D968F}"/>
              </c:ext>
            </c:extLst>
          </c:dPt>
          <c:dPt>
            <c:idx val="15"/>
            <c:invertIfNegative val="0"/>
            <c:bubble3D val="0"/>
            <c:spPr>
              <a:solidFill>
                <a:srgbClr val="C00000"/>
              </a:solidFill>
              <a:ln>
                <a:noFill/>
              </a:ln>
              <a:effectLst/>
            </c:spPr>
            <c:extLst>
              <c:ext xmlns:c16="http://schemas.microsoft.com/office/drawing/2014/chart" uri="{C3380CC4-5D6E-409C-BE32-E72D297353CC}">
                <c16:uniqueId val="{0000002B-15C5-4CF9-A126-8061EA1D968F}"/>
              </c:ext>
            </c:extLst>
          </c:dPt>
          <c:dPt>
            <c:idx val="16"/>
            <c:invertIfNegative val="0"/>
            <c:bubble3D val="0"/>
            <c:spPr>
              <a:solidFill>
                <a:srgbClr val="C00000"/>
              </a:solidFill>
              <a:ln>
                <a:noFill/>
              </a:ln>
              <a:effectLst/>
            </c:spPr>
            <c:extLst>
              <c:ext xmlns:c16="http://schemas.microsoft.com/office/drawing/2014/chart" uri="{C3380CC4-5D6E-409C-BE32-E72D297353CC}">
                <c16:uniqueId val="{0000002C-15C5-4CF9-A126-8061EA1D968F}"/>
              </c:ext>
            </c:extLst>
          </c:dPt>
          <c:dPt>
            <c:idx val="17"/>
            <c:invertIfNegative val="0"/>
            <c:bubble3D val="0"/>
            <c:spPr>
              <a:solidFill>
                <a:srgbClr val="C00000"/>
              </a:solidFill>
              <a:ln>
                <a:noFill/>
              </a:ln>
              <a:effectLst/>
            </c:spPr>
            <c:extLst>
              <c:ext xmlns:c16="http://schemas.microsoft.com/office/drawing/2014/chart" uri="{C3380CC4-5D6E-409C-BE32-E72D297353CC}">
                <c16:uniqueId val="{0000002D-15C5-4CF9-A126-8061EA1D968F}"/>
              </c:ext>
            </c:extLst>
          </c:dPt>
          <c:dPt>
            <c:idx val="18"/>
            <c:invertIfNegative val="0"/>
            <c:bubble3D val="0"/>
            <c:spPr>
              <a:solidFill>
                <a:schemeClr val="bg1">
                  <a:lumMod val="50000"/>
                </a:schemeClr>
              </a:solidFill>
              <a:ln>
                <a:noFill/>
              </a:ln>
              <a:effectLst/>
            </c:spPr>
            <c:extLst>
              <c:ext xmlns:c16="http://schemas.microsoft.com/office/drawing/2014/chart" uri="{C3380CC4-5D6E-409C-BE32-E72D297353CC}">
                <c16:uniqueId val="{00000036-B11B-4591-90FE-4D23434FBFCF}"/>
              </c:ext>
            </c:extLst>
          </c:dPt>
          <c:dPt>
            <c:idx val="20"/>
            <c:invertIfNegative val="0"/>
            <c:bubble3D val="0"/>
            <c:spPr>
              <a:solidFill>
                <a:schemeClr val="tx1"/>
              </a:solidFill>
              <a:ln>
                <a:noFill/>
              </a:ln>
              <a:effectLst/>
            </c:spPr>
            <c:extLst>
              <c:ext xmlns:c16="http://schemas.microsoft.com/office/drawing/2014/chart" uri="{C3380CC4-5D6E-409C-BE32-E72D297353CC}">
                <c16:uniqueId val="{0000000F-45CA-4018-8A5C-C7D91A61B798}"/>
              </c:ext>
            </c:extLst>
          </c:dPt>
          <c:dPt>
            <c:idx val="21"/>
            <c:invertIfNegative val="0"/>
            <c:bubble3D val="0"/>
            <c:spPr>
              <a:solidFill>
                <a:schemeClr val="tx1"/>
              </a:solidFill>
              <a:ln>
                <a:noFill/>
              </a:ln>
              <a:effectLst/>
            </c:spPr>
            <c:extLst>
              <c:ext xmlns:c16="http://schemas.microsoft.com/office/drawing/2014/chart" uri="{C3380CC4-5D6E-409C-BE32-E72D297353CC}">
                <c16:uniqueId val="{0000000E-45CA-4018-8A5C-C7D91A61B798}"/>
              </c:ext>
            </c:extLst>
          </c:dPt>
          <c:dPt>
            <c:idx val="22"/>
            <c:invertIfNegative val="0"/>
            <c:bubble3D val="0"/>
            <c:spPr>
              <a:solidFill>
                <a:schemeClr val="tx1"/>
              </a:solidFill>
              <a:ln>
                <a:noFill/>
              </a:ln>
              <a:effectLst/>
            </c:spPr>
            <c:extLst>
              <c:ext xmlns:c16="http://schemas.microsoft.com/office/drawing/2014/chart" uri="{C3380CC4-5D6E-409C-BE32-E72D297353CC}">
                <c16:uniqueId val="{0000000D-45CA-4018-8A5C-C7D91A61B798}"/>
              </c:ext>
            </c:extLst>
          </c:dPt>
          <c:dPt>
            <c:idx val="23"/>
            <c:invertIfNegative val="0"/>
            <c:bubble3D val="0"/>
            <c:spPr>
              <a:solidFill>
                <a:schemeClr val="tx1"/>
              </a:solidFill>
              <a:ln>
                <a:noFill/>
              </a:ln>
              <a:effectLst/>
            </c:spPr>
            <c:extLst>
              <c:ext xmlns:c16="http://schemas.microsoft.com/office/drawing/2014/chart" uri="{C3380CC4-5D6E-409C-BE32-E72D297353CC}">
                <c16:uniqueId val="{00000015-E42F-428B-802F-3B6F8ADE344D}"/>
              </c:ext>
            </c:extLst>
          </c:dPt>
          <c:dPt>
            <c:idx val="24"/>
            <c:invertIfNegative val="0"/>
            <c:bubble3D val="0"/>
            <c:spPr>
              <a:solidFill>
                <a:schemeClr val="tx1"/>
              </a:solidFill>
              <a:ln>
                <a:noFill/>
              </a:ln>
              <a:effectLst/>
            </c:spPr>
            <c:extLst>
              <c:ext xmlns:c16="http://schemas.microsoft.com/office/drawing/2014/chart" uri="{C3380CC4-5D6E-409C-BE32-E72D297353CC}">
                <c16:uniqueId val="{0000000A-45CA-4018-8A5C-C7D91A61B798}"/>
              </c:ext>
            </c:extLst>
          </c:dPt>
          <c:dPt>
            <c:idx val="25"/>
            <c:invertIfNegative val="0"/>
            <c:bubble3D val="0"/>
            <c:spPr>
              <a:solidFill>
                <a:schemeClr val="tx1"/>
              </a:solidFill>
              <a:ln>
                <a:noFill/>
              </a:ln>
              <a:effectLst/>
            </c:spPr>
            <c:extLst>
              <c:ext xmlns:c16="http://schemas.microsoft.com/office/drawing/2014/chart" uri="{C3380CC4-5D6E-409C-BE32-E72D297353CC}">
                <c16:uniqueId val="{00000009-45CA-4018-8A5C-C7D91A61B798}"/>
              </c:ext>
            </c:extLst>
          </c:dPt>
          <c:dPt>
            <c:idx val="26"/>
            <c:invertIfNegative val="0"/>
            <c:bubble3D val="0"/>
            <c:spPr>
              <a:solidFill>
                <a:srgbClr val="C00000"/>
              </a:solidFill>
              <a:ln>
                <a:noFill/>
              </a:ln>
              <a:effectLst/>
            </c:spPr>
            <c:extLst>
              <c:ext xmlns:c16="http://schemas.microsoft.com/office/drawing/2014/chart" uri="{C3380CC4-5D6E-409C-BE32-E72D297353CC}">
                <c16:uniqueId val="{0000000B-45CA-4018-8A5C-C7D91A61B798}"/>
              </c:ext>
            </c:extLst>
          </c:dPt>
          <c:dPt>
            <c:idx val="27"/>
            <c:invertIfNegative val="0"/>
            <c:bubble3D val="0"/>
            <c:spPr>
              <a:solidFill>
                <a:srgbClr val="C00000"/>
              </a:solidFill>
              <a:ln>
                <a:noFill/>
              </a:ln>
              <a:effectLst/>
            </c:spPr>
            <c:extLst>
              <c:ext xmlns:c16="http://schemas.microsoft.com/office/drawing/2014/chart" uri="{C3380CC4-5D6E-409C-BE32-E72D297353CC}">
                <c16:uniqueId val="{00000008-45CA-4018-8A5C-C7D91A61B798}"/>
              </c:ext>
            </c:extLst>
          </c:dPt>
          <c:dPt>
            <c:idx val="28"/>
            <c:invertIfNegative val="0"/>
            <c:bubble3D val="0"/>
            <c:spPr>
              <a:solidFill>
                <a:srgbClr val="C00000"/>
              </a:solidFill>
              <a:ln>
                <a:noFill/>
              </a:ln>
              <a:effectLst/>
            </c:spPr>
            <c:extLst>
              <c:ext xmlns:c16="http://schemas.microsoft.com/office/drawing/2014/chart" uri="{C3380CC4-5D6E-409C-BE32-E72D297353CC}">
                <c16:uniqueId val="{0000000C-45CA-4018-8A5C-C7D91A61B798}"/>
              </c:ext>
            </c:extLst>
          </c:dPt>
          <c:dPt>
            <c:idx val="29"/>
            <c:invertIfNegative val="0"/>
            <c:bubble3D val="0"/>
            <c:spPr>
              <a:solidFill>
                <a:srgbClr val="C00000"/>
              </a:solidFill>
              <a:ln>
                <a:noFill/>
              </a:ln>
              <a:effectLst/>
            </c:spPr>
            <c:extLst>
              <c:ext xmlns:c16="http://schemas.microsoft.com/office/drawing/2014/chart" uri="{C3380CC4-5D6E-409C-BE32-E72D297353CC}">
                <c16:uniqueId val="{00000007-45CA-4018-8A5C-C7D91A61B798}"/>
              </c:ext>
            </c:extLst>
          </c:dPt>
          <c:dPt>
            <c:idx val="30"/>
            <c:invertIfNegative val="0"/>
            <c:bubble3D val="0"/>
            <c:spPr>
              <a:solidFill>
                <a:srgbClr val="C00000"/>
              </a:solidFill>
              <a:ln>
                <a:noFill/>
              </a:ln>
              <a:effectLst/>
            </c:spPr>
            <c:extLst>
              <c:ext xmlns:c16="http://schemas.microsoft.com/office/drawing/2014/chart" uri="{C3380CC4-5D6E-409C-BE32-E72D297353CC}">
                <c16:uniqueId val="{00000013-D68E-4191-8C49-7635405731D1}"/>
              </c:ext>
            </c:extLst>
          </c:dPt>
          <c:dPt>
            <c:idx val="31"/>
            <c:invertIfNegative val="0"/>
            <c:bubble3D val="0"/>
            <c:spPr>
              <a:solidFill>
                <a:srgbClr val="C00000"/>
              </a:solidFill>
              <a:ln>
                <a:noFill/>
              </a:ln>
              <a:effectLst/>
            </c:spPr>
            <c:extLst>
              <c:ext xmlns:c16="http://schemas.microsoft.com/office/drawing/2014/chart" uri="{C3380CC4-5D6E-409C-BE32-E72D297353CC}">
                <c16:uniqueId val="{00000017-D7E6-45C6-BD44-9DAF6A5B6F82}"/>
              </c:ext>
            </c:extLst>
          </c:dPt>
          <c:dPt>
            <c:idx val="32"/>
            <c:invertIfNegative val="0"/>
            <c:bubble3D val="0"/>
            <c:spPr>
              <a:solidFill>
                <a:srgbClr val="C00000"/>
              </a:solidFill>
              <a:ln>
                <a:noFill/>
              </a:ln>
              <a:effectLst/>
            </c:spPr>
            <c:extLst>
              <c:ext xmlns:c16="http://schemas.microsoft.com/office/drawing/2014/chart" uri="{C3380CC4-5D6E-409C-BE32-E72D297353CC}">
                <c16:uniqueId val="{00000018-D7E6-45C6-BD44-9DAF6A5B6F82}"/>
              </c:ext>
            </c:extLst>
          </c:dPt>
          <c:dPt>
            <c:idx val="33"/>
            <c:invertIfNegative val="0"/>
            <c:bubble3D val="0"/>
            <c:spPr>
              <a:solidFill>
                <a:srgbClr val="C00000"/>
              </a:solidFill>
              <a:ln>
                <a:noFill/>
              </a:ln>
              <a:effectLst/>
            </c:spPr>
            <c:extLst>
              <c:ext xmlns:c16="http://schemas.microsoft.com/office/drawing/2014/chart" uri="{C3380CC4-5D6E-409C-BE32-E72D297353CC}">
                <c16:uniqueId val="{0000001D-B20F-4A15-8DC8-56B8EB5F98BA}"/>
              </c:ext>
            </c:extLst>
          </c:dPt>
          <c:dPt>
            <c:idx val="34"/>
            <c:invertIfNegative val="0"/>
            <c:bubble3D val="0"/>
            <c:spPr>
              <a:solidFill>
                <a:srgbClr val="C00000"/>
              </a:solidFill>
              <a:ln>
                <a:noFill/>
              </a:ln>
              <a:effectLst/>
            </c:spPr>
            <c:extLst>
              <c:ext xmlns:c16="http://schemas.microsoft.com/office/drawing/2014/chart" uri="{C3380CC4-5D6E-409C-BE32-E72D297353CC}">
                <c16:uniqueId val="{0000001C-B20F-4A15-8DC8-56B8EB5F98BA}"/>
              </c:ext>
            </c:extLst>
          </c:dPt>
          <c:dPt>
            <c:idx val="35"/>
            <c:invertIfNegative val="0"/>
            <c:bubble3D val="0"/>
            <c:spPr>
              <a:solidFill>
                <a:srgbClr val="C00000"/>
              </a:solidFill>
              <a:ln>
                <a:noFill/>
              </a:ln>
              <a:effectLst/>
            </c:spPr>
            <c:extLst>
              <c:ext xmlns:c16="http://schemas.microsoft.com/office/drawing/2014/chart" uri="{C3380CC4-5D6E-409C-BE32-E72D297353CC}">
                <c16:uniqueId val="{0000001E-B20F-4A15-8DC8-56B8EB5F98BA}"/>
              </c:ext>
            </c:extLst>
          </c:dPt>
          <c:dPt>
            <c:idx val="36"/>
            <c:invertIfNegative val="0"/>
            <c:bubble3D val="0"/>
            <c:spPr>
              <a:solidFill>
                <a:srgbClr val="C00000"/>
              </a:solidFill>
              <a:ln>
                <a:noFill/>
              </a:ln>
              <a:effectLst/>
            </c:spPr>
            <c:extLst>
              <c:ext xmlns:c16="http://schemas.microsoft.com/office/drawing/2014/chart" uri="{C3380CC4-5D6E-409C-BE32-E72D297353CC}">
                <c16:uniqueId val="{0000001B-B20F-4A15-8DC8-56B8EB5F98BA}"/>
              </c:ext>
            </c:extLst>
          </c:dPt>
          <c:dPt>
            <c:idx val="37"/>
            <c:invertIfNegative val="0"/>
            <c:bubble3D val="0"/>
            <c:spPr>
              <a:solidFill>
                <a:srgbClr val="C00000"/>
              </a:solidFill>
              <a:ln>
                <a:noFill/>
              </a:ln>
              <a:effectLst/>
            </c:spPr>
            <c:extLst>
              <c:ext xmlns:c16="http://schemas.microsoft.com/office/drawing/2014/chart" uri="{C3380CC4-5D6E-409C-BE32-E72D297353CC}">
                <c16:uniqueId val="{00000023-8CC3-4E54-9960-0F980A27CEC9}"/>
              </c:ext>
            </c:extLst>
          </c:dPt>
          <c:dPt>
            <c:idx val="38"/>
            <c:invertIfNegative val="0"/>
            <c:bubble3D val="0"/>
            <c:spPr>
              <a:solidFill>
                <a:schemeClr val="bg1">
                  <a:lumMod val="50000"/>
                </a:schemeClr>
              </a:solidFill>
              <a:ln>
                <a:noFill/>
              </a:ln>
              <a:effectLst/>
            </c:spPr>
            <c:extLst>
              <c:ext xmlns:c16="http://schemas.microsoft.com/office/drawing/2014/chart" uri="{C3380CC4-5D6E-409C-BE32-E72D297353CC}">
                <c16:uniqueId val="{00000024-8CC3-4E54-9960-0F980A27CEC9}"/>
              </c:ext>
            </c:extLst>
          </c:dPt>
          <c:dLbls>
            <c:spPr>
              <a:noFill/>
              <a:ln>
                <a:noFill/>
              </a:ln>
              <a:effectLst/>
            </c:spPr>
            <c:txPr>
              <a:bodyPr rot="0" spcFirstLastPara="1" vertOverflow="ellipsis" vert="horz" wrap="square" anchor="ctr" anchorCtr="1"/>
              <a:lstStyle/>
              <a:p>
                <a:pPr>
                  <a:defRPr sz="1600" b="0" i="0" u="none" strike="noStrike" kern="1200" baseline="0">
                    <a:solidFill>
                      <a:schemeClr val="tx1">
                        <a:lumMod val="75000"/>
                        <a:lumOff val="25000"/>
                      </a:schemeClr>
                    </a:solidFill>
                    <a:latin typeface="+mn-lt"/>
                    <a:ea typeface="+mn-ea"/>
                    <a:cs typeface="+mn-cs"/>
                  </a:defRPr>
                </a:pPr>
                <a:endParaRPr lang="tr-TR"/>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strRef>
              <c:f>'Özet Tablo'!$Z$1:$Z$18</c:f>
              <c:strCache>
                <c:ptCount val="18"/>
                <c:pt idx="0">
                  <c:v>Normal Çalışma</c:v>
                </c:pt>
                <c:pt idx="1">
                  <c:v>Kıdem Yardımı</c:v>
                </c:pt>
                <c:pt idx="2">
                  <c:v>Fazla Çalışma (% 50)</c:v>
                </c:pt>
                <c:pt idx="3">
                  <c:v>Fazla Sürelerle Çalışma (% 25)</c:v>
                </c:pt>
                <c:pt idx="4">
                  <c:v>Resmi Tatillerde Çalışma (% 100)</c:v>
                </c:pt>
                <c:pt idx="5">
                  <c:v>Gece Çalışma (% 12)</c:v>
                </c:pt>
                <c:pt idx="6">
                  <c:v>Yemek Yardımı</c:v>
                </c:pt>
                <c:pt idx="7">
                  <c:v>Ulaşım Yardımı</c:v>
                </c:pt>
                <c:pt idx="8">
                  <c:v>İkramiye Yardımı</c:v>
                </c:pt>
                <c:pt idx="9">
                  <c:v>Sosyal Yardım</c:v>
                </c:pt>
                <c:pt idx="10">
                  <c:v>Nakdi Yardımlar</c:v>
                </c:pt>
                <c:pt idx="11">
                  <c:v>Sendika Üyelik Aidatı Kesintisi</c:v>
                </c:pt>
                <c:pt idx="12">
                  <c:v>BES Kesintisi</c:v>
                </c:pt>
                <c:pt idx="13">
                  <c:v>Damga Vergisi Kesintisi</c:v>
                </c:pt>
                <c:pt idx="14">
                  <c:v>SGK Prim Kesintisi</c:v>
                </c:pt>
                <c:pt idx="15">
                  <c:v>SGK İşsizlik Primi Kesintisi</c:v>
                </c:pt>
                <c:pt idx="16">
                  <c:v>Gelir Vergisi Kesintisi</c:v>
                </c:pt>
                <c:pt idx="17">
                  <c:v>İşveren Maliyeti</c:v>
                </c:pt>
              </c:strCache>
            </c:strRef>
          </c:cat>
          <c:val>
            <c:numRef>
              <c:f>'Özet Tablo'!$AA$1:$AA$18</c:f>
              <c:numCache>
                <c:formatCode>#,##0.00\ "₺"</c:formatCode>
                <c:ptCount val="18"/>
                <c:pt idx="0">
                  <c:v>55619.452861715814</c:v>
                </c:pt>
                <c:pt idx="1">
                  <c:v>0</c:v>
                </c:pt>
                <c:pt idx="2">
                  <c:v>0</c:v>
                </c:pt>
                <c:pt idx="3">
                  <c:v>0</c:v>
                </c:pt>
                <c:pt idx="4">
                  <c:v>0</c:v>
                </c:pt>
                <c:pt idx="5">
                  <c:v>0</c:v>
                </c:pt>
                <c:pt idx="6">
                  <c:v>7600</c:v>
                </c:pt>
                <c:pt idx="7">
                  <c:v>3376.8333333333335</c:v>
                </c:pt>
                <c:pt idx="8">
                  <c:v>17965.105882704087</c:v>
                </c:pt>
                <c:pt idx="9">
                  <c:v>4476.49275305627</c:v>
                </c:pt>
                <c:pt idx="10">
                  <c:v>0</c:v>
                </c:pt>
                <c:pt idx="11">
                  <c:v>2567.5912005000005</c:v>
                </c:pt>
                <c:pt idx="12">
                  <c:v>0</c:v>
                </c:pt>
                <c:pt idx="13">
                  <c:v>718.05289979984491</c:v>
                </c:pt>
                <c:pt idx="14">
                  <c:v>17868.917519364732</c:v>
                </c:pt>
                <c:pt idx="15">
                  <c:v>1276.3512513831947</c:v>
                </c:pt>
                <c:pt idx="16">
                  <c:v>20650.575833333336</c:v>
                </c:pt>
                <c:pt idx="17">
                  <c:v>157548.9207861422</c:v>
                </c:pt>
              </c:numCache>
            </c:numRef>
          </c:val>
          <c:extLst>
            <c:ext xmlns:c16="http://schemas.microsoft.com/office/drawing/2014/chart" uri="{C3380CC4-5D6E-409C-BE32-E72D297353CC}">
              <c16:uniqueId val="{00000000-755B-478D-AB69-BF223AA4AC7C}"/>
            </c:ext>
          </c:extLst>
        </c:ser>
        <c:dLbls>
          <c:dLblPos val="outEnd"/>
          <c:showLegendKey val="0"/>
          <c:showVal val="1"/>
          <c:showCatName val="0"/>
          <c:showSerName val="0"/>
          <c:showPercent val="0"/>
          <c:showBubbleSize val="0"/>
        </c:dLbls>
        <c:gapWidth val="182"/>
        <c:axId val="552148752"/>
        <c:axId val="552147112"/>
      </c:barChart>
      <c:catAx>
        <c:axId val="552148752"/>
        <c:scaling>
          <c:orientation val="maxMin"/>
        </c:scaling>
        <c:delete val="0"/>
        <c:axPos val="l"/>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600" b="0" i="0" u="none" strike="noStrike" kern="1200" baseline="0">
                <a:solidFill>
                  <a:schemeClr val="tx1">
                    <a:lumMod val="65000"/>
                    <a:lumOff val="35000"/>
                  </a:schemeClr>
                </a:solidFill>
                <a:latin typeface="+mn-lt"/>
                <a:ea typeface="+mn-ea"/>
                <a:cs typeface="+mn-cs"/>
              </a:defRPr>
            </a:pPr>
            <a:endParaRPr lang="tr-TR"/>
          </a:p>
        </c:txPr>
        <c:crossAx val="552147112"/>
        <c:crosses val="autoZero"/>
        <c:auto val="1"/>
        <c:lblAlgn val="ctr"/>
        <c:lblOffset val="100"/>
        <c:tickMarkSkip val="1"/>
        <c:noMultiLvlLbl val="0"/>
      </c:catAx>
      <c:valAx>
        <c:axId val="552147112"/>
        <c:scaling>
          <c:orientation val="minMax"/>
        </c:scaling>
        <c:delete val="1"/>
        <c:axPos val="t"/>
        <c:numFmt formatCode="#,##0.00\ &quot;₺&quot;" sourceLinked="1"/>
        <c:majorTickMark val="out"/>
        <c:minorTickMark val="none"/>
        <c:tickLblPos val="nextTo"/>
        <c:crossAx val="552148752"/>
        <c:crosses val="autoZero"/>
        <c:crossBetween val="between"/>
      </c:valAx>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solidFill>
        <a:schemeClr val="tx1">
          <a:lumMod val="15000"/>
          <a:lumOff val="85000"/>
        </a:schemeClr>
      </a:solidFill>
      <a:round/>
    </a:ln>
    <a:effectLst/>
  </c:spPr>
  <c:txPr>
    <a:bodyPr/>
    <a:lstStyle/>
    <a:p>
      <a:pPr>
        <a:defRPr sz="1600"/>
      </a:pPr>
      <a:endParaRPr lang="tr-TR"/>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tr-TR"/>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pieChart>
        <c:varyColors val="1"/>
        <c:ser>
          <c:idx val="0"/>
          <c:order val="0"/>
          <c:dPt>
            <c:idx val="0"/>
            <c:bubble3D val="0"/>
            <c:explosion val="4"/>
            <c:spPr>
              <a:solidFill>
                <a:schemeClr val="tx1"/>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1-5D9F-40F4-A256-823C9FF01F41}"/>
              </c:ext>
            </c:extLst>
          </c:dPt>
          <c:dPt>
            <c:idx val="1"/>
            <c:bubble3D val="0"/>
            <c:explosion val="5"/>
            <c:spPr>
              <a:solidFill>
                <a:srgbClr val="C00000"/>
              </a:solidFill>
              <a:ln>
                <a:noFill/>
              </a:ln>
              <a:effectLst>
                <a:outerShdw blurRad="317500" algn="ctr" rotWithShape="0">
                  <a:prstClr val="black">
                    <a:alpha val="25000"/>
                  </a:prstClr>
                </a:outerShdw>
              </a:effectLst>
            </c:spPr>
            <c:extLst>
              <c:ext xmlns:c16="http://schemas.microsoft.com/office/drawing/2014/chart" uri="{C3380CC4-5D6E-409C-BE32-E72D297353CC}">
                <c16:uniqueId val="{00000003-5D9F-40F4-A256-823C9FF01F41}"/>
              </c:ext>
            </c:extLst>
          </c:dPt>
          <c:dLbls>
            <c:dLbl>
              <c:idx val="0"/>
              <c:layout>
                <c:manualLayout>
                  <c:x val="0"/>
                  <c:y val="-0.2727330235099843"/>
                </c:manualLayout>
              </c:layout>
              <c:tx>
                <c:rich>
                  <a:bodyPr rot="0" spcFirstLastPara="1" vertOverflow="ellipsis" vert="horz" wrap="square" lIns="0" tIns="0" rIns="0" bIns="0" anchor="ctr" anchorCtr="0">
                    <a:noAutofit/>
                  </a:bodyPr>
                  <a:lstStyle/>
                  <a:p>
                    <a:pPr lvl="1" algn="ctr" rtl="0">
                      <a:defRPr sz="2000" b="1" i="0" u="none" strike="noStrike" kern="1200" baseline="0">
                        <a:solidFill>
                          <a:sysClr val="windowText" lastClr="000000"/>
                        </a:solidFill>
                        <a:latin typeface="+mn-lt"/>
                        <a:ea typeface="+mn-ea"/>
                        <a:cs typeface="+mn-cs"/>
                      </a:defRPr>
                    </a:pPr>
                    <a:r>
                      <a:rPr lang="en-US" sz="2000" i="0" u="sng" baseline="0">
                        <a:solidFill>
                          <a:sysClr val="windowText" lastClr="000000"/>
                        </a:solidFill>
                      </a:rPr>
                      <a:t>Kazançlar</a:t>
                    </a:r>
                  </a:p>
                  <a:p>
                    <a:pPr lvl="1" algn="ctr" rtl="0">
                      <a:defRPr sz="2000" b="1" i="0" u="none" strike="noStrike" kern="1200" baseline="0">
                        <a:solidFill>
                          <a:sysClr val="windowText" lastClr="000000"/>
                        </a:solidFill>
                        <a:latin typeface="+mn-lt"/>
                        <a:ea typeface="+mn-ea"/>
                        <a:cs typeface="+mn-cs"/>
                      </a:defRPr>
                    </a:pPr>
                    <a:fld id="{18CB9E8E-A975-43C0-A56F-BEEBC923E687}" type="VALU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[DEĞER]</a:t>
                    </a:fld>
                    <a:endParaRPr lang="en-US" sz="2000" i="0" baseline="0">
                      <a:solidFill>
                        <a:sysClr val="windowText" lastClr="000000"/>
                      </a:solidFill>
                    </a:endParaRPr>
                  </a:p>
                  <a:p>
                    <a:pPr lvl="1" algn="ctr" rtl="0">
                      <a:defRPr sz="2000" b="1" i="0" u="none" strike="noStrike" kern="1200" baseline="0">
                        <a:solidFill>
                          <a:sysClr val="windowText" lastClr="000000"/>
                        </a:solidFill>
                        <a:latin typeface="+mn-lt"/>
                        <a:ea typeface="+mn-ea"/>
                        <a:cs typeface="+mn-cs"/>
                      </a:defRPr>
                    </a:pPr>
                    <a:fld id="{ED1D6583-AC77-4CB8-8AE1-8BB6A6F10BE5}" type="PERCENTAGE">
                      <a:rPr lang="en-US" sz="2000" i="0">
                        <a:solidFill>
                          <a:sysClr val="windowText" lastClr="000000"/>
                        </a:solidFill>
                      </a:rPr>
                      <a:pPr lvl="1" algn="ctr" rtl="0">
                        <a:defRPr sz="2000" b="1" i="0" u="none" strike="noStrike" kern="1200" baseline="0">
                          <a:solidFill>
                            <a:sysClr val="windowText" lastClr="0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2"/>
                    </c:manualLayout>
                  </c15:layout>
                  <c15:dlblFieldTable/>
                  <c15:showDataLabelsRange val="0"/>
                </c:ext>
                <c:ext xmlns:c16="http://schemas.microsoft.com/office/drawing/2014/chart" uri="{C3380CC4-5D6E-409C-BE32-E72D297353CC}">
                  <c16:uniqueId val="{00000001-5D9F-40F4-A256-823C9FF01F41}"/>
                </c:ext>
              </c:extLst>
            </c:dLbl>
            <c:dLbl>
              <c:idx val="1"/>
              <c:layout>
                <c:manualLayout>
                  <c:x val="0"/>
                  <c:y val="0.28660887761598208"/>
                </c:manualLayout>
              </c:layout>
              <c:tx>
                <c:rich>
                  <a:bodyPr rot="0" spcFirstLastPara="1" vertOverflow="ellipsis" vert="horz" wrap="square" lIns="0" tIns="0" rIns="0" bIns="0" anchor="t" anchorCtr="0">
                    <a:noAutofit/>
                  </a:bodyPr>
                  <a:lstStyle/>
                  <a:p>
                    <a:pPr lvl="1" algn="ctr" rtl="0">
                      <a:defRPr sz="2000" b="1" i="0" u="none" strike="noStrike" kern="1200" baseline="0">
                        <a:solidFill>
                          <a:srgbClr val="C00000"/>
                        </a:solidFill>
                        <a:latin typeface="+mn-lt"/>
                        <a:ea typeface="+mn-ea"/>
                        <a:cs typeface="+mn-cs"/>
                      </a:defRPr>
                    </a:pPr>
                    <a:r>
                      <a:rPr lang="en-US" sz="2000" b="1" i="0" u="sng" strike="noStrike" baseline="0">
                        <a:solidFill>
                          <a:srgbClr val="C00000"/>
                        </a:solidFill>
                      </a:rPr>
                      <a:t>Kesintiler</a:t>
                    </a:r>
                    <a:br>
                      <a:rPr lang="en-US" sz="2000" b="1" i="0" u="none" strike="noStrike" baseline="0">
                        <a:solidFill>
                          <a:srgbClr val="C00000"/>
                        </a:solidFill>
                      </a:rPr>
                    </a:br>
                    <a:fld id="{D48269F3-90DB-4B96-9E27-A88140910F88}" type="VALUE">
                      <a:rPr lang="en-US" sz="2000">
                        <a:solidFill>
                          <a:srgbClr val="C00000"/>
                        </a:solidFill>
                      </a:rPr>
                      <a:pPr lvl="1" algn="ctr" rtl="0">
                        <a:defRPr sz="2000" b="1" i="0" u="none" strike="noStrike" kern="1200" baseline="0">
                          <a:solidFill>
                            <a:srgbClr val="C00000"/>
                          </a:solidFill>
                          <a:latin typeface="+mn-lt"/>
                          <a:ea typeface="+mn-ea"/>
                          <a:cs typeface="+mn-cs"/>
                        </a:defRPr>
                      </a:pPr>
                      <a:t>[DEĞER]</a:t>
                    </a:fld>
                    <a:endParaRPr lang="en-US" sz="2000" baseline="0">
                      <a:solidFill>
                        <a:srgbClr val="C00000"/>
                      </a:solidFill>
                    </a:endParaRPr>
                  </a:p>
                  <a:p>
                    <a:pPr lvl="1" algn="ctr" rtl="0">
                      <a:defRPr sz="2000" b="1" i="0" u="none" strike="noStrike" kern="1200" baseline="0">
                        <a:solidFill>
                          <a:srgbClr val="C00000"/>
                        </a:solidFill>
                        <a:latin typeface="+mn-lt"/>
                        <a:ea typeface="+mn-ea"/>
                        <a:cs typeface="+mn-cs"/>
                      </a:defRPr>
                    </a:pPr>
                    <a:fld id="{C4F91586-97B1-4B5B-B426-9B699746C01D}" type="PERCENTAGE">
                      <a:rPr lang="en-US" sz="2000">
                        <a:solidFill>
                          <a:srgbClr val="C00000"/>
                        </a:solidFill>
                      </a:rPr>
                      <a:pPr lvl="1" algn="ctr" rtl="0">
                        <a:defRPr sz="2000" b="1" i="0" u="none" strike="noStrike" kern="1200" baseline="0">
                          <a:solidFill>
                            <a:srgbClr val="C00000"/>
                          </a:solidFill>
                          <a:latin typeface="+mn-lt"/>
                          <a:ea typeface="+mn-ea"/>
                          <a:cs typeface="+mn-cs"/>
                        </a:defRPr>
                      </a:pPr>
                      <a:t>[YÜZDE]</a:t>
                    </a:fld>
                    <a:endParaRPr lang="tr-TR"/>
                  </a:p>
                </c:rich>
              </c:tx>
              <c:numFmt formatCode="%\ 0.00" sourceLinked="0"/>
              <c:spPr>
                <a:noFill/>
                <a:ln>
                  <a:noFill/>
                </a:ln>
                <a:effectLst/>
              </c:spPr>
              <c:dLblPos val="bestFit"/>
              <c:showLegendKey val="0"/>
              <c:showVal val="0"/>
              <c:showCatName val="0"/>
              <c:showSerName val="0"/>
              <c:showPercent val="1"/>
              <c:showBubbleSize val="0"/>
              <c:separator>
</c:separator>
              <c:extLst>
                <c:ext xmlns:c15="http://schemas.microsoft.com/office/drawing/2012/chart" uri="{CE6537A1-D6FC-4f65-9D91-7224C49458BB}">
                  <c15:spPr xmlns:c15="http://schemas.microsoft.com/office/drawing/2012/chart">
                    <a:prstGeom prst="rect">
                      <a:avLst/>
                    </a:prstGeom>
                  </c15:spPr>
                  <c15:layout>
                    <c:manualLayout>
                      <c:w val="1"/>
                      <c:h val="0.18251962962962964"/>
                    </c:manualLayout>
                  </c15:layout>
                  <c15:dlblFieldTable/>
                  <c15:showDataLabelsRange val="0"/>
                </c:ext>
                <c:ext xmlns:c16="http://schemas.microsoft.com/office/drawing/2014/chart" uri="{C3380CC4-5D6E-409C-BE32-E72D297353CC}">
                  <c16:uniqueId val="{00000003-5D9F-40F4-A256-823C9FF01F41}"/>
                </c:ext>
              </c:extLst>
            </c:dLbl>
            <c:numFmt formatCode="%\ 0.00" sourceLinked="0"/>
            <c:spPr>
              <a:noFill/>
              <a:ln>
                <a:noFill/>
              </a:ln>
              <a:effectLst/>
            </c:spPr>
            <c:txPr>
              <a:bodyPr rot="0" spcFirstLastPara="1" vertOverflow="ellipsis" vert="horz" wrap="square" lIns="0" tIns="0" rIns="0" bIns="0" anchor="ctr" anchorCtr="0">
                <a:spAutoFit/>
              </a:bodyPr>
              <a:lstStyle/>
              <a:p>
                <a:pPr algn="ctr">
                  <a:defRPr sz="1300" b="1" i="0" u="none" strike="noStrike" kern="1200" baseline="0">
                    <a:solidFill>
                      <a:schemeClr val="lt1"/>
                    </a:solidFill>
                    <a:latin typeface="+mn-lt"/>
                    <a:ea typeface="+mn-ea"/>
                    <a:cs typeface="+mn-cs"/>
                  </a:defRPr>
                </a:pPr>
                <a:endParaRPr lang="tr-TR"/>
              </a:p>
            </c:txPr>
            <c:dLblPos val="ctr"/>
            <c:showLegendKey val="0"/>
            <c:showVal val="0"/>
            <c:showCatName val="0"/>
            <c:showSerName val="0"/>
            <c:showPercent val="1"/>
            <c:showBubbleSize val="0"/>
            <c:separator>
</c:separator>
            <c:showLeaderLines val="0"/>
            <c:extLst>
              <c:ext xmlns:c15="http://schemas.microsoft.com/office/drawing/2012/chart" uri="{CE6537A1-D6FC-4f65-9D91-7224C49458BB}"/>
            </c:extLst>
          </c:dLbls>
          <c:cat>
            <c:strRef>
              <c:f>'Özet Tablo'!$Z$19:$Z$20</c:f>
              <c:strCache>
                <c:ptCount val="2"/>
                <c:pt idx="0">
                  <c:v>Kazançlar</c:v>
                </c:pt>
                <c:pt idx="1">
                  <c:v>Kesintiler</c:v>
                </c:pt>
              </c:strCache>
            </c:strRef>
          </c:cat>
          <c:val>
            <c:numRef>
              <c:f>'Özet Tablo'!$AA$19:$AA$20</c:f>
              <c:numCache>
                <c:formatCode>#,##0.00\ "₺"</c:formatCode>
                <c:ptCount val="2"/>
                <c:pt idx="0">
                  <c:v>92153.636433938402</c:v>
                </c:pt>
                <c:pt idx="1">
                  <c:v>43081.488704381074</c:v>
                </c:pt>
              </c:numCache>
            </c:numRef>
          </c:val>
          <c:extLst>
            <c:ext xmlns:c16="http://schemas.microsoft.com/office/drawing/2014/chart" uri="{C3380CC4-5D6E-409C-BE32-E72D297353CC}">
              <c16:uniqueId val="{00000004-5D9F-40F4-A256-823C9FF01F41}"/>
            </c:ext>
          </c:extLst>
        </c:ser>
        <c:dLbls>
          <c:dLblPos val="inEnd"/>
          <c:showLegendKey val="0"/>
          <c:showVal val="1"/>
          <c:showCatName val="1"/>
          <c:showSerName val="0"/>
          <c:showPercent val="0"/>
          <c:showBubbleSize val="0"/>
          <c:showLeaderLines val="0"/>
        </c:dLbls>
        <c:firstSliceAng val="270"/>
      </c:pieChart>
      <c:spPr>
        <a:noFill/>
        <a:ln>
          <a:no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solidFill>
      <a:schemeClr val="bg1">
        <a:lumMod val="85000"/>
      </a:schemeClr>
    </a:solidFill>
    <a:ln w="9525" cap="flat" cmpd="sng" algn="ctr">
      <a:noFill/>
      <a:round/>
    </a:ln>
    <a:effectLst/>
  </c:spPr>
  <c:txPr>
    <a:bodyPr/>
    <a:lstStyle/>
    <a:p>
      <a:pPr>
        <a:defRPr/>
      </a:pPr>
      <a:endParaRPr lang="tr-TR"/>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16">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editAs="oneCell">
    <xdr:from>
      <xdr:col>19</xdr:col>
      <xdr:colOff>53463</xdr:colOff>
      <xdr:row>0</xdr:row>
      <xdr:rowOff>70921</xdr:rowOff>
    </xdr:from>
    <xdr:to>
      <xdr:col>19</xdr:col>
      <xdr:colOff>7290954</xdr:colOff>
      <xdr:row>27</xdr:row>
      <xdr:rowOff>398319</xdr:rowOff>
    </xdr:to>
    <xdr:graphicFrame macro="">
      <xdr:nvGraphicFramePr>
        <xdr:cNvPr id="7" name="Grafik 6">
          <a:extLst>
            <a:ext uri="{FF2B5EF4-FFF2-40B4-BE49-F238E27FC236}">
              <a16:creationId xmlns:a16="http://schemas.microsoft.com/office/drawing/2014/main" id="{80F8C963-D5D5-4BCD-8610-182E47B88EA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19</xdr:col>
      <xdr:colOff>4966692</xdr:colOff>
      <xdr:row>8</xdr:row>
      <xdr:rowOff>125886</xdr:rowOff>
    </xdr:from>
    <xdr:to>
      <xdr:col>19</xdr:col>
      <xdr:colOff>7306692</xdr:colOff>
      <xdr:row>19</xdr:row>
      <xdr:rowOff>5969</xdr:rowOff>
    </xdr:to>
    <xdr:graphicFrame macro="">
      <xdr:nvGraphicFramePr>
        <xdr:cNvPr id="3" name="Grafik 2">
          <a:extLst>
            <a:ext uri="{FF2B5EF4-FFF2-40B4-BE49-F238E27FC236}">
              <a16:creationId xmlns:a16="http://schemas.microsoft.com/office/drawing/2014/main" id="{7ADA3213-C9FB-42E9-8CD0-901898DBDF8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fPrintsWithSheet="0"/>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PG363"/>
  <sheetViews>
    <sheetView showGridLines="0" showRowColHeaders="0" tabSelected="1" showWhiteSpace="0" zoomScale="55" zoomScaleNormal="55" zoomScaleSheetLayoutView="40" zoomScalePageLayoutView="55" workbookViewId="0">
      <pane xSplit="3" topLeftCell="D1" activePane="topRight" state="frozen"/>
      <selection activeCell="A6" sqref="A6"/>
      <selection pane="topRight" sqref="A1:A14"/>
    </sheetView>
  </sheetViews>
  <sheetFormatPr defaultColWidth="0" defaultRowHeight="0" customHeight="1" zeroHeight="1" x14ac:dyDescent="0.25"/>
  <cols>
    <col min="1" max="1" width="12.7109375" style="2" customWidth="1"/>
    <col min="2" max="2" width="10.7109375" style="2" customWidth="1"/>
    <col min="3" max="3" width="4.7109375" style="2" customWidth="1"/>
    <col min="4" max="15" width="12.7109375" style="2" customWidth="1"/>
    <col min="16" max="18" width="30.7109375" style="2" customWidth="1"/>
    <col min="19" max="19" width="12.7109375" style="2" customWidth="1"/>
    <col min="20" max="20" width="110.7109375" style="2" customWidth="1"/>
    <col min="21" max="21" width="12.7109375" style="2" customWidth="1"/>
    <col min="22" max="22" width="5.7109375" style="2" customWidth="1"/>
    <col min="23" max="23" width="80.7109375" style="2" customWidth="1"/>
    <col min="24" max="24" width="5.7109375" style="2" customWidth="1"/>
    <col min="25" max="25" width="1.7109375" style="2" customWidth="1"/>
    <col min="26" max="28" width="0.140625" style="17" customWidth="1"/>
    <col min="29" max="63" width="5.7109375" style="17" hidden="1" customWidth="1"/>
    <col min="64" max="66" width="20.7109375" style="17" hidden="1" customWidth="1"/>
    <col min="67" max="67" width="1.7109375" style="2" customWidth="1"/>
    <col min="68" max="423" width="0" style="2" hidden="1" customWidth="1"/>
    <col min="424" max="16384" width="5.7109375" style="2" hidden="1"/>
  </cols>
  <sheetData>
    <row r="1" spans="1:66" ht="39.950000000000003" customHeight="1" x14ac:dyDescent="0.25">
      <c r="A1" s="64" t="s">
        <v>85</v>
      </c>
      <c r="B1" s="47" t="s">
        <v>102</v>
      </c>
      <c r="C1" s="44">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2354.1</v>
      </c>
      <c r="D1" s="61" t="s">
        <v>55</v>
      </c>
      <c r="E1" s="61" t="s">
        <v>89</v>
      </c>
      <c r="F1" s="61" t="s">
        <v>88</v>
      </c>
      <c r="G1" s="65" t="s">
        <v>81</v>
      </c>
      <c r="H1" s="61" t="s">
        <v>87</v>
      </c>
      <c r="I1" s="61" t="s">
        <v>56</v>
      </c>
      <c r="J1" s="61" t="s">
        <v>57</v>
      </c>
      <c r="K1" s="66" t="s">
        <v>58</v>
      </c>
      <c r="L1" s="67"/>
      <c r="M1" s="68"/>
      <c r="N1" s="61" t="s">
        <v>74</v>
      </c>
      <c r="O1" s="61" t="s">
        <v>83</v>
      </c>
      <c r="P1" s="61" t="s">
        <v>71</v>
      </c>
      <c r="Q1" s="61" t="s">
        <v>82</v>
      </c>
      <c r="R1" s="60" t="s">
        <v>69</v>
      </c>
      <c r="S1" s="55" t="s">
        <v>53</v>
      </c>
      <c r="T1" s="59"/>
      <c r="U1" s="63" t="s">
        <v>38</v>
      </c>
      <c r="V1" s="52"/>
      <c r="W1" s="53"/>
      <c r="X1" s="54"/>
      <c r="Y1" s="75"/>
      <c r="Z1" s="17" t="s">
        <v>18</v>
      </c>
      <c r="AA1" s="18">
        <f t="shared" ref="AA1:AA3" ca="1" si="0">IF(AB1&gt;0,AB1,AB1*-1)</f>
        <v>55619.452861715814</v>
      </c>
      <c r="AB1" s="18">
        <f ca="1">COUNTIF(S1,"Ocak")*(AU15)
+COUNTIF(S1,"Şubat")*(AU16)
+COUNTIF(S1,"Mart")*(AU17)
+COUNTIF(S1,"Nisan")*(AU18)
+COUNTIF(S1,"Mayıs")*(AU19)
+COUNTIF(S1,"Haziran")*(AU20)
+COUNTIF(S1,"Temmuz")*(AU21)
+COUNTIF(S1,"Ağustos")*(AU22)
+COUNTIF(S1,"Eylül")*(AU23)
+COUNTIF(S1,"Ekim")*(AU24)
+COUNTIF(S1,"Kasım")*(AU25)
+COUNTIF(S1,"Aralık")*(AU26)
+COUNTIF(S1,"Yıllık Toplam")*(AU27)
+COUNTIF(S1,"Yıllık Ortalama")*(AU28)</f>
        <v>55619.452861715814</v>
      </c>
      <c r="AC1" s="19" t="s">
        <v>84</v>
      </c>
      <c r="AD1" s="18">
        <v>2555.88</v>
      </c>
      <c r="AE1" s="18">
        <f>AD1*1.1829</f>
        <v>3023.3504520000001</v>
      </c>
      <c r="AF1" s="18">
        <v>3479.27</v>
      </c>
      <c r="AK1" s="18">
        <f t="shared" ref="AK1:AK12" si="1">(300*I15)</f>
        <v>7200</v>
      </c>
      <c r="AL1" s="18">
        <f ca="1">(AM1+AP1+AT1+AU1+AY1)</f>
        <v>7200</v>
      </c>
      <c r="AM1" s="18">
        <f>(AK1)</f>
        <v>7200</v>
      </c>
      <c r="AN1" s="18">
        <f>(AM1)</f>
        <v>7200</v>
      </c>
      <c r="AO1" s="18">
        <f>IF(AM1-AN1&lt;=0,0,AM1-AN1)</f>
        <v>0</v>
      </c>
      <c r="AP1" s="18">
        <f>(AO1*0.00759*-1)</f>
        <v>0</v>
      </c>
      <c r="AQ1" s="18">
        <f>(AM1)</f>
        <v>7200</v>
      </c>
      <c r="AR1" s="18">
        <f t="shared" ref="AR1:AR6" si="2">IF($AI$13*I15&gt;=AQ1,AQ1,$AI$13*I15)</f>
        <v>7200</v>
      </c>
      <c r="AS1" s="18">
        <f>(AQ1-AR1)</f>
        <v>0</v>
      </c>
      <c r="AT1" s="18">
        <f>(AS1*0.14*-1)</f>
        <v>0</v>
      </c>
      <c r="AU1" s="18">
        <f>(AS1*0.01*-1)</f>
        <v>0</v>
      </c>
      <c r="AV1" s="18">
        <f>(AM1+AT1+AU1)</f>
        <v>7200</v>
      </c>
      <c r="AW1" s="18">
        <f t="shared" ref="AW1:AW6" si="3">IF($AI$14*I15&gt;=AV1,AV1,$AI$14*I15)</f>
        <v>7200</v>
      </c>
      <c r="AX1" s="18">
        <f>IF(AV1-AW1&lt;=0,0,AV1-AW1)</f>
        <v>0</v>
      </c>
      <c r="AY1" s="18">
        <f t="shared" ref="AY1:AY12" ca="1" si="4">IF(AX1*AZ59*-1&gt;=0,0,AX1*AZ59*-1)</f>
        <v>0</v>
      </c>
      <c r="AZ1" s="18">
        <f t="shared" ref="AZ1:AZ12" ca="1" si="5">(AK59)</f>
        <v>90156.940483417478</v>
      </c>
      <c r="BA1" s="18">
        <f ca="1">(AZ1*0.205)</f>
        <v>18482.172799100583</v>
      </c>
      <c r="BB1" s="18">
        <f ca="1">(AZ1*0.01)</f>
        <v>901.56940483417475</v>
      </c>
      <c r="BC1" s="18">
        <f ca="1">(AZ1*0.05*-1)</f>
        <v>-4507.8470241708737</v>
      </c>
      <c r="BD1" s="18">
        <f ca="1">(AZ1+BA1+BB1+BC1)</f>
        <v>105032.83566318135</v>
      </c>
    </row>
    <row r="2" spans="1:66" ht="39.950000000000003" customHeight="1" x14ac:dyDescent="0.25">
      <c r="A2" s="64"/>
      <c r="B2" s="48"/>
      <c r="C2" s="45"/>
      <c r="D2" s="61"/>
      <c r="E2" s="61"/>
      <c r="F2" s="61"/>
      <c r="G2" s="65"/>
      <c r="H2" s="61"/>
      <c r="I2" s="61"/>
      <c r="J2" s="61"/>
      <c r="K2" s="69"/>
      <c r="L2" s="70"/>
      <c r="M2" s="71"/>
      <c r="N2" s="61"/>
      <c r="O2" s="61"/>
      <c r="P2" s="61"/>
      <c r="Q2" s="61"/>
      <c r="R2" s="60"/>
      <c r="S2" s="55"/>
      <c r="T2" s="59"/>
      <c r="U2" s="63"/>
      <c r="V2" s="62"/>
      <c r="W2" s="51" t="str">
        <f>IF($U$1="Analık Hâli İzni",$AA$21,
IF($U$1="Annelik İzni",$AA$22,
IF($U$1="Babalık İzni",$AA$23,
IF($U$1="Cenaze İzni",$AA$24,
IF($U$1="Doğal Afet İzni",$AA$25,
IF($U$1="Engelli Çocuk İzni",$AA$26,
IF($U$1="Evlat Edinme İzni",$AA$27,
IF($U$1="Evlilik İzni",$AA$28,
IF($U$1="İş Arama İzni",$AA$29,
IF($U$1="Mazeret İzni",$AA$30,
IF($U$1="Süt İzni",$AA$31,
IF($U$1="Ücretli Sendikal İzin ve Sendika Temsilci Sayısı",$AA$32,
IF($U$1="Ücretli Yıllık İzin",$AA$33,
IF($U$1="Yol İzni",$AA$34))))))))))))))</f>
        <v>a) 01.01.2009 Tarihinden Önce İşe Başlayanlar İçin:
Hizmeti 6 ay olanlar için 0 iş günü ücretli yıllık izin verilir.
Hizmeti 1-5 yıl olanlar için 14 iş günü ücretli yıllık izin verilir.
Hizmeti 5-10 yıl olanlar için 23 iş günü ücretli yıllık izin verilir.
Hizmeti 10-15 yıl olanlar için 23 iş günü ücretli yıllık izin verilir.
Hizmeti 15 yıldan fazla olanlar için 26 iş günü ücretli yıllık izin verilir.
b) 01.01.2009 Tarihinden Sonra İşe Başlayanlar İçin:
Hizmeti 6 ay olanlar için 0 iş günü ücretli yıllık izin verilir.
Hizmeti 1-5 yıl olanlar için 14 iş günü ücretli yıllık izin verilir.
Hizmeti 5-10 yıl olanlar için 20 iş günü ücretli yıllık izin verilir.
Hizmeti 10-15 yıl olanlar için 20 iş günü ücretli yıllık izin verilir.
Hizmeti 15 yıldan fazla olanlar için 26 iş günü ücretli yıllık izin verilir.</v>
      </c>
      <c r="X2" s="50"/>
      <c r="Y2" s="76"/>
      <c r="Z2" s="17" t="s">
        <v>3</v>
      </c>
      <c r="AA2" s="18">
        <f t="shared" ca="1" si="0"/>
        <v>0</v>
      </c>
      <c r="AB2" s="18">
        <f ca="1">COUNTIF(S1,"Ocak")*(AW15)
+COUNTIF(S1,"Şubat")*(AW16)
+COUNTIF(S1,"Mart")*(AW17)
+COUNTIF(S1,"Nisan")*(AW18)
+COUNTIF(S1,"Mayıs")*(AW19)
+COUNTIF(S1,"Haziran")*(AW20)
+COUNTIF(S1,"Temmuz")*(AW21)
+COUNTIF(S1,"Ağustos")*(AW22)
+COUNTIF(S1,"Eylül")*(AW23)
+COUNTIF(S1,"Ekim")*(AW24)
+COUNTIF(S1,"Kasım")*(AW25)
+COUNTIF(S1,"Aralık")*(AW26)
+COUNTIF(S1,"Yıllık Toplam")*(AW27)
+COUNTIF(S1,"Yıllık Ortalama")*(AW28)</f>
        <v>0</v>
      </c>
      <c r="AC2" s="19" t="s">
        <v>85</v>
      </c>
      <c r="AD2" s="18">
        <v>2354.1</v>
      </c>
      <c r="AE2" s="18">
        <f t="shared" ref="AE2:AE13" si="6">AD2*1.1829</f>
        <v>2784.66489</v>
      </c>
      <c r="AF2" s="18">
        <v>3204.59</v>
      </c>
      <c r="AG2" s="20">
        <f>(10%)</f>
        <v>0.1</v>
      </c>
      <c r="AH2" s="17" t="s">
        <v>0</v>
      </c>
      <c r="AI2" s="18">
        <f>($AI$8*$AG$2)</f>
        <v>3303</v>
      </c>
      <c r="AJ2" s="18">
        <f>($AJ$8*$AG$2)</f>
        <v>3303</v>
      </c>
      <c r="AK2" s="18">
        <f t="shared" si="1"/>
        <v>7200</v>
      </c>
      <c r="AL2" s="18">
        <f t="shared" ref="AL2:AL12" ca="1" si="7">(AM2+AP2+AT2+AU2+AY2)</f>
        <v>7200</v>
      </c>
      <c r="AM2" s="18">
        <f t="shared" ref="AM2:AM12" si="8">(AK2)</f>
        <v>7200</v>
      </c>
      <c r="AN2" s="18">
        <f t="shared" ref="AN2:AN12" si="9">(AM2)</f>
        <v>7200</v>
      </c>
      <c r="AO2" s="18">
        <f t="shared" ref="AO2:AO12" si="10">IF(AM2-AN2&lt;=0,0,AM2-AN2)</f>
        <v>0</v>
      </c>
      <c r="AP2" s="18">
        <f t="shared" ref="AP2:AP12" si="11">(AO2*0.00759*-1)</f>
        <v>0</v>
      </c>
      <c r="AQ2" s="18">
        <f t="shared" ref="AQ2:AQ12" si="12">(AM2)</f>
        <v>7200</v>
      </c>
      <c r="AR2" s="18">
        <f t="shared" si="2"/>
        <v>7200</v>
      </c>
      <c r="AS2" s="18">
        <f t="shared" ref="AS2:AS12" si="13">(AQ2-AR2)</f>
        <v>0</v>
      </c>
      <c r="AT2" s="18">
        <f t="shared" ref="AT2:AT12" si="14">(AS2*0.14*-1)</f>
        <v>0</v>
      </c>
      <c r="AU2" s="18">
        <f t="shared" ref="AU2:AU12" si="15">(AS2*0.01*-1)</f>
        <v>0</v>
      </c>
      <c r="AV2" s="18">
        <f t="shared" ref="AV2:AV12" si="16">(AM2+AT2+AU2)</f>
        <v>7200</v>
      </c>
      <c r="AW2" s="18">
        <f t="shared" si="3"/>
        <v>7200</v>
      </c>
      <c r="AX2" s="18">
        <f t="shared" ref="AX2:AX12" si="17">IF(AV2-AW2&lt;=0,0,AV2-AW2)</f>
        <v>0</v>
      </c>
      <c r="AY2" s="18">
        <f t="shared" ca="1" si="4"/>
        <v>0</v>
      </c>
      <c r="AZ2" s="18">
        <f t="shared" ca="1" si="5"/>
        <v>83479.304287252948</v>
      </c>
      <c r="BA2" s="18">
        <f t="shared" ref="BA2:BA12" ca="1" si="18">(AZ2*0.205)</f>
        <v>17113.257378886854</v>
      </c>
      <c r="BB2" s="18">
        <f t="shared" ref="BB2:BB12" ca="1" si="19">(AZ2*0.01)</f>
        <v>834.79304287252944</v>
      </c>
      <c r="BC2" s="18">
        <f t="shared" ref="BC2:BC12" ca="1" si="20">(AZ2*0.05*-1)</f>
        <v>-4173.9652143626472</v>
      </c>
      <c r="BD2" s="18">
        <f t="shared" ref="BD2:BD12" ca="1" si="21">(AZ2+BA2+BB2+BC2)</f>
        <v>97253.389494649688</v>
      </c>
      <c r="BL2" s="17">
        <v>0</v>
      </c>
      <c r="BM2" s="21">
        <v>0</v>
      </c>
      <c r="BN2" s="19">
        <v>0</v>
      </c>
    </row>
    <row r="3" spans="1:66" ht="39.950000000000003" customHeight="1" x14ac:dyDescent="0.25">
      <c r="A3" s="64"/>
      <c r="B3" s="48"/>
      <c r="C3" s="45"/>
      <c r="D3" s="61"/>
      <c r="E3" s="61"/>
      <c r="F3" s="61"/>
      <c r="G3" s="65"/>
      <c r="H3" s="61"/>
      <c r="I3" s="61"/>
      <c r="J3" s="61"/>
      <c r="K3" s="69"/>
      <c r="L3" s="70"/>
      <c r="M3" s="71"/>
      <c r="N3" s="61"/>
      <c r="O3" s="61"/>
      <c r="P3" s="61"/>
      <c r="Q3" s="61"/>
      <c r="R3" s="60"/>
      <c r="S3" s="55"/>
      <c r="T3" s="59"/>
      <c r="U3" s="63"/>
      <c r="V3" s="62"/>
      <c r="W3" s="51"/>
      <c r="X3" s="50"/>
      <c r="Y3" s="76"/>
      <c r="Z3" s="17" t="s">
        <v>77</v>
      </c>
      <c r="AA3" s="18">
        <f t="shared" ca="1" si="0"/>
        <v>0</v>
      </c>
      <c r="AB3" s="18">
        <f ca="1">COUNTIF(S1,"Ocak")*(AY15)
+COUNTIF(S1,"Şubat")*(AY16)
+COUNTIF(S1,"Mart")*(AY17)
+COUNTIF(S1,"Nisan")*(AY18)
+COUNTIF(S1,"Mayıs")*(AY19)
+COUNTIF(S1,"Haziran")*(AY20)
+COUNTIF(S1,"Temmuz")*(AY21)
+COUNTIF(S1,"Ağustos")*(AY22)
+COUNTIF(S1,"Eylül")*(AY23)
+COUNTIF(S1,"Ekim")*(AY24)
+COUNTIF(S1,"Kasım")*(AY25)
+COUNTIF(S1,"Aralık")*(AY26)
+COUNTIF(S1,"Yıllık Toplam")*(AY27)
+COUNTIF(S1,"Yıllık Ortalama")*(AY28)</f>
        <v>0</v>
      </c>
      <c r="AC3" s="19" t="s">
        <v>86</v>
      </c>
      <c r="AD3" s="18">
        <v>2286.84</v>
      </c>
      <c r="AE3" s="18">
        <f t="shared" si="6"/>
        <v>2705.1030360000004</v>
      </c>
      <c r="AF3" s="18">
        <v>3113.03</v>
      </c>
      <c r="AG3" s="20">
        <f>(2%)</f>
        <v>0.02</v>
      </c>
      <c r="AH3" s="17" t="s">
        <v>0</v>
      </c>
      <c r="AI3" s="18">
        <f>($AI$8*$AG$3)</f>
        <v>660.6</v>
      </c>
      <c r="AJ3" s="18">
        <f>($AJ$8*$AG$3)</f>
        <v>660.6</v>
      </c>
      <c r="AK3" s="18">
        <f t="shared" si="1"/>
        <v>7200</v>
      </c>
      <c r="AL3" s="18">
        <f t="shared" ca="1" si="7"/>
        <v>7200</v>
      </c>
      <c r="AM3" s="18">
        <f t="shared" si="8"/>
        <v>7200</v>
      </c>
      <c r="AN3" s="18">
        <f t="shared" si="9"/>
        <v>7200</v>
      </c>
      <c r="AO3" s="18">
        <f t="shared" si="10"/>
        <v>0</v>
      </c>
      <c r="AP3" s="18">
        <f t="shared" si="11"/>
        <v>0</v>
      </c>
      <c r="AQ3" s="18">
        <f t="shared" si="12"/>
        <v>7200</v>
      </c>
      <c r="AR3" s="18">
        <f t="shared" si="2"/>
        <v>7200</v>
      </c>
      <c r="AS3" s="18">
        <f t="shared" si="13"/>
        <v>0</v>
      </c>
      <c r="AT3" s="18">
        <f t="shared" si="14"/>
        <v>0</v>
      </c>
      <c r="AU3" s="18">
        <f t="shared" si="15"/>
        <v>0</v>
      </c>
      <c r="AV3" s="18">
        <f t="shared" si="16"/>
        <v>7200</v>
      </c>
      <c r="AW3" s="18">
        <f t="shared" si="3"/>
        <v>7200</v>
      </c>
      <c r="AX3" s="18">
        <f t="shared" si="17"/>
        <v>0</v>
      </c>
      <c r="AY3" s="18">
        <f t="shared" ca="1" si="4"/>
        <v>0</v>
      </c>
      <c r="AZ3" s="18">
        <f t="shared" ca="1" si="5"/>
        <v>180370.55125478905</v>
      </c>
      <c r="BA3" s="18">
        <f t="shared" ca="1" si="18"/>
        <v>36975.963007231752</v>
      </c>
      <c r="BB3" s="18">
        <f t="shared" ca="1" si="19"/>
        <v>1803.7055125478905</v>
      </c>
      <c r="BC3" s="18">
        <f t="shared" ca="1" si="20"/>
        <v>-9018.5275627394531</v>
      </c>
      <c r="BD3" s="18">
        <f t="shared" ca="1" si="21"/>
        <v>210131.69221182927</v>
      </c>
      <c r="BL3" s="17">
        <v>1</v>
      </c>
      <c r="BM3" s="21">
        <v>0.5</v>
      </c>
      <c r="BN3" s="19">
        <v>0.03</v>
      </c>
    </row>
    <row r="4" spans="1:66" ht="39.950000000000003" customHeight="1" x14ac:dyDescent="0.25">
      <c r="A4" s="64"/>
      <c r="B4" s="49"/>
      <c r="C4" s="46"/>
      <c r="D4" s="61"/>
      <c r="E4" s="61"/>
      <c r="F4" s="61"/>
      <c r="G4" s="65"/>
      <c r="H4" s="61"/>
      <c r="I4" s="61"/>
      <c r="J4" s="61"/>
      <c r="K4" s="69"/>
      <c r="L4" s="70"/>
      <c r="M4" s="71"/>
      <c r="N4" s="61"/>
      <c r="O4" s="61"/>
      <c r="P4" s="61"/>
      <c r="Q4" s="61"/>
      <c r="R4" s="60"/>
      <c r="S4" s="55"/>
      <c r="T4" s="59"/>
      <c r="U4" s="63"/>
      <c r="V4" s="62"/>
      <c r="W4" s="51"/>
      <c r="X4" s="50"/>
      <c r="Y4" s="76"/>
      <c r="Z4" s="17" t="s">
        <v>78</v>
      </c>
      <c r="AA4" s="18">
        <f t="shared" ref="AA4" ca="1" si="22">IF(AB4&gt;0,AB4,AB4*-1)</f>
        <v>0</v>
      </c>
      <c r="AB4" s="18">
        <f ca="1">COUNTIF(S1,"Ocak")*(BA15)
+COUNTIF(S1,"Şubat")*(BA16)
+COUNTIF(S1,"Mart")*(BA17)
+COUNTIF(S1,"Nisan")*(BA18)
+COUNTIF(S1,"Mayıs")*(BA19)
+COUNTIF(S1,"Haziran")*(BA20)
+COUNTIF(S1,"Temmuz")*(BA21)
+COUNTIF(S1,"Ağustos")*(BA22)
+COUNTIF(S1,"Eylül")*(BA23)
+COUNTIF(S1,"Ekim")*(BA24)
+COUNTIF(S1,"Kasım")*(BA25)
+COUNTIF(S1,"Aralık")*(BA26)
+COUNTIF(S1,"Yıllık Toplam")*(BA27)
+COUNTIF(S1,"Yıllık Ortalama")*(BA28)</f>
        <v>0</v>
      </c>
      <c r="AC4" s="19" t="s">
        <v>24</v>
      </c>
      <c r="AD4" s="18">
        <v>2757.66</v>
      </c>
      <c r="AE4" s="18">
        <f t="shared" si="6"/>
        <v>3262.0360139999998</v>
      </c>
      <c r="AF4" s="18">
        <v>3753.96</v>
      </c>
      <c r="AG4" s="20">
        <f>(1%)</f>
        <v>0.01</v>
      </c>
      <c r="AH4" s="17" t="s">
        <v>0</v>
      </c>
      <c r="AI4" s="18">
        <f>($AI$8*$AG$4)</f>
        <v>330.3</v>
      </c>
      <c r="AJ4" s="18">
        <f>($AJ$8*$AG$4)</f>
        <v>330.3</v>
      </c>
      <c r="AK4" s="18">
        <f t="shared" si="1"/>
        <v>7200</v>
      </c>
      <c r="AL4" s="18">
        <f t="shared" ca="1" si="7"/>
        <v>7200</v>
      </c>
      <c r="AM4" s="18">
        <f t="shared" si="8"/>
        <v>7200</v>
      </c>
      <c r="AN4" s="18">
        <f t="shared" si="9"/>
        <v>7200</v>
      </c>
      <c r="AO4" s="18">
        <f t="shared" si="10"/>
        <v>0</v>
      </c>
      <c r="AP4" s="18">
        <f t="shared" si="11"/>
        <v>0</v>
      </c>
      <c r="AQ4" s="18">
        <f t="shared" si="12"/>
        <v>7200</v>
      </c>
      <c r="AR4" s="18">
        <f t="shared" si="2"/>
        <v>7200</v>
      </c>
      <c r="AS4" s="18">
        <f t="shared" si="13"/>
        <v>0</v>
      </c>
      <c r="AT4" s="18">
        <f t="shared" si="14"/>
        <v>0</v>
      </c>
      <c r="AU4" s="18">
        <f t="shared" si="15"/>
        <v>0</v>
      </c>
      <c r="AV4" s="18">
        <f t="shared" si="16"/>
        <v>7200</v>
      </c>
      <c r="AW4" s="18">
        <f t="shared" si="3"/>
        <v>7200</v>
      </c>
      <c r="AX4" s="18">
        <f t="shared" si="17"/>
        <v>0</v>
      </c>
      <c r="AY4" s="18">
        <f t="shared" ca="1" si="4"/>
        <v>0</v>
      </c>
      <c r="AZ4" s="18">
        <f t="shared" ca="1" si="5"/>
        <v>102780.24231651374</v>
      </c>
      <c r="BA4" s="18">
        <f t="shared" ca="1" si="18"/>
        <v>21069.949674885316</v>
      </c>
      <c r="BB4" s="18">
        <f t="shared" ca="1" si="19"/>
        <v>1027.8024231651375</v>
      </c>
      <c r="BC4" s="18">
        <f t="shared" ca="1" si="20"/>
        <v>-5139.0121158256879</v>
      </c>
      <c r="BD4" s="18">
        <f t="shared" ca="1" si="21"/>
        <v>119738.9822987385</v>
      </c>
      <c r="BL4" s="17">
        <v>2</v>
      </c>
      <c r="BM4" s="21">
        <v>1</v>
      </c>
      <c r="BN4" s="19">
        <v>0.04</v>
      </c>
    </row>
    <row r="5" spans="1:66" ht="39.950000000000003" customHeight="1" x14ac:dyDescent="0.25">
      <c r="A5" s="64"/>
      <c r="B5" s="48" t="s">
        <v>103</v>
      </c>
      <c r="C5" s="45">
        <f>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2784.66489</v>
      </c>
      <c r="D5" s="61"/>
      <c r="E5" s="61"/>
      <c r="F5" s="61"/>
      <c r="G5" s="65"/>
      <c r="H5" s="61"/>
      <c r="I5" s="61"/>
      <c r="J5" s="61"/>
      <c r="K5" s="69"/>
      <c r="L5" s="70"/>
      <c r="M5" s="71"/>
      <c r="N5" s="61"/>
      <c r="O5" s="61"/>
      <c r="P5" s="61"/>
      <c r="Q5" s="61"/>
      <c r="R5" s="60"/>
      <c r="S5" s="55"/>
      <c r="T5" s="59"/>
      <c r="U5" s="63"/>
      <c r="V5" s="62"/>
      <c r="W5" s="51"/>
      <c r="X5" s="50"/>
      <c r="Y5" s="76"/>
      <c r="Z5" s="17" t="s">
        <v>79</v>
      </c>
      <c r="AA5" s="18">
        <f t="shared" ref="AA5:AA10" ca="1" si="23">IF(AB5&gt;0,AB5,AB5*-1)</f>
        <v>0</v>
      </c>
      <c r="AB5" s="18">
        <f ca="1">COUNTIF(S1,"Ocak")*(BC15)
+COUNTIF(S1,"Şubat")*(BC16)
+COUNTIF(S1,"Mart")*(BC17)
+COUNTIF(S1,"Nisan")*(BC18)
+COUNTIF(S1,"Mayıs")*(BC19)
+COUNTIF(S1,"Haziran")*(BC20)
+COUNTIF(S1,"Temmuz")*(BC21)
+COUNTIF(S1,"Ağustos")*(BC22)
+COUNTIF(S1,"Eylül")*(BC23)
+COUNTIF(S1,"Ekim")*(BC24)
+COUNTIF(S1,"Kasım")*(BC25)
+COUNTIF(S1,"Aralık")*(BC26)
+COUNTIF(S1,"Yıllık Toplam")*(BC27)
+COUNTIF(S1,"Yıllık Ortalama")*(BC28)</f>
        <v>0</v>
      </c>
      <c r="AC5" s="22" t="s">
        <v>28</v>
      </c>
      <c r="AD5" s="18">
        <v>2757.66</v>
      </c>
      <c r="AE5" s="18">
        <f t="shared" si="6"/>
        <v>3262.0360139999998</v>
      </c>
      <c r="AF5" s="18">
        <v>3753.96</v>
      </c>
      <c r="AG5" s="17" t="s">
        <v>0</v>
      </c>
      <c r="AH5" s="17" t="s">
        <v>0</v>
      </c>
      <c r="AI5" s="18">
        <f>($AI$16)</f>
        <v>3154.6307830000001</v>
      </c>
      <c r="AJ5" s="18">
        <f>($AJ$16)</f>
        <v>3581.1387760000002</v>
      </c>
      <c r="AK5" s="18">
        <f t="shared" si="1"/>
        <v>7800</v>
      </c>
      <c r="AL5" s="18">
        <f t="shared" ca="1" si="7"/>
        <v>7800</v>
      </c>
      <c r="AM5" s="18">
        <f t="shared" si="8"/>
        <v>7800</v>
      </c>
      <c r="AN5" s="18">
        <f t="shared" si="9"/>
        <v>7800</v>
      </c>
      <c r="AO5" s="18">
        <f t="shared" si="10"/>
        <v>0</v>
      </c>
      <c r="AP5" s="18">
        <f t="shared" si="11"/>
        <v>0</v>
      </c>
      <c r="AQ5" s="18">
        <f t="shared" si="12"/>
        <v>7800</v>
      </c>
      <c r="AR5" s="18">
        <f t="shared" si="2"/>
        <v>7800</v>
      </c>
      <c r="AS5" s="18">
        <f t="shared" si="13"/>
        <v>0</v>
      </c>
      <c r="AT5" s="18">
        <f t="shared" si="14"/>
        <v>0</v>
      </c>
      <c r="AU5" s="18">
        <f t="shared" si="15"/>
        <v>0</v>
      </c>
      <c r="AV5" s="18">
        <f t="shared" si="16"/>
        <v>7800</v>
      </c>
      <c r="AW5" s="18">
        <f t="shared" si="3"/>
        <v>7800</v>
      </c>
      <c r="AX5" s="18">
        <f t="shared" si="17"/>
        <v>0</v>
      </c>
      <c r="AY5" s="18">
        <f t="shared" ca="1" si="4"/>
        <v>0</v>
      </c>
      <c r="AZ5" s="18">
        <f t="shared" ca="1" si="5"/>
        <v>106363.90929044099</v>
      </c>
      <c r="BA5" s="18">
        <f t="shared" ca="1" si="18"/>
        <v>21804.601404540401</v>
      </c>
      <c r="BB5" s="18">
        <f t="shared" ca="1" si="19"/>
        <v>1063.6390929044098</v>
      </c>
      <c r="BC5" s="18">
        <f t="shared" ca="1" si="20"/>
        <v>-5318.1954645220503</v>
      </c>
      <c r="BD5" s="18">
        <f t="shared" ca="1" si="21"/>
        <v>123913.95432336375</v>
      </c>
      <c r="BL5" s="17">
        <v>3</v>
      </c>
      <c r="BM5" s="21">
        <v>1.5</v>
      </c>
      <c r="BN5" s="19">
        <v>0.05</v>
      </c>
    </row>
    <row r="6" spans="1:66" ht="39.950000000000003" customHeight="1" x14ac:dyDescent="0.25">
      <c r="A6" s="64"/>
      <c r="B6" s="48"/>
      <c r="C6" s="45"/>
      <c r="D6" s="61"/>
      <c r="E6" s="61"/>
      <c r="F6" s="61"/>
      <c r="G6" s="65"/>
      <c r="H6" s="61"/>
      <c r="I6" s="61"/>
      <c r="J6" s="61"/>
      <c r="K6" s="69"/>
      <c r="L6" s="70"/>
      <c r="M6" s="71"/>
      <c r="N6" s="61"/>
      <c r="O6" s="61"/>
      <c r="P6" s="61"/>
      <c r="Q6" s="61"/>
      <c r="R6" s="60"/>
      <c r="S6" s="55"/>
      <c r="T6" s="59"/>
      <c r="U6" s="63"/>
      <c r="V6" s="62"/>
      <c r="W6" s="51"/>
      <c r="X6" s="50"/>
      <c r="Y6" s="76"/>
      <c r="Z6" s="17" t="s">
        <v>80</v>
      </c>
      <c r="AA6" s="18">
        <f t="shared" ca="1" si="23"/>
        <v>0</v>
      </c>
      <c r="AB6" s="18">
        <f ca="1">COUNTIF(S1,"Ocak")*(BE15)
+COUNTIF(S1,"Şubat")*(BE16)
+COUNTIF(S1,"Mart")*(BE17)
+COUNTIF(S1,"Nisan")*(BE18)
+COUNTIF(S1,"Mayıs")*(BE19)
+COUNTIF(S1,"Haziran")*(BE20)
+COUNTIF(S1,"Temmuz")*(BE21)
+COUNTIF(S1,"Ağustos")*(BE22)
+COUNTIF(S1,"Eylül")*(BE23)
+COUNTIF(S1,"Ekim")*(BE24)
+COUNTIF(S1,"Kasım")*(BE25)
+COUNTIF(S1,"Aralık")*(BE26)
+COUNTIF(S1,"Yıllık Toplam")*(BE27)
+COUNTIF(S1,"Yıllık Ortalama")*(BE28)</f>
        <v>0</v>
      </c>
      <c r="AC6" s="22" t="s">
        <v>25</v>
      </c>
      <c r="AD6" s="18">
        <v>2421.36</v>
      </c>
      <c r="AE6" s="18">
        <f t="shared" si="6"/>
        <v>2864.2267440000005</v>
      </c>
      <c r="AF6" s="18">
        <v>3296.16</v>
      </c>
      <c r="AG6" s="17" t="s">
        <v>0</v>
      </c>
      <c r="AH6" s="17" t="s">
        <v>0</v>
      </c>
      <c r="AI6" s="18">
        <f>($AI$17)</f>
        <v>693.93550000000005</v>
      </c>
      <c r="AJ6" s="18">
        <f>($AJ$17)</f>
        <v>787.75599999999997</v>
      </c>
      <c r="AK6" s="18">
        <f t="shared" si="1"/>
        <v>7800</v>
      </c>
      <c r="AL6" s="18">
        <f t="shared" ca="1" si="7"/>
        <v>7800</v>
      </c>
      <c r="AM6" s="18">
        <f t="shared" si="8"/>
        <v>7800</v>
      </c>
      <c r="AN6" s="18">
        <f t="shared" si="9"/>
        <v>7800</v>
      </c>
      <c r="AO6" s="18">
        <f t="shared" si="10"/>
        <v>0</v>
      </c>
      <c r="AP6" s="18">
        <f t="shared" si="11"/>
        <v>0</v>
      </c>
      <c r="AQ6" s="18">
        <f t="shared" si="12"/>
        <v>7800</v>
      </c>
      <c r="AR6" s="18">
        <f t="shared" si="2"/>
        <v>7800</v>
      </c>
      <c r="AS6" s="18">
        <f t="shared" si="13"/>
        <v>0</v>
      </c>
      <c r="AT6" s="18">
        <f t="shared" si="14"/>
        <v>0</v>
      </c>
      <c r="AU6" s="18">
        <f t="shared" si="15"/>
        <v>0</v>
      </c>
      <c r="AV6" s="18">
        <f t="shared" si="16"/>
        <v>7800</v>
      </c>
      <c r="AW6" s="18">
        <f t="shared" si="3"/>
        <v>7800</v>
      </c>
      <c r="AX6" s="18">
        <f t="shared" si="17"/>
        <v>0</v>
      </c>
      <c r="AY6" s="18">
        <f t="shared" ca="1" si="4"/>
        <v>0</v>
      </c>
      <c r="AZ6" s="18">
        <f t="shared" ca="1" si="5"/>
        <v>187396.33129544958</v>
      </c>
      <c r="BA6" s="18">
        <f t="shared" ca="1" si="18"/>
        <v>38416.247915567161</v>
      </c>
      <c r="BB6" s="18">
        <f t="shared" ca="1" si="19"/>
        <v>1873.9633129544959</v>
      </c>
      <c r="BC6" s="18">
        <f t="shared" ca="1" si="20"/>
        <v>-9369.81656477248</v>
      </c>
      <c r="BD6" s="18">
        <f t="shared" ca="1" si="21"/>
        <v>218316.72595919875</v>
      </c>
      <c r="BL6" s="17">
        <v>4</v>
      </c>
      <c r="BM6" s="21">
        <v>2</v>
      </c>
      <c r="BN6" s="19">
        <v>0.06</v>
      </c>
    </row>
    <row r="7" spans="1:66" ht="39.950000000000003" customHeight="1" x14ac:dyDescent="0.25">
      <c r="A7" s="64"/>
      <c r="B7" s="48"/>
      <c r="C7" s="45"/>
      <c r="D7" s="61"/>
      <c r="E7" s="61"/>
      <c r="F7" s="61"/>
      <c r="G7" s="65"/>
      <c r="H7" s="61"/>
      <c r="I7" s="61"/>
      <c r="J7" s="61"/>
      <c r="K7" s="69"/>
      <c r="L7" s="70"/>
      <c r="M7" s="71"/>
      <c r="N7" s="61"/>
      <c r="O7" s="61"/>
      <c r="P7" s="61"/>
      <c r="Q7" s="61"/>
      <c r="R7" s="60"/>
      <c r="S7" s="55"/>
      <c r="T7" s="59"/>
      <c r="U7" s="63"/>
      <c r="V7" s="62"/>
      <c r="W7" s="51"/>
      <c r="X7" s="50"/>
      <c r="Y7" s="76"/>
      <c r="Z7" s="17" t="s">
        <v>6</v>
      </c>
      <c r="AA7" s="18">
        <f t="shared" ca="1" si="23"/>
        <v>7600</v>
      </c>
      <c r="AB7" s="18">
        <f ca="1">COUNTIF(S1,"Ocak")*(AL1)
+COUNTIF(S1,"Şubat")*(AL2)
+COUNTIF(S1,"Mart")*(AL3)
+COUNTIF(S1,"Nisan")*(AL4)
+COUNTIF(S1,"Mayıs")*(AL5)
+COUNTIF(S1,"Haziran")*(AL6)
+COUNTIF(S1,"Temmuz")*(AL7)
+COUNTIF(S1,"Ağustos")*(AL8)
+COUNTIF(S1,"Eylül")*(AL9)
+COUNTIF(S1,"Ekim")*(AL10)
+COUNTIF(S1,"Kasım")*(AL11)
+COUNTIF(S1,"Aralık")*(AL12)
+COUNTIF(S1,"Yıllık Toplam")*(AL13)
+COUNTIF(S1,"Yıllık Ortalama")*(AL14)</f>
        <v>7600</v>
      </c>
      <c r="AC7" s="19" t="s">
        <v>26</v>
      </c>
      <c r="AD7" s="18">
        <v>2421.36</v>
      </c>
      <c r="AE7" s="18">
        <f t="shared" si="6"/>
        <v>2864.2267440000005</v>
      </c>
      <c r="AF7" s="18">
        <v>3296.16</v>
      </c>
      <c r="AG7" s="17" t="s">
        <v>0</v>
      </c>
      <c r="AH7" s="17" t="s">
        <v>0</v>
      </c>
      <c r="AI7" s="18">
        <f>($AI$18)</f>
        <v>346.96775000000002</v>
      </c>
      <c r="AJ7" s="18">
        <f>($AJ$18)</f>
        <v>393.87799999999999</v>
      </c>
      <c r="AK7" s="18">
        <f t="shared" si="1"/>
        <v>7800</v>
      </c>
      <c r="AL7" s="18">
        <f t="shared" ca="1" si="7"/>
        <v>7800</v>
      </c>
      <c r="AM7" s="18">
        <f t="shared" si="8"/>
        <v>7800</v>
      </c>
      <c r="AN7" s="18">
        <f t="shared" si="9"/>
        <v>7800</v>
      </c>
      <c r="AO7" s="18">
        <f t="shared" si="10"/>
        <v>0</v>
      </c>
      <c r="AP7" s="18">
        <f t="shared" si="11"/>
        <v>0</v>
      </c>
      <c r="AQ7" s="18">
        <f t="shared" si="12"/>
        <v>7800</v>
      </c>
      <c r="AR7" s="18">
        <f t="shared" ref="AR7:AR12" si="24">IF($AJ$13*I21&gt;=AQ7,AQ7,$AJ$13*I21)</f>
        <v>7800</v>
      </c>
      <c r="AS7" s="18">
        <f t="shared" si="13"/>
        <v>0</v>
      </c>
      <c r="AT7" s="18">
        <f t="shared" si="14"/>
        <v>0</v>
      </c>
      <c r="AU7" s="18">
        <f t="shared" si="15"/>
        <v>0</v>
      </c>
      <c r="AV7" s="18">
        <f t="shared" si="16"/>
        <v>7800</v>
      </c>
      <c r="AW7" s="18">
        <f t="shared" ref="AW7:AW12" si="25">IF($AJ$14*I21&gt;=AV7,AV7,$AJ$14*I21)</f>
        <v>7800</v>
      </c>
      <c r="AX7" s="18">
        <f t="shared" si="17"/>
        <v>0</v>
      </c>
      <c r="AY7" s="18">
        <f t="shared" ca="1" si="4"/>
        <v>0</v>
      </c>
      <c r="AZ7" s="18">
        <f t="shared" ca="1" si="5"/>
        <v>106838.46835608312</v>
      </c>
      <c r="BA7" s="18">
        <f t="shared" ca="1" si="18"/>
        <v>21901.886012997038</v>
      </c>
      <c r="BB7" s="18">
        <f t="shared" ca="1" si="19"/>
        <v>1068.3846835608313</v>
      </c>
      <c r="BC7" s="18">
        <f t="shared" ca="1" si="20"/>
        <v>-5341.9234178041561</v>
      </c>
      <c r="BD7" s="18">
        <f t="shared" ca="1" si="21"/>
        <v>124466.81563483684</v>
      </c>
      <c r="BL7" s="17">
        <v>5</v>
      </c>
      <c r="BM7" s="21">
        <v>2.5</v>
      </c>
      <c r="BN7" s="19">
        <v>7.0000000000000007E-2</v>
      </c>
    </row>
    <row r="8" spans="1:66" ht="39.950000000000003" customHeight="1" x14ac:dyDescent="0.25">
      <c r="A8" s="64"/>
      <c r="B8" s="48"/>
      <c r="C8" s="45"/>
      <c r="D8" s="61"/>
      <c r="E8" s="61"/>
      <c r="F8" s="61"/>
      <c r="G8" s="65"/>
      <c r="H8" s="61"/>
      <c r="I8" s="61"/>
      <c r="J8" s="61"/>
      <c r="K8" s="69"/>
      <c r="L8" s="70"/>
      <c r="M8" s="71"/>
      <c r="N8" s="61"/>
      <c r="O8" s="61"/>
      <c r="P8" s="61"/>
      <c r="Q8" s="61"/>
      <c r="R8" s="60"/>
      <c r="S8" s="55"/>
      <c r="T8" s="59"/>
      <c r="U8" s="63"/>
      <c r="V8" s="62"/>
      <c r="W8" s="51"/>
      <c r="X8" s="50"/>
      <c r="Y8" s="76"/>
      <c r="Z8" s="17" t="s">
        <v>17</v>
      </c>
      <c r="AA8" s="18">
        <f t="shared" si="23"/>
        <v>3376.8333333333335</v>
      </c>
      <c r="AB8" s="18">
        <f>COUNTIF(S1,"Ocak")*(BG15)
+COUNTIF(S1,"Şubat")*(BG16)
+COUNTIF(S1,"Mart")*(BG17)
+COUNTIF(S1,"Nisan")*(BG18)
+COUNTIF(S1,"Mayıs")*(BG19)
+COUNTIF(S1,"Haziran")*(BG20)
+COUNTIF(S1,"Temmuz")*(BG21)
+COUNTIF(S1,"Ağustos")*(BG22)
+COUNTIF(S1,"Eylül")*(BG23)
+COUNTIF(S1,"Ekim")*(BG24)
+COUNTIF(S1,"Kasım")*(BG25)
+COUNTIF(S1,"Aralık")*(BG26)
+COUNTIF(S1,"Yıllık Toplam")*(BG27)
+COUNTIF(S1,"Yıllık Ortalama")*(BG28)</f>
        <v>3376.8333333333335</v>
      </c>
      <c r="AC8" s="19" t="s">
        <v>27</v>
      </c>
      <c r="AD8" s="18">
        <v>2421.36</v>
      </c>
      <c r="AE8" s="18">
        <f t="shared" si="6"/>
        <v>2864.2267440000005</v>
      </c>
      <c r="AF8" s="18">
        <v>3296.16</v>
      </c>
      <c r="AG8" s="18" t="s">
        <v>0</v>
      </c>
      <c r="AH8" s="17" t="s">
        <v>0</v>
      </c>
      <c r="AI8" s="18">
        <v>33030</v>
      </c>
      <c r="AJ8" s="18">
        <v>33030</v>
      </c>
      <c r="AK8" s="18">
        <f t="shared" si="1"/>
        <v>7800</v>
      </c>
      <c r="AL8" s="18">
        <f t="shared" ca="1" si="7"/>
        <v>7800</v>
      </c>
      <c r="AM8" s="18">
        <f t="shared" si="8"/>
        <v>7800</v>
      </c>
      <c r="AN8" s="18">
        <f t="shared" si="9"/>
        <v>7800</v>
      </c>
      <c r="AO8" s="18">
        <f t="shared" si="10"/>
        <v>0</v>
      </c>
      <c r="AP8" s="18">
        <f t="shared" si="11"/>
        <v>0</v>
      </c>
      <c r="AQ8" s="18">
        <f t="shared" si="12"/>
        <v>7800</v>
      </c>
      <c r="AR8" s="18">
        <f t="shared" si="24"/>
        <v>7800</v>
      </c>
      <c r="AS8" s="18">
        <f t="shared" si="13"/>
        <v>0</v>
      </c>
      <c r="AT8" s="18">
        <f t="shared" si="14"/>
        <v>0</v>
      </c>
      <c r="AU8" s="18">
        <f t="shared" si="15"/>
        <v>0</v>
      </c>
      <c r="AV8" s="18">
        <f t="shared" si="16"/>
        <v>7800</v>
      </c>
      <c r="AW8" s="18">
        <f t="shared" si="25"/>
        <v>7800</v>
      </c>
      <c r="AX8" s="18">
        <f t="shared" si="17"/>
        <v>0</v>
      </c>
      <c r="AY8" s="18">
        <f t="shared" ca="1" si="4"/>
        <v>0</v>
      </c>
      <c r="AZ8" s="18">
        <f t="shared" ca="1" si="5"/>
        <v>107179.4645871774</v>
      </c>
      <c r="BA8" s="18">
        <f t="shared" ca="1" si="18"/>
        <v>21971.790240371367</v>
      </c>
      <c r="BB8" s="18">
        <f t="shared" ca="1" si="19"/>
        <v>1071.794645871774</v>
      </c>
      <c r="BC8" s="18">
        <f t="shared" ca="1" si="20"/>
        <v>-5358.9732293588704</v>
      </c>
      <c r="BD8" s="18">
        <f t="shared" ca="1" si="21"/>
        <v>124864.07624406167</v>
      </c>
      <c r="BL8" s="17">
        <v>6</v>
      </c>
      <c r="BM8" s="21">
        <v>3</v>
      </c>
      <c r="BN8" s="19">
        <v>0.08</v>
      </c>
    </row>
    <row r="9" spans="1:66" ht="39.950000000000003" customHeight="1" x14ac:dyDescent="0.25">
      <c r="A9" s="64"/>
      <c r="B9" s="49"/>
      <c r="C9" s="46"/>
      <c r="D9" s="61"/>
      <c r="E9" s="61"/>
      <c r="F9" s="61"/>
      <c r="G9" s="65"/>
      <c r="H9" s="61"/>
      <c r="I9" s="61"/>
      <c r="J9" s="61"/>
      <c r="K9" s="69"/>
      <c r="L9" s="70"/>
      <c r="M9" s="71"/>
      <c r="N9" s="61"/>
      <c r="O9" s="61"/>
      <c r="P9" s="61"/>
      <c r="Q9" s="61"/>
      <c r="R9" s="60"/>
      <c r="S9" s="55"/>
      <c r="T9" s="59"/>
      <c r="U9" s="63"/>
      <c r="V9" s="62"/>
      <c r="W9" s="51"/>
      <c r="X9" s="50"/>
      <c r="Y9" s="76"/>
      <c r="Z9" s="17" t="s">
        <v>22</v>
      </c>
      <c r="AA9" s="18">
        <f t="shared" ca="1" si="23"/>
        <v>17965.105882704087</v>
      </c>
      <c r="AB9" s="18">
        <f ca="1">COUNTIF(S1,"Ocak")*(AR29)
+COUNTIF(S1,"Şubat")*(AR30)
+COUNTIF(S1,"Mart")*(AR31)
+COUNTIF(S1,"Nisan")*(AR32)
+COUNTIF(S1,"Mayıs")*(AR33)
+COUNTIF(S1,"Haziran")*(AR34)
+COUNTIF(S1,"Temmuz")*(AR35)
+COUNTIF(S1,"Ağustos")*(AR36)
+COUNTIF(S1,"Eylül")*(AR37)
+COUNTIF(S1,"Ekim")*(AR38)
+COUNTIF(S1,"Kasım")*(AR39)
+COUNTIF(S1,"Aralık")*(AR40)
+COUNTIF(S1,"Yıllık Toplam")*(AR41)
+COUNTIF(S1,"Yıllık Ortalama")*(AR42)</f>
        <v>17965.105882704087</v>
      </c>
      <c r="AC9" s="22" t="s">
        <v>31</v>
      </c>
      <c r="AD9" s="18">
        <v>2421.36</v>
      </c>
      <c r="AE9" s="18">
        <f t="shared" si="6"/>
        <v>2864.2267440000005</v>
      </c>
      <c r="AF9" s="18">
        <v>3296.16</v>
      </c>
      <c r="AG9" s="18" t="s">
        <v>0</v>
      </c>
      <c r="AH9" s="17" t="s">
        <v>0</v>
      </c>
      <c r="AI9" s="18">
        <v>0</v>
      </c>
      <c r="AJ9" s="18">
        <v>0</v>
      </c>
      <c r="AK9" s="18">
        <f t="shared" si="1"/>
        <v>7800</v>
      </c>
      <c r="AL9" s="18">
        <f t="shared" ca="1" si="7"/>
        <v>7800</v>
      </c>
      <c r="AM9" s="18">
        <f t="shared" si="8"/>
        <v>7800</v>
      </c>
      <c r="AN9" s="18">
        <f t="shared" si="9"/>
        <v>7800</v>
      </c>
      <c r="AO9" s="18">
        <f t="shared" si="10"/>
        <v>0</v>
      </c>
      <c r="AP9" s="18">
        <f t="shared" si="11"/>
        <v>0</v>
      </c>
      <c r="AQ9" s="18">
        <f t="shared" si="12"/>
        <v>7800</v>
      </c>
      <c r="AR9" s="18">
        <f t="shared" si="24"/>
        <v>7800</v>
      </c>
      <c r="AS9" s="18">
        <f t="shared" si="13"/>
        <v>0</v>
      </c>
      <c r="AT9" s="18">
        <f t="shared" si="14"/>
        <v>0</v>
      </c>
      <c r="AU9" s="18">
        <f t="shared" si="15"/>
        <v>0</v>
      </c>
      <c r="AV9" s="18">
        <f t="shared" si="16"/>
        <v>7800</v>
      </c>
      <c r="AW9" s="18">
        <f t="shared" si="25"/>
        <v>7800</v>
      </c>
      <c r="AX9" s="18">
        <f t="shared" si="17"/>
        <v>0</v>
      </c>
      <c r="AY9" s="18">
        <f t="shared" ca="1" si="4"/>
        <v>0</v>
      </c>
      <c r="AZ9" s="18">
        <f t="shared" ca="1" si="5"/>
        <v>204731.75079717737</v>
      </c>
      <c r="BA9" s="18">
        <f t="shared" ca="1" si="18"/>
        <v>41970.008913421356</v>
      </c>
      <c r="BB9" s="18">
        <f t="shared" ca="1" si="19"/>
        <v>2047.3175079717737</v>
      </c>
      <c r="BC9" s="18">
        <f t="shared" ca="1" si="20"/>
        <v>-10236.587539858869</v>
      </c>
      <c r="BD9" s="18">
        <f t="shared" ca="1" si="21"/>
        <v>238512.48967871163</v>
      </c>
      <c r="BL9" s="17">
        <v>7</v>
      </c>
      <c r="BM9" s="21">
        <v>3.5</v>
      </c>
      <c r="BN9" s="19">
        <v>0.09</v>
      </c>
    </row>
    <row r="10" spans="1:66" ht="39.950000000000003" customHeight="1" x14ac:dyDescent="0.25">
      <c r="A10" s="64"/>
      <c r="B10" s="47" t="s">
        <v>110</v>
      </c>
      <c r="C10" s="44">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D10" s="61"/>
      <c r="E10" s="61"/>
      <c r="F10" s="61"/>
      <c r="G10" s="65"/>
      <c r="H10" s="61"/>
      <c r="I10" s="61"/>
      <c r="J10" s="61"/>
      <c r="K10" s="69"/>
      <c r="L10" s="70"/>
      <c r="M10" s="71"/>
      <c r="N10" s="61"/>
      <c r="O10" s="61"/>
      <c r="P10" s="61"/>
      <c r="Q10" s="61"/>
      <c r="R10" s="60"/>
      <c r="S10" s="55"/>
      <c r="T10" s="59"/>
      <c r="U10" s="63"/>
      <c r="V10" s="62"/>
      <c r="W10" s="51"/>
      <c r="X10" s="50"/>
      <c r="Y10" s="76"/>
      <c r="Z10" s="17" t="s">
        <v>7</v>
      </c>
      <c r="AA10" s="18">
        <f t="shared" ca="1" si="23"/>
        <v>4476.49275305627</v>
      </c>
      <c r="AB10" s="18">
        <f ca="1">COUNTIF(S1,"Ocak")*(AU29)
+COUNTIF(S1,"Şubat")*(AU30)
+COUNTIF(S1,"Mart")*(AU31)
+COUNTIF(S1,"Nisan")*(AU32)
+COUNTIF(S1,"Mayıs")*(AU33)
+COUNTIF(S1,"Haziran")*(AU34)
+COUNTIF(S1,"Temmuz")*(AU35)
+COUNTIF(S1,"Ağustos")*(AU36)
+COUNTIF(S1,"Eylül")*(AU37)
+COUNTIF(S1,"Ekim")*(AU38)
+COUNTIF(S1,"Kasım")*(AU39)
+COUNTIF(S1,"Aralık")*(AU40)
+COUNTIF(S1,"Yıllık Toplam")*(AU41)
+COUNTIF(S1,"Yıllık Ortalama")*(AU42)</f>
        <v>4476.49275305627</v>
      </c>
      <c r="AC10" s="19" t="s">
        <v>29</v>
      </c>
      <c r="AD10" s="18">
        <v>2253.21</v>
      </c>
      <c r="AE10" s="18">
        <f t="shared" si="6"/>
        <v>2665.3221090000002</v>
      </c>
      <c r="AF10" s="18">
        <v>3067.25</v>
      </c>
      <c r="AG10" s="18" t="s">
        <v>0</v>
      </c>
      <c r="AH10" s="17" t="s">
        <v>0</v>
      </c>
      <c r="AI10" s="18">
        <v>158</v>
      </c>
      <c r="AJ10" s="18">
        <v>158</v>
      </c>
      <c r="AK10" s="18">
        <f t="shared" si="1"/>
        <v>7800</v>
      </c>
      <c r="AL10" s="18">
        <f t="shared" ca="1" si="7"/>
        <v>7800</v>
      </c>
      <c r="AM10" s="18">
        <f t="shared" si="8"/>
        <v>7800</v>
      </c>
      <c r="AN10" s="18">
        <f t="shared" si="9"/>
        <v>7800</v>
      </c>
      <c r="AO10" s="18">
        <f t="shared" si="10"/>
        <v>0</v>
      </c>
      <c r="AP10" s="18">
        <f t="shared" si="11"/>
        <v>0</v>
      </c>
      <c r="AQ10" s="18">
        <f t="shared" si="12"/>
        <v>7800</v>
      </c>
      <c r="AR10" s="18">
        <f t="shared" si="24"/>
        <v>7800</v>
      </c>
      <c r="AS10" s="18">
        <f t="shared" si="13"/>
        <v>0</v>
      </c>
      <c r="AT10" s="18">
        <f t="shared" si="14"/>
        <v>0</v>
      </c>
      <c r="AU10" s="18">
        <f t="shared" si="15"/>
        <v>0</v>
      </c>
      <c r="AV10" s="18">
        <f t="shared" si="16"/>
        <v>7800</v>
      </c>
      <c r="AW10" s="18">
        <f t="shared" si="25"/>
        <v>7800</v>
      </c>
      <c r="AX10" s="18">
        <f t="shared" si="17"/>
        <v>0</v>
      </c>
      <c r="AY10" s="18">
        <f t="shared" ca="1" si="4"/>
        <v>0</v>
      </c>
      <c r="AZ10" s="18">
        <f t="shared" ca="1" si="5"/>
        <v>120197.14299717741</v>
      </c>
      <c r="BA10" s="18">
        <f t="shared" ca="1" si="18"/>
        <v>24640.414314421367</v>
      </c>
      <c r="BB10" s="18">
        <f t="shared" ca="1" si="19"/>
        <v>1201.9714299717741</v>
      </c>
      <c r="BC10" s="18">
        <f t="shared" ca="1" si="20"/>
        <v>-6009.8571498588708</v>
      </c>
      <c r="BD10" s="18">
        <f t="shared" ca="1" si="21"/>
        <v>140029.67159171167</v>
      </c>
      <c r="BL10" s="17">
        <v>8</v>
      </c>
      <c r="BM10" s="21">
        <v>4</v>
      </c>
      <c r="BN10" s="19">
        <v>0.1</v>
      </c>
    </row>
    <row r="11" spans="1:66" ht="39.950000000000003" customHeight="1" x14ac:dyDescent="0.25">
      <c r="A11" s="64"/>
      <c r="B11" s="48"/>
      <c r="C11" s="45"/>
      <c r="D11" s="61"/>
      <c r="E11" s="61"/>
      <c r="F11" s="61"/>
      <c r="G11" s="65"/>
      <c r="H11" s="61"/>
      <c r="I11" s="61"/>
      <c r="J11" s="61"/>
      <c r="K11" s="69"/>
      <c r="L11" s="70"/>
      <c r="M11" s="71"/>
      <c r="N11" s="61"/>
      <c r="O11" s="61"/>
      <c r="P11" s="61"/>
      <c r="Q11" s="61"/>
      <c r="R11" s="60"/>
      <c r="S11" s="55"/>
      <c r="T11" s="59"/>
      <c r="U11" s="63"/>
      <c r="V11" s="62"/>
      <c r="W11" s="51"/>
      <c r="X11" s="50"/>
      <c r="Y11" s="76"/>
      <c r="Z11" s="17" t="s">
        <v>33</v>
      </c>
      <c r="AA11" s="18">
        <f t="shared" ref="AA11:AA20" si="26">IF(AB11&gt;0,AB11,AB11*-1)</f>
        <v>0</v>
      </c>
      <c r="AB11" s="18">
        <f>COUNTIF(S1,"Ocak")*(AM29)
+COUNTIF(S1,"Şubat")*(AM30)
+COUNTIF(S1,"Mart")*(AM31)
+COUNTIF(S1,"Nisan")*(AM32)
+COUNTIF(S1,"Mayıs")*(AM33)
+COUNTIF(S1,"Haziran")*(AM34)
+COUNTIF(S1,"Temmuz")*(AM35)
+COUNTIF(S1,"Ağustos")*(AM36)
+COUNTIF(S1,"Eylül")*(AM37)
+COUNTIF(S1,"Ekim")*(AM38)
+COUNTIF(S1,"Kasım")*(AM39)
+COUNTIF(S1,"Aralık")*(AM40)
+COUNTIF(S1,"Yıllık Toplam")*(AM41)
+COUNTIF(S1,"Yıllık Ortalama")*(AM42)</f>
        <v>0</v>
      </c>
      <c r="AC11" s="19" t="s">
        <v>30</v>
      </c>
      <c r="AD11" s="18">
        <v>2152.3200000000002</v>
      </c>
      <c r="AE11" s="18">
        <f t="shared" si="6"/>
        <v>2545.9793280000004</v>
      </c>
      <c r="AF11" s="18">
        <v>2929.91</v>
      </c>
      <c r="AG11" s="18" t="s">
        <v>0</v>
      </c>
      <c r="AH11" s="17" t="s">
        <v>0</v>
      </c>
      <c r="AI11" s="18">
        <v>1000</v>
      </c>
      <c r="AJ11" s="18">
        <v>1000</v>
      </c>
      <c r="AK11" s="18">
        <f t="shared" si="1"/>
        <v>7800</v>
      </c>
      <c r="AL11" s="18">
        <f t="shared" ca="1" si="7"/>
        <v>7800</v>
      </c>
      <c r="AM11" s="18">
        <f t="shared" si="8"/>
        <v>7800</v>
      </c>
      <c r="AN11" s="18">
        <f t="shared" si="9"/>
        <v>7800</v>
      </c>
      <c r="AO11" s="18">
        <f t="shared" si="10"/>
        <v>0</v>
      </c>
      <c r="AP11" s="18">
        <f t="shared" si="11"/>
        <v>0</v>
      </c>
      <c r="AQ11" s="18">
        <f t="shared" si="12"/>
        <v>7800</v>
      </c>
      <c r="AR11" s="18">
        <f t="shared" si="24"/>
        <v>7800</v>
      </c>
      <c r="AS11" s="18">
        <f t="shared" si="13"/>
        <v>0</v>
      </c>
      <c r="AT11" s="18">
        <f t="shared" si="14"/>
        <v>0</v>
      </c>
      <c r="AU11" s="18">
        <f t="shared" si="15"/>
        <v>0</v>
      </c>
      <c r="AV11" s="18">
        <f t="shared" si="16"/>
        <v>7800</v>
      </c>
      <c r="AW11" s="18">
        <f t="shared" si="25"/>
        <v>7800</v>
      </c>
      <c r="AX11" s="18">
        <f t="shared" si="17"/>
        <v>0</v>
      </c>
      <c r="AY11" s="18">
        <f t="shared" ca="1" si="4"/>
        <v>0</v>
      </c>
      <c r="AZ11" s="18">
        <f t="shared" ca="1" si="5"/>
        <v>116992.55299717741</v>
      </c>
      <c r="BA11" s="18">
        <f t="shared" ca="1" si="18"/>
        <v>23983.473364421367</v>
      </c>
      <c r="BB11" s="18">
        <f t="shared" ca="1" si="19"/>
        <v>1169.925529971774</v>
      </c>
      <c r="BC11" s="18">
        <f t="shared" ca="1" si="20"/>
        <v>-5849.6276498588704</v>
      </c>
      <c r="BD11" s="18">
        <f t="shared" ca="1" si="21"/>
        <v>136296.3242417117</v>
      </c>
      <c r="BL11" s="17">
        <v>9</v>
      </c>
      <c r="BM11" s="21">
        <v>4.5</v>
      </c>
      <c r="BN11" s="19">
        <v>0.11</v>
      </c>
    </row>
    <row r="12" spans="1:66" ht="39.950000000000003" customHeight="1" x14ac:dyDescent="0.25">
      <c r="A12" s="64"/>
      <c r="B12" s="48"/>
      <c r="C12" s="45"/>
      <c r="D12" s="61"/>
      <c r="E12" s="61"/>
      <c r="F12" s="61"/>
      <c r="G12" s="65"/>
      <c r="H12" s="61"/>
      <c r="I12" s="61"/>
      <c r="J12" s="61"/>
      <c r="K12" s="69"/>
      <c r="L12" s="70"/>
      <c r="M12" s="71"/>
      <c r="N12" s="61"/>
      <c r="O12" s="61"/>
      <c r="P12" s="61"/>
      <c r="Q12" s="61"/>
      <c r="R12" s="60"/>
      <c r="S12" s="55"/>
      <c r="T12" s="59"/>
      <c r="U12" s="63"/>
      <c r="V12" s="62"/>
      <c r="W12" s="51"/>
      <c r="X12" s="50"/>
      <c r="Y12" s="76"/>
      <c r="Z12" s="17" t="s">
        <v>34</v>
      </c>
      <c r="AA12" s="18">
        <f t="shared" si="26"/>
        <v>2567.5912005000005</v>
      </c>
      <c r="AB12" s="18">
        <f>COUNTIF(S1,"Ocak")*(AO29)*-1
+COUNTIF(S1,"Şubat")*(AO30)*-1
+COUNTIF(S1,"Mart")*(AO31)*-1
+COUNTIF(S1,"Nisan")*(AO32)*-1
+COUNTIF(S1,"Mayıs")*(AO33)*-1
+COUNTIF(S1,"Haziran")*(AO34)*-1
+COUNTIF(S1,"Temmuz")*(AO35)*-1
+COUNTIF(S1,"Ağustos")*(AO36)*-1
+COUNTIF(S1,"Eylül")*(AO37)*-1
+COUNTIF(S1,"Ekim")*(AO38)*-1
+COUNTIF(S1,"Kasım")*(AO39)*-1
+COUNTIF(S1,"Aralık")*(AO40)*-1
+COUNTIF(S1,"Yıllık Toplam")*(AO41)*-1
+COUNTIF(S1,"Yıllık Ortalama")*(AO42)*-1</f>
        <v>2567.5912005000005</v>
      </c>
      <c r="AC12" s="22" t="s">
        <v>32</v>
      </c>
      <c r="AD12" s="18">
        <v>2152.3200000000002</v>
      </c>
      <c r="AE12" s="18">
        <f t="shared" si="6"/>
        <v>2545.9793280000004</v>
      </c>
      <c r="AF12" s="18">
        <v>2929.91</v>
      </c>
      <c r="AG12" s="18" t="s">
        <v>0</v>
      </c>
      <c r="AH12" s="17" t="s">
        <v>0</v>
      </c>
      <c r="AI12" s="18">
        <v>1000</v>
      </c>
      <c r="AJ12" s="18">
        <v>1000</v>
      </c>
      <c r="AK12" s="18">
        <f t="shared" si="1"/>
        <v>7800</v>
      </c>
      <c r="AL12" s="18">
        <f t="shared" ca="1" si="7"/>
        <v>7800</v>
      </c>
      <c r="AM12" s="18">
        <f t="shared" si="8"/>
        <v>7800</v>
      </c>
      <c r="AN12" s="18">
        <f t="shared" si="9"/>
        <v>7800</v>
      </c>
      <c r="AO12" s="18">
        <f t="shared" si="10"/>
        <v>0</v>
      </c>
      <c r="AP12" s="18">
        <f t="shared" si="11"/>
        <v>0</v>
      </c>
      <c r="AQ12" s="18">
        <f t="shared" si="12"/>
        <v>7800</v>
      </c>
      <c r="AR12" s="18">
        <f t="shared" si="24"/>
        <v>7800</v>
      </c>
      <c r="AS12" s="18">
        <f t="shared" si="13"/>
        <v>0</v>
      </c>
      <c r="AT12" s="18">
        <f t="shared" si="14"/>
        <v>0</v>
      </c>
      <c r="AU12" s="18">
        <f t="shared" si="15"/>
        <v>0</v>
      </c>
      <c r="AV12" s="18">
        <f t="shared" si="16"/>
        <v>7800</v>
      </c>
      <c r="AW12" s="18">
        <f t="shared" si="25"/>
        <v>7800</v>
      </c>
      <c r="AX12" s="18">
        <f t="shared" si="17"/>
        <v>0</v>
      </c>
      <c r="AY12" s="18">
        <f t="shared" ca="1" si="4"/>
        <v>0</v>
      </c>
      <c r="AZ12" s="18">
        <f t="shared" ca="1" si="5"/>
        <v>216334.84299717739</v>
      </c>
      <c r="BA12" s="18">
        <f t="shared" ca="1" si="18"/>
        <v>44348.642814421364</v>
      </c>
      <c r="BB12" s="18">
        <f t="shared" ca="1" si="19"/>
        <v>2163.3484299717738</v>
      </c>
      <c r="BC12" s="18">
        <f t="shared" ca="1" si="20"/>
        <v>-10816.74214985887</v>
      </c>
      <c r="BD12" s="18">
        <f t="shared" ca="1" si="21"/>
        <v>252030.09209171162</v>
      </c>
      <c r="BL12" s="17">
        <v>10</v>
      </c>
      <c r="BM12" s="21">
        <v>5</v>
      </c>
      <c r="BN12" s="19">
        <v>0.12</v>
      </c>
    </row>
    <row r="13" spans="1:66" ht="39.950000000000003" customHeight="1" x14ac:dyDescent="0.25">
      <c r="A13" s="64"/>
      <c r="B13" s="48"/>
      <c r="C13" s="45"/>
      <c r="D13" s="61"/>
      <c r="E13" s="61"/>
      <c r="F13" s="61"/>
      <c r="G13" s="65"/>
      <c r="H13" s="61"/>
      <c r="I13" s="61"/>
      <c r="J13" s="61"/>
      <c r="K13" s="69"/>
      <c r="L13" s="70"/>
      <c r="M13" s="71"/>
      <c r="N13" s="61"/>
      <c r="O13" s="61"/>
      <c r="P13" s="61"/>
      <c r="Q13" s="61"/>
      <c r="R13" s="60"/>
      <c r="S13" s="55"/>
      <c r="T13" s="59"/>
      <c r="U13" s="63"/>
      <c r="V13" s="62"/>
      <c r="W13" s="51"/>
      <c r="X13" s="50"/>
      <c r="Y13" s="76"/>
      <c r="Z13" s="17" t="s">
        <v>19</v>
      </c>
      <c r="AA13" s="18">
        <f t="shared" ca="1" si="26"/>
        <v>0</v>
      </c>
      <c r="AB13" s="18">
        <f ca="1">COUNTIF(S1,"Ocak")*(AX29)*-1
+COUNTIF(S1,"Şubat")*(AX30)*-1
+COUNTIF(S1,"Mart")*(AX31)*-1
+COUNTIF(S1,"Nisan")*(AX32)*-1
+COUNTIF(S1,"Mayıs")*(AX33)*-1
+COUNTIF(S1,"Haziran")*(AX34)*-1
+COUNTIF(S1,"Temmuz")*(AX35)*-1
+COUNTIF(S1,"Ağustos")*(AX36)*-1
+COUNTIF(S1,"Eylül")*(AX37)*-1
+COUNTIF(S1,"Ekim")*(AX38)*-1
+COUNTIF(S1,"Kasım")*(AX39)*-1
+COUNTIF(S1,"Aralık")*(AX40)*-1
+COUNTIF(S1,"Yıllık Toplam")*(AX41)*-1
+COUNTIF(S1,"Yıllık Ortalama")*(AX42)*-1</f>
        <v>0</v>
      </c>
      <c r="AC13" s="22" t="s">
        <v>54</v>
      </c>
      <c r="AD13" s="18">
        <v>2152.3200000000002</v>
      </c>
      <c r="AE13" s="18">
        <f t="shared" si="6"/>
        <v>2545.9793280000004</v>
      </c>
      <c r="AF13" s="18">
        <v>2929.91</v>
      </c>
      <c r="AG13" s="20">
        <f>(23.65%)</f>
        <v>0.23649999999999999</v>
      </c>
      <c r="AH13" s="17" t="s">
        <v>0</v>
      </c>
      <c r="AI13" s="18">
        <v>300</v>
      </c>
      <c r="AJ13" s="18">
        <v>300</v>
      </c>
      <c r="AK13" s="18">
        <f>(AK1+AK2+AK3+AK4+AK5+AK6+AK7+AK8+AK9+AK10+AK11+AK12)</f>
        <v>91200</v>
      </c>
      <c r="AL13" s="18">
        <f ca="1">(AL1+AL2+AL3+AL4+AL5+AL6+AL7+AL8+AL9+AL10+AL11+AL12)</f>
        <v>91200</v>
      </c>
      <c r="AM13" s="18">
        <f t="shared" ref="AM13:AY13" si="27">(AM1+AM2+AM3+AM4+AM5+AM6+AM7+AM8+AM9+AM10+AM11+AM12)</f>
        <v>91200</v>
      </c>
      <c r="AN13" s="18">
        <f t="shared" ref="AN13" si="28">(AN1+AN2+AN3+AN4+AN5+AN6+AN7+AN8+AN9+AN10+AN11+AN12)</f>
        <v>91200</v>
      </c>
      <c r="AO13" s="18">
        <f t="shared" si="27"/>
        <v>0</v>
      </c>
      <c r="AP13" s="18">
        <f t="shared" si="27"/>
        <v>0</v>
      </c>
      <c r="AQ13" s="18">
        <f t="shared" ref="AQ13" si="29">(AQ1+AQ2+AQ3+AQ4+AQ5+AQ6+AQ7+AQ8+AQ9+AQ10+AQ11+AQ12)</f>
        <v>91200</v>
      </c>
      <c r="AR13" s="18">
        <f t="shared" si="27"/>
        <v>91200</v>
      </c>
      <c r="AS13" s="18">
        <f t="shared" si="27"/>
        <v>0</v>
      </c>
      <c r="AT13" s="18">
        <f t="shared" si="27"/>
        <v>0</v>
      </c>
      <c r="AU13" s="18">
        <f t="shared" si="27"/>
        <v>0</v>
      </c>
      <c r="AV13" s="18">
        <f t="shared" ref="AV13" si="30">(AV1+AV2+AV3+AV4+AV5+AV6+AV7+AV8+AV9+AV10+AV11+AV12)</f>
        <v>91200</v>
      </c>
      <c r="AW13" s="18">
        <f t="shared" si="27"/>
        <v>91200</v>
      </c>
      <c r="AX13" s="18">
        <f t="shared" si="27"/>
        <v>0</v>
      </c>
      <c r="AY13" s="18">
        <f t="shared" ca="1" si="27"/>
        <v>0</v>
      </c>
      <c r="AZ13" s="18">
        <f t="shared" ref="AZ13" ca="1" si="31">(AZ1+AZ2+AZ3+AZ4+AZ5+AZ6+AZ7+AZ8+AZ9+AZ10+AZ11+AZ12)</f>
        <v>1622821.5016598338</v>
      </c>
      <c r="BA13" s="18">
        <f t="shared" ref="BA13" ca="1" si="32">(BA1+BA2+BA3+BA4+BA5+BA6+BA7+BA8+BA9+BA10+BA11+BA12)</f>
        <v>332678.40784026595</v>
      </c>
      <c r="BB13" s="18">
        <f t="shared" ref="BB13" ca="1" si="33">(BB1+BB2+BB3+BB4+BB5+BB6+BB7+BB8+BB9+BB10+BB11+BB12)</f>
        <v>16228.215016598337</v>
      </c>
      <c r="BC13" s="18">
        <f t="shared" ref="BC13" ca="1" si="34">(BC1+BC2+BC3+BC4+BC5+BC6+BC7+BC8+BC9+BC10+BC11+BC12)</f>
        <v>-81141.075082991694</v>
      </c>
      <c r="BD13" s="18">
        <f t="shared" ref="BD13" ca="1" si="35">(BD1+BD2+BD3+BD4+BD5+BD6+BD7+BD8+BD9+BD10+BD11+BD12)</f>
        <v>1890587.0494337066</v>
      </c>
      <c r="BL13" s="17">
        <v>11</v>
      </c>
      <c r="BM13" s="21">
        <v>5.5</v>
      </c>
      <c r="BN13" s="19">
        <v>0.13</v>
      </c>
    </row>
    <row r="14" spans="1:66" ht="39.950000000000003" customHeight="1" x14ac:dyDescent="0.25">
      <c r="A14" s="64"/>
      <c r="B14" s="49"/>
      <c r="C14" s="46"/>
      <c r="D14" s="61"/>
      <c r="E14" s="61"/>
      <c r="F14" s="61"/>
      <c r="G14" s="65"/>
      <c r="H14" s="61"/>
      <c r="I14" s="61"/>
      <c r="J14" s="61"/>
      <c r="K14" s="72"/>
      <c r="L14" s="73"/>
      <c r="M14" s="74"/>
      <c r="N14" s="61"/>
      <c r="O14" s="61"/>
      <c r="P14" s="61"/>
      <c r="Q14" s="61"/>
      <c r="R14" s="60"/>
      <c r="S14" s="55"/>
      <c r="T14" s="59"/>
      <c r="U14" s="63"/>
      <c r="V14" s="62"/>
      <c r="W14" s="51"/>
      <c r="X14" s="50"/>
      <c r="Y14" s="76"/>
      <c r="Z14" s="17" t="s">
        <v>20</v>
      </c>
      <c r="AA14" s="18">
        <f t="shared" ca="1" si="26"/>
        <v>718.05289979984491</v>
      </c>
      <c r="AB14" s="18">
        <f ca="1">COUNTIF(S1,"Ocak")*(AN59)*-1
+COUNTIF(S1,"Şubat")*(AN60)*-1
+COUNTIF(S1,"Mart")*(AN61)*-1
+COUNTIF(S1,"Nisan")*(AN62)*-1
+COUNTIF(S1,"Mayıs")*(AN63)*-1
+COUNTIF(S1,"Haziran")*(AN64)*-1
+COUNTIF(S1,"Temmuz")*(AN65)*-1
+COUNTIF(S1,"Ağustos")*(AN66)*-1
+COUNTIF(S1,"Eylül")*(AN67)*-1
+COUNTIF(S1,"Ekim")*(AN68)*-1
+COUNTIF(S1,"Kasım")*(AN69)*-1
+COUNTIF(S1,"Aralık")*(AN70)*-1
+COUNTIF(S1,"Yıllık Toplam")*(AN71)*-1
+COUNTIF(S1,"Yıllık Ortalama")*(AN72)*-1</f>
        <v>718.05289979984491</v>
      </c>
      <c r="AE14" s="17" t="s">
        <v>1</v>
      </c>
      <c r="AF14" s="17" t="s">
        <v>73</v>
      </c>
      <c r="AG14" s="18" t="s">
        <v>0</v>
      </c>
      <c r="AH14" s="17" t="s">
        <v>0</v>
      </c>
      <c r="AI14" s="18">
        <v>300</v>
      </c>
      <c r="AJ14" s="18">
        <v>300</v>
      </c>
      <c r="AK14" s="18">
        <f>(AK13/12)</f>
        <v>7600</v>
      </c>
      <c r="AL14" s="18">
        <f ca="1">(AL13/12)</f>
        <v>7600</v>
      </c>
      <c r="AM14" s="18">
        <f t="shared" ref="AM14:AY14" si="36">(AM13/12)</f>
        <v>7600</v>
      </c>
      <c r="AN14" s="18">
        <f t="shared" ref="AN14" si="37">(AN13/12)</f>
        <v>7600</v>
      </c>
      <c r="AO14" s="18">
        <f t="shared" si="36"/>
        <v>0</v>
      </c>
      <c r="AP14" s="18">
        <f t="shared" si="36"/>
        <v>0</v>
      </c>
      <c r="AQ14" s="18">
        <f t="shared" ref="AQ14" si="38">(AQ13/12)</f>
        <v>7600</v>
      </c>
      <c r="AR14" s="18">
        <f t="shared" si="36"/>
        <v>7600</v>
      </c>
      <c r="AS14" s="18">
        <f t="shared" si="36"/>
        <v>0</v>
      </c>
      <c r="AT14" s="18">
        <f t="shared" si="36"/>
        <v>0</v>
      </c>
      <c r="AU14" s="18">
        <f t="shared" si="36"/>
        <v>0</v>
      </c>
      <c r="AV14" s="18">
        <f t="shared" ref="AV14" si="39">(AV13/12)</f>
        <v>7600</v>
      </c>
      <c r="AW14" s="18">
        <f t="shared" si="36"/>
        <v>7600</v>
      </c>
      <c r="AX14" s="18">
        <f t="shared" si="36"/>
        <v>0</v>
      </c>
      <c r="AY14" s="18">
        <f t="shared" ca="1" si="36"/>
        <v>0</v>
      </c>
      <c r="AZ14" s="18">
        <f t="shared" ref="AZ14" ca="1" si="40">(AZ13/12)</f>
        <v>135235.12513831948</v>
      </c>
      <c r="BA14" s="18">
        <f t="shared" ref="BA14" ca="1" si="41">(BA13/12)</f>
        <v>27723.200653355496</v>
      </c>
      <c r="BB14" s="18">
        <f t="shared" ref="BB14" ca="1" si="42">(BB13/12)</f>
        <v>1352.3512513831947</v>
      </c>
      <c r="BC14" s="18">
        <f t="shared" ref="BC14" ca="1" si="43">(BC13/12)</f>
        <v>-6761.7562569159745</v>
      </c>
      <c r="BD14" s="18">
        <f t="shared" ref="BD14" ca="1" si="44">(BD13/12)</f>
        <v>157548.9207861422</v>
      </c>
      <c r="BL14" s="17">
        <v>12</v>
      </c>
      <c r="BM14" s="21">
        <v>6</v>
      </c>
      <c r="BN14" s="19">
        <v>0.14000000000000001</v>
      </c>
    </row>
    <row r="15" spans="1:66" ht="39.950000000000003" customHeight="1" x14ac:dyDescent="0.25">
      <c r="A15" s="3">
        <f t="shared" ref="A15:A26" ca="1" si="45">(AZ59)</f>
        <v>0.15</v>
      </c>
      <c r="B15" s="42" t="s">
        <v>90</v>
      </c>
      <c r="C15" s="43"/>
      <c r="D15" s="13">
        <v>0</v>
      </c>
      <c r="E15" s="14">
        <v>0</v>
      </c>
      <c r="F15" s="14">
        <v>0</v>
      </c>
      <c r="G15" s="14">
        <v>0</v>
      </c>
      <c r="H15" s="14">
        <v>0</v>
      </c>
      <c r="I15" s="13">
        <v>24</v>
      </c>
      <c r="J15" s="13">
        <v>30</v>
      </c>
      <c r="K15" s="15" t="s">
        <v>1</v>
      </c>
      <c r="L15" s="15" t="s">
        <v>1</v>
      </c>
      <c r="M15" s="15" t="s">
        <v>1</v>
      </c>
      <c r="N15" s="16">
        <v>0</v>
      </c>
      <c r="O15" s="16" t="s">
        <v>1</v>
      </c>
      <c r="P15" s="4">
        <f t="shared" ref="P15:P26" ca="1" si="46">(AK59+AO29+AV29+AN59+AR59+AS59+BB59-Q15)</f>
        <v>61967.883932635727</v>
      </c>
      <c r="Q15" s="4">
        <f t="shared" ref="Q15:Q26" ca="1" si="47">(AY15+BA15+BC15+BE15+AL1+AW29)</f>
        <v>7200</v>
      </c>
      <c r="R15" s="5">
        <f ca="1">(P15+Q15)</f>
        <v>69167.883932635727</v>
      </c>
      <c r="S15" s="55"/>
      <c r="T15" s="59"/>
      <c r="U15" s="63"/>
      <c r="V15" s="62"/>
      <c r="W15" s="51"/>
      <c r="X15" s="50"/>
      <c r="Y15" s="76"/>
      <c r="Z15" s="17" t="s">
        <v>4</v>
      </c>
      <c r="AA15" s="18">
        <f t="shared" ca="1" si="26"/>
        <v>17868.917519364732</v>
      </c>
      <c r="AB15" s="18">
        <f ca="1">COUNTIF(S1,"Ocak")*(AR59)*-1
+COUNTIF(S1,"Şubat")*(AR60)*-1
+COUNTIF(S1,"Mart")*(AR61)*-1
+COUNTIF(S1,"Nisan")*(AR62)*-1
+COUNTIF(S1,"Mayıs")*(AR63)*-1
+COUNTIF(S1,"Haziran")*(AR64)*-1
+COUNTIF(S1,"Temmuz")*(AR65)*-1
+COUNTIF(S1,"Ağustos")*(AR66)*-1
+COUNTIF(S1,"Eylül")*(AR67)*-1
+COUNTIF(S1,"Ekim")*(AR68)*-1
+COUNTIF(S1,"Kasım")*(AR69)*-1
+COUNTIF(S1,"Aralık")*(AR70)*-1
+COUNTIF(S1,"Yıllık Toplam")*(AR71)*-1
+COUNTIF(S1,"Yıllık Ortalama")*(AR72)*-1</f>
        <v>17868.917519364732</v>
      </c>
      <c r="AE15" s="22" t="s">
        <v>49</v>
      </c>
      <c r="AF15" s="23">
        <v>2209.5100000000002</v>
      </c>
      <c r="AK15" s="24">
        <v>46023</v>
      </c>
      <c r="AL15" s="25">
        <f t="shared" ref="AL15:AL26" si="48">EOMONTH(AK15,0)</f>
        <v>46053</v>
      </c>
      <c r="AM15" s="26">
        <f>COUNTIF($A$1,"Amir")*(DAY(AL15))
+COUNTIF($A$1,"Gişe")*(DAY(AL15))
+COUNTIF($A$1,"Çıma")*(DAY(AL15))
+COUNTIF($A$1,"Ustabaşı")*(DAY(AL15))
+COUNTIF($A$1,"İtfaiye Amiri")*(DAY(AL15))
+COUNTIF($A$1,"Usta")*(DAY(AL15))
+COUNTIF($A$1,"Vinç Operatörü")*(DAY(AL15))
+COUNTIF($A$1,"Forklift Operatörü")*(DAY(AL15))
+COUNTIF($A$1,"İtfaiyeci")*(DAY(AL15))
+COUNTIF($A$1,"Usta Yardımcısı")*(DAY(AL15))
+COUNTIF($A$1,"Gemi Havuzlama Personeli")*(DAY(AL15))
+COUNTIF($A$1,"Yakıt Yağ ve Atık Personeli")*(DAY(AL15))
+COUNTIF($A$1,"Tersane Saha Personeli")*(DAY(AL15))</f>
        <v>31</v>
      </c>
      <c r="AN15" s="26">
        <f>NETWORKDAYS.INTL(AK15,AL15,11)</f>
        <v>27</v>
      </c>
      <c r="AO15" s="26">
        <f>(AM15-AN15)</f>
        <v>4</v>
      </c>
      <c r="AP15" s="18">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2354.1</v>
      </c>
      <c r="AQ15" s="18">
        <f t="shared" ref="AQ15:AQ26" ca="1" si="49">(AP15*BK15)</f>
        <v>1682.9696309999999</v>
      </c>
      <c r="AR15" s="18">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2354.1</v>
      </c>
      <c r="AS15" s="18">
        <f t="shared" ref="AS15:AS26" ca="1" si="50">(AR15*BK15+BD29/30+AY44/30)</f>
        <v>1831.7038876666668</v>
      </c>
      <c r="AT15" s="27">
        <f t="shared" ref="AT15:AT26" si="51">(AP15*AM15)</f>
        <v>72977.099999999991</v>
      </c>
      <c r="AU15" s="18">
        <f t="shared" ref="AU15:AU26" ca="1" si="52">(AT15*BK15)</f>
        <v>52172.058560999998</v>
      </c>
      <c r="AV15" s="18">
        <f t="shared" ref="AV15:AV26" si="53">(75*D15)</f>
        <v>0</v>
      </c>
      <c r="AW15" s="18">
        <f t="shared" ref="AW15:AW26" ca="1" si="54">(AV15*BK15)</f>
        <v>0</v>
      </c>
      <c r="AX15" s="18">
        <f t="shared" ref="AX15:AX26" si="55">(AP15/7.5*1.6*E15)</f>
        <v>0</v>
      </c>
      <c r="AY15" s="18">
        <f t="shared" ref="AY15:AY26" ca="1" si="56">(AX15*BK15)</f>
        <v>0</v>
      </c>
      <c r="AZ15" s="18">
        <f t="shared" ref="AZ15:AZ26" si="57">(AP15/7.5*1.3*F15)</f>
        <v>0</v>
      </c>
      <c r="BA15" s="18">
        <f t="shared" ref="BA15:BA26" ca="1" si="58">(AZ15*BK15)</f>
        <v>0</v>
      </c>
      <c r="BB15" s="18">
        <f t="shared" ref="BB15:BB26" si="59">(AP15/7.5*2*G15)</f>
        <v>0</v>
      </c>
      <c r="BC15" s="18">
        <f t="shared" ref="BC15:BC26" ca="1" si="60">(BB15*BK15)</f>
        <v>0</v>
      </c>
      <c r="BD15" s="18">
        <f t="shared" ref="BD15:BD26" si="61">(AP15/7.5*0.15*H15)</f>
        <v>0</v>
      </c>
      <c r="BE15" s="18">
        <f t="shared" ref="BE15:BE26" ca="1" si="62">(BD15*BK15)</f>
        <v>0</v>
      </c>
      <c r="BF15" s="18">
        <f t="shared" ref="BF15:BF26" ca="1" si="63">(BG15/BK15/30*J15)</f>
        <v>3843.840483417493</v>
      </c>
      <c r="BG15" s="18">
        <f>(2748/30*J15)</f>
        <v>2748</v>
      </c>
      <c r="BH15" s="28">
        <v>10</v>
      </c>
      <c r="BI15" s="18">
        <f t="shared" ref="BI15:BI26" si="64">(AP15*BH15)</f>
        <v>23541</v>
      </c>
      <c r="BJ15" s="29">
        <f>(100+(100*0.00759*-1)+(100*0.14*-1)+(100*0.01*-1))/100</f>
        <v>0.84240999999999999</v>
      </c>
      <c r="BK15" s="29">
        <f t="shared" ref="BK15:BK26" ca="1" si="65">(100+(100*0.00759*-1)+(100*0.14*-1)+(100*0.01*-1)+(100+100*0.14*-1+100*0.01*-1)*AZ59*-1)/100</f>
        <v>0.71491000000000005</v>
      </c>
      <c r="BL15" s="17">
        <v>13</v>
      </c>
      <c r="BM15" s="21">
        <v>6.5</v>
      </c>
      <c r="BN15" s="19">
        <v>0.15</v>
      </c>
    </row>
    <row r="16" spans="1:66" ht="39.950000000000003" customHeight="1" x14ac:dyDescent="0.25">
      <c r="A16" s="3">
        <f t="shared" ca="1" si="45"/>
        <v>0.15</v>
      </c>
      <c r="B16" s="42" t="s">
        <v>91</v>
      </c>
      <c r="C16" s="43"/>
      <c r="D16" s="13">
        <v>0</v>
      </c>
      <c r="E16" s="14">
        <v>0</v>
      </c>
      <c r="F16" s="14">
        <v>0</v>
      </c>
      <c r="G16" s="14">
        <v>0</v>
      </c>
      <c r="H16" s="14">
        <v>0</v>
      </c>
      <c r="I16" s="13">
        <v>24</v>
      </c>
      <c r="J16" s="13">
        <v>30</v>
      </c>
      <c r="K16" s="15" t="s">
        <v>1</v>
      </c>
      <c r="L16" s="15" t="s">
        <v>1</v>
      </c>
      <c r="M16" s="15" t="s">
        <v>1</v>
      </c>
      <c r="N16" s="16">
        <v>0</v>
      </c>
      <c r="O16" s="16" t="s">
        <v>1</v>
      </c>
      <c r="P16" s="4">
        <f t="shared" ca="1" si="46"/>
        <v>57193.976424624765</v>
      </c>
      <c r="Q16" s="4">
        <f t="shared" ca="1" si="47"/>
        <v>7200</v>
      </c>
      <c r="R16" s="5">
        <f t="shared" ref="R16:R26" ca="1" si="66">(P16+Q16)</f>
        <v>64393.976424624765</v>
      </c>
      <c r="S16" s="55"/>
      <c r="T16" s="59"/>
      <c r="U16" s="63"/>
      <c r="V16" s="62"/>
      <c r="W16" s="51"/>
      <c r="X16" s="50"/>
      <c r="Y16" s="76"/>
      <c r="Z16" s="17" t="s">
        <v>5</v>
      </c>
      <c r="AA16" s="18">
        <f t="shared" ca="1" si="26"/>
        <v>1276.3512513831947</v>
      </c>
      <c r="AB16" s="18">
        <f ca="1">COUNTIF(S1,"Ocak")*(AS59)*-1
+COUNTIF(S1,"Şubat")*(AS60)*-1
+COUNTIF(S1,"Mart")*(AS61)*-1
+COUNTIF(S1,"Nisan")*(AS62)*-1
+COUNTIF(S1,"Mayıs")*(AS63)*-1
+COUNTIF(S1,"Haziran")*(AS64)*-1
+COUNTIF(S1,"Temmuz")*(AS65)*-1
+COUNTIF(S1,"Ağustos")*(AS66)*-1
+COUNTIF(S1,"Eylül")*(AS67)*-1
+COUNTIF(S1,"Ekim")*(AS68)*-1
+COUNTIF(S1,"Kasım")*(AS69)*-1
+COUNTIF(S1,"Aralık")*(AS70)*-1
+COUNTIF(S1,"Yıllık Toplam")*(AS71)*-1
+COUNTIF(S1,"Yıllık Ortalama")*(AS72)*-1</f>
        <v>1276.3512513831947</v>
      </c>
      <c r="AE16" s="22" t="s">
        <v>59</v>
      </c>
      <c r="AF16" s="23">
        <v>5070.24</v>
      </c>
      <c r="AG16" s="30">
        <f>(2273)</f>
        <v>2273</v>
      </c>
      <c r="AH16" s="17" t="s">
        <v>0</v>
      </c>
      <c r="AI16" s="18">
        <f>($AG$29*$AG$16)</f>
        <v>3154.6307830000001</v>
      </c>
      <c r="AJ16" s="18">
        <f>($AH$29*$AG$16)</f>
        <v>3581.1387760000002</v>
      </c>
      <c r="AK16" s="25">
        <f>(AL15+1)</f>
        <v>46054</v>
      </c>
      <c r="AL16" s="25">
        <f t="shared" si="48"/>
        <v>46081</v>
      </c>
      <c r="AM16" s="26">
        <f t="shared" ref="AM16:AM26" si="67">COUNTIF($A$1,"Amir")*(DAY(AL16))
+COUNTIF($A$1,"Gişe")*(DAY(AL16))
+COUNTIF($A$1,"Çıma")*(DAY(AL16))
+COUNTIF($A$1,"Ustabaşı")*(DAY(AL16))
+COUNTIF($A$1,"İtfaiye Amiri")*(DAY(AL16))
+COUNTIF($A$1,"Usta")*(DAY(AL16))
+COUNTIF($A$1,"Vinç Operatörü")*(DAY(AL16))
+COUNTIF($A$1,"Forklift Operatörü")*(DAY(AL16))
+COUNTIF($A$1,"İtfaiyeci")*(DAY(AL16))
+COUNTIF($A$1,"Usta Yardımcısı")*(DAY(AL16))
+COUNTIF($A$1,"Gemi Havuzlama Personeli")*(DAY(AL16))
+COUNTIF($A$1,"Yakıt Yağ ve Atık Personeli")*(DAY(AL16))
+COUNTIF($A$1,"Tersane Saha Personeli")*(DAY(AL16))</f>
        <v>28</v>
      </c>
      <c r="AN16" s="26">
        <f t="shared" ref="AN16:AN26" si="68">NETWORKDAYS.INTL(AK16,AL16,11)</f>
        <v>24</v>
      </c>
      <c r="AO16" s="26">
        <f t="shared" ref="AO16:AO26" si="69">(AM16-AN16)</f>
        <v>4</v>
      </c>
      <c r="AP16" s="18">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2354.1</v>
      </c>
      <c r="AQ16" s="18">
        <f t="shared" ca="1" si="49"/>
        <v>1682.9696309999999</v>
      </c>
      <c r="AR16" s="18">
        <f>COUNTIF($A$1,"Amir")*($AD$1)
+COUNTIF($A$1,"Gişe")*($AD$2)
+COUNTIF($A$1,"Çıma")*($AD$3)
+COUNTIF($A$1,"Ustabaşı")*($AD$4)
+COUNTIF($A$1,"İtfaiye Amiri")*($AD$5)
+COUNTIF($A$1,"Usta")*($AD$6)
+COUNTIF($A$1,"Vinç Operatörü")*($AD$7)
+COUNTIF($A$1,"Forklift Operatörü")*($AD$8)
+COUNTIF($A$1,"İtfaiyeci")*($AD$9)
+COUNTIF($A$1,"Usta Yardımcısı")*($AD$10)
+COUNTIF($A$1,"Gemi Havuzlama Personeli")*($AD$11)
+COUNTIF($A$1,"Yakıt Yağ ve Atık Personeli")*($AD$12)
+COUNTIF($A$1,"Tersane Saha Personeli")*($AD$13)</f>
        <v>2354.1</v>
      </c>
      <c r="AS16" s="18">
        <f t="shared" ca="1" si="50"/>
        <v>1831.7038876666668</v>
      </c>
      <c r="AT16" s="27">
        <f t="shared" si="51"/>
        <v>65914.8</v>
      </c>
      <c r="AU16" s="18">
        <f t="shared" ca="1" si="52"/>
        <v>47123.149668000005</v>
      </c>
      <c r="AV16" s="18">
        <f t="shared" si="53"/>
        <v>0</v>
      </c>
      <c r="AW16" s="18">
        <f t="shared" ca="1" si="54"/>
        <v>0</v>
      </c>
      <c r="AX16" s="18">
        <f t="shared" si="55"/>
        <v>0</v>
      </c>
      <c r="AY16" s="18">
        <f t="shared" ca="1" si="56"/>
        <v>0</v>
      </c>
      <c r="AZ16" s="18">
        <f t="shared" si="57"/>
        <v>0</v>
      </c>
      <c r="BA16" s="18">
        <f t="shared" ca="1" si="58"/>
        <v>0</v>
      </c>
      <c r="BB16" s="18">
        <f t="shared" si="59"/>
        <v>0</v>
      </c>
      <c r="BC16" s="18">
        <f t="shared" ca="1" si="60"/>
        <v>0</v>
      </c>
      <c r="BD16" s="18">
        <f t="shared" si="61"/>
        <v>0</v>
      </c>
      <c r="BE16" s="18">
        <f t="shared" ca="1" si="62"/>
        <v>0</v>
      </c>
      <c r="BF16" s="18">
        <f t="shared" ca="1" si="63"/>
        <v>4228.5042872529402</v>
      </c>
      <c r="BG16" s="18">
        <f>(2748/30*15+3298/30*15)</f>
        <v>3023</v>
      </c>
      <c r="BH16" s="28">
        <v>10</v>
      </c>
      <c r="BI16" s="18">
        <f t="shared" si="64"/>
        <v>23541</v>
      </c>
      <c r="BJ16" s="29">
        <f t="shared" ref="BJ16:BJ26" si="70">(100+(100*0.00759*-1)+(100*0.14*-1)+(100*0.01*-1))/100</f>
        <v>0.84240999999999999</v>
      </c>
      <c r="BK16" s="29">
        <f t="shared" ca="1" si="65"/>
        <v>0.71491000000000005</v>
      </c>
      <c r="BL16" s="17">
        <v>14</v>
      </c>
      <c r="BM16" s="21">
        <v>7</v>
      </c>
      <c r="BN16" s="19">
        <v>0.16</v>
      </c>
    </row>
    <row r="17" spans="1:66" ht="39.950000000000003" customHeight="1" x14ac:dyDescent="0.25">
      <c r="A17" s="3">
        <f t="shared" ca="1" si="45"/>
        <v>0.17965060734238567</v>
      </c>
      <c r="B17" s="42" t="s">
        <v>92</v>
      </c>
      <c r="C17" s="43"/>
      <c r="D17" s="13">
        <v>0</v>
      </c>
      <c r="E17" s="14">
        <v>0</v>
      </c>
      <c r="F17" s="14">
        <v>0</v>
      </c>
      <c r="G17" s="14">
        <v>0</v>
      </c>
      <c r="H17" s="14">
        <v>0</v>
      </c>
      <c r="I17" s="13">
        <v>24</v>
      </c>
      <c r="J17" s="13">
        <v>30</v>
      </c>
      <c r="K17" s="15" t="s">
        <v>1</v>
      </c>
      <c r="L17" s="15" t="s">
        <v>1</v>
      </c>
      <c r="M17" s="15" t="s">
        <v>1</v>
      </c>
      <c r="N17" s="16">
        <v>0</v>
      </c>
      <c r="O17" s="16" t="s">
        <v>1</v>
      </c>
      <c r="P17" s="4">
        <f t="shared" ca="1" si="46"/>
        <v>121843.00338154685</v>
      </c>
      <c r="Q17" s="4">
        <f t="shared" ca="1" si="47"/>
        <v>7200</v>
      </c>
      <c r="R17" s="5">
        <f t="shared" ca="1" si="66"/>
        <v>129043.00338154685</v>
      </c>
      <c r="S17" s="55"/>
      <c r="T17" s="59"/>
      <c r="U17" s="63"/>
      <c r="V17" s="62"/>
      <c r="W17" s="51"/>
      <c r="X17" s="50"/>
      <c r="Y17" s="76"/>
      <c r="Z17" s="17" t="s">
        <v>21</v>
      </c>
      <c r="AA17" s="18">
        <f t="shared" ca="1" si="26"/>
        <v>20650.575833333336</v>
      </c>
      <c r="AB17" s="18">
        <f ca="1">COUNTIF(S1,"Ocak")*(BB59)*-1
+COUNTIF(S1,"Şubat")*(BB60)*-1
+COUNTIF(S1,"Mart")*(BB61)*-1
+COUNTIF(S1,"Nisan")*(BB62)*-1
+COUNTIF(S1,"Mayıs")*(BB63)*-1
+COUNTIF(S1,"Haziran")*(BB64)*-1
+COUNTIF(S1,"Temmuz")*(BB65)*-1
+COUNTIF(S1,"Ağustos")*(BB66)*-1
+COUNTIF(S1,"Eylül")*(BB67)*-1
+COUNTIF(S1,"Ekim")*(BB68)*-1
+COUNTIF(S1,"Kasım")*(BB69)*-1
+COUNTIF(S1,"Aralık")*(BB70)*-1
+COUNTIF(S1,"Yıllık Toplam")*(BB71)*-1
+COUNTIF(S1,"Yıllık Ortalama")*(BB72)*-1</f>
        <v>20650.575833333336</v>
      </c>
      <c r="AE17" s="22" t="s">
        <v>60</v>
      </c>
      <c r="AF17" s="23">
        <v>5070.24</v>
      </c>
      <c r="AG17" s="30">
        <f>(250)</f>
        <v>250</v>
      </c>
      <c r="AH17" s="17" t="s">
        <v>0</v>
      </c>
      <c r="AI17" s="18">
        <f>($AG$29*$AG$17*2)</f>
        <v>693.93550000000005</v>
      </c>
      <c r="AJ17" s="18">
        <f>($AH$29*$AG$17*2)</f>
        <v>787.75599999999997</v>
      </c>
      <c r="AK17" s="25">
        <f t="shared" ref="AK17:AK26" si="71">(AL16+1)</f>
        <v>46082</v>
      </c>
      <c r="AL17" s="25">
        <f t="shared" si="48"/>
        <v>46112</v>
      </c>
      <c r="AM17" s="26">
        <f t="shared" si="67"/>
        <v>31</v>
      </c>
      <c r="AN17" s="26">
        <f t="shared" si="68"/>
        <v>26</v>
      </c>
      <c r="AO17" s="26">
        <f t="shared" si="69"/>
        <v>5</v>
      </c>
      <c r="AP17" s="18">
        <f t="shared" ref="AP17:AP22" si="72">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2784.66489</v>
      </c>
      <c r="AQ17" s="18">
        <f t="shared" ca="1" si="49"/>
        <v>1920.6028220614098</v>
      </c>
      <c r="AR17" s="18">
        <f t="shared" ref="AR17:AR22" si="73">COUNTIF($A$1,"Amir")*($AE$1)
+COUNTIF($A$1,"Gişe")*($AE$2)
+COUNTIF($A$1,"Çıma")*($AE$3)
+COUNTIF($A$1,"Ustabaşı")*($AE$4)
+COUNTIF($A$1,"İtfaiye Amiri")*($AE$5)
+COUNTIF($A$1,"Usta")*($AE$6)
+COUNTIF($A$1,"Vinç Operatörü")*($AE$7)
+COUNTIF($A$1,"Forklift Operatörü")*($AE$8)
+COUNTIF($A$1,"İtfaiyeci")*($AE$9)
+COUNTIF($A$1,"Usta Yardımcısı")*($AE$10)
+COUNTIF($A$1,"Gemi Havuzlama Personeli")*($AE$11)
+COUNTIF($A$1,"Yakıt Yağ ve Atık Personeli")*($AE$12)
+COUNTIF($A$1,"Tersane Saha Personeli")*($AE$13)</f>
        <v>2784.66489</v>
      </c>
      <c r="AS17" s="18">
        <f t="shared" ca="1" si="50"/>
        <v>2069.3370787280764</v>
      </c>
      <c r="AT17" s="27">
        <f t="shared" si="51"/>
        <v>86324.61159</v>
      </c>
      <c r="AU17" s="18">
        <f t="shared" ca="1" si="52"/>
        <v>59538.687483903705</v>
      </c>
      <c r="AV17" s="18">
        <f t="shared" si="53"/>
        <v>0</v>
      </c>
      <c r="AW17" s="18">
        <f t="shared" ca="1" si="54"/>
        <v>0</v>
      </c>
      <c r="AX17" s="18">
        <f t="shared" si="55"/>
        <v>0</v>
      </c>
      <c r="AY17" s="18">
        <f t="shared" ca="1" si="56"/>
        <v>0</v>
      </c>
      <c r="AZ17" s="18">
        <f t="shared" si="57"/>
        <v>0</v>
      </c>
      <c r="BA17" s="18">
        <f t="shared" ca="1" si="58"/>
        <v>0</v>
      </c>
      <c r="BB17" s="18">
        <f t="shared" si="59"/>
        <v>0</v>
      </c>
      <c r="BC17" s="18">
        <f t="shared" ca="1" si="60"/>
        <v>0</v>
      </c>
      <c r="BD17" s="18">
        <f t="shared" si="61"/>
        <v>0</v>
      </c>
      <c r="BE17" s="18">
        <f t="shared" ca="1" si="62"/>
        <v>0</v>
      </c>
      <c r="BF17" s="18">
        <f t="shared" ca="1" si="63"/>
        <v>4781.740764789085</v>
      </c>
      <c r="BG17" s="18">
        <f>3298/30*J17</f>
        <v>3298</v>
      </c>
      <c r="BH17" s="28">
        <v>10</v>
      </c>
      <c r="BI17" s="18">
        <f t="shared" si="64"/>
        <v>27846.6489</v>
      </c>
      <c r="BJ17" s="29">
        <f t="shared" si="70"/>
        <v>0.84240999999999999</v>
      </c>
      <c r="BK17" s="29">
        <f t="shared" ca="1" si="65"/>
        <v>0.6897069837589721</v>
      </c>
      <c r="BL17" s="17">
        <v>15</v>
      </c>
      <c r="BM17" s="21">
        <v>7.5</v>
      </c>
      <c r="BN17" s="19">
        <v>0.17</v>
      </c>
    </row>
    <row r="18" spans="1:66" ht="39.950000000000003" customHeight="1" x14ac:dyDescent="0.25">
      <c r="A18" s="3">
        <f t="shared" ca="1" si="45"/>
        <v>0.2</v>
      </c>
      <c r="B18" s="42" t="s">
        <v>93</v>
      </c>
      <c r="C18" s="43"/>
      <c r="D18" s="13">
        <v>0</v>
      </c>
      <c r="E18" s="14">
        <v>0</v>
      </c>
      <c r="F18" s="14">
        <v>0</v>
      </c>
      <c r="G18" s="14">
        <v>0</v>
      </c>
      <c r="H18" s="14">
        <v>0</v>
      </c>
      <c r="I18" s="13">
        <v>24</v>
      </c>
      <c r="J18" s="13">
        <v>30</v>
      </c>
      <c r="K18" s="15" t="s">
        <v>1</v>
      </c>
      <c r="L18" s="15" t="s">
        <v>1</v>
      </c>
      <c r="M18" s="15" t="s">
        <v>1</v>
      </c>
      <c r="N18" s="16">
        <v>0</v>
      </c>
      <c r="O18" s="16" t="s">
        <v>1</v>
      </c>
      <c r="P18" s="4">
        <f t="shared" ca="1" si="46"/>
        <v>66726.181228854344</v>
      </c>
      <c r="Q18" s="4">
        <f t="shared" ca="1" si="47"/>
        <v>7200</v>
      </c>
      <c r="R18" s="5">
        <f t="shared" ca="1" si="66"/>
        <v>73926.181228854344</v>
      </c>
      <c r="S18" s="55"/>
      <c r="T18" s="59"/>
      <c r="U18" s="63"/>
      <c r="V18" s="62"/>
      <c r="W18" s="51"/>
      <c r="X18" s="50"/>
      <c r="Y18" s="76"/>
      <c r="Z18" s="17" t="s">
        <v>70</v>
      </c>
      <c r="AA18" s="18">
        <f t="shared" ca="1" si="26"/>
        <v>157548.9207861422</v>
      </c>
      <c r="AB18" s="18">
        <f ca="1">COUNTIF(S1,"Ocak")*(BD1)
+COUNTIF(S1,"Şubat")*(BD2)
+COUNTIF(S1,"Mart")*(BD3)
+COUNTIF(S1,"Nisan")*(BD4)
+COUNTIF(S1,"Mayıs")*(BD5)
+COUNTIF(S1,"Haziran")*(BD6)
+COUNTIF(S1,"Temmuz")*(BD7)
+COUNTIF(S1,"Ağustos")*(BD8)
+COUNTIF(S1,"Eylül")*(BD9)
+COUNTIF(S1,"Ekim")*(BD10)
+COUNTIF(S1,"Kasım")*(BD11)
+COUNTIF(S1,"Aralık")*(BD12)
+COUNTIF(S1,"Yıllık Toplam")*(BD13)
+COUNTIF(S1,"Yıllık Ortalama")*(BD14)</f>
        <v>157548.9207861422</v>
      </c>
      <c r="AE18" s="22" t="s">
        <v>61</v>
      </c>
      <c r="AF18" s="23">
        <v>23258</v>
      </c>
      <c r="AG18" s="30">
        <f>(AG17)</f>
        <v>250</v>
      </c>
      <c r="AH18" s="17" t="s">
        <v>0</v>
      </c>
      <c r="AI18" s="18">
        <f>($AG$29*$AG$18)</f>
        <v>346.96775000000002</v>
      </c>
      <c r="AJ18" s="18">
        <f>($AH$29*$AG$18)</f>
        <v>393.87799999999999</v>
      </c>
      <c r="AK18" s="25">
        <f t="shared" si="71"/>
        <v>46113</v>
      </c>
      <c r="AL18" s="25">
        <f t="shared" si="48"/>
        <v>46142</v>
      </c>
      <c r="AM18" s="26">
        <f t="shared" si="67"/>
        <v>30</v>
      </c>
      <c r="AN18" s="26">
        <f t="shared" si="68"/>
        <v>26</v>
      </c>
      <c r="AO18" s="26">
        <f t="shared" si="69"/>
        <v>4</v>
      </c>
      <c r="AP18" s="18">
        <f t="shared" si="72"/>
        <v>2784.66489</v>
      </c>
      <c r="AQ18" s="18">
        <f t="shared" ca="1" si="49"/>
        <v>1872.4365186849</v>
      </c>
      <c r="AR18" s="18">
        <f t="shared" si="73"/>
        <v>2784.66489</v>
      </c>
      <c r="AS18" s="18">
        <f t="shared" ca="1" si="50"/>
        <v>2021.1707753515668</v>
      </c>
      <c r="AT18" s="27">
        <f t="shared" si="51"/>
        <v>83539.9467</v>
      </c>
      <c r="AU18" s="18">
        <f t="shared" ca="1" si="52"/>
        <v>56173.095560546994</v>
      </c>
      <c r="AV18" s="18">
        <f t="shared" si="53"/>
        <v>0</v>
      </c>
      <c r="AW18" s="18">
        <f t="shared" ca="1" si="54"/>
        <v>0</v>
      </c>
      <c r="AX18" s="18">
        <f t="shared" si="55"/>
        <v>0</v>
      </c>
      <c r="AY18" s="18">
        <f t="shared" ca="1" si="56"/>
        <v>0</v>
      </c>
      <c r="AZ18" s="18">
        <f t="shared" si="57"/>
        <v>0</v>
      </c>
      <c r="BA18" s="18">
        <f t="shared" ca="1" si="58"/>
        <v>0</v>
      </c>
      <c r="BB18" s="18">
        <f t="shared" si="59"/>
        <v>0</v>
      </c>
      <c r="BC18" s="18">
        <f t="shared" ca="1" si="60"/>
        <v>0</v>
      </c>
      <c r="BD18" s="18">
        <f t="shared" si="61"/>
        <v>0</v>
      </c>
      <c r="BE18" s="18">
        <f t="shared" ca="1" si="62"/>
        <v>0</v>
      </c>
      <c r="BF18" s="18">
        <f t="shared" ca="1" si="63"/>
        <v>4904.7456165137346</v>
      </c>
      <c r="BG18" s="18">
        <f>3298/30*J18</f>
        <v>3298</v>
      </c>
      <c r="BH18" s="28">
        <v>10</v>
      </c>
      <c r="BI18" s="18">
        <f t="shared" si="64"/>
        <v>27846.6489</v>
      </c>
      <c r="BJ18" s="29">
        <f t="shared" si="70"/>
        <v>0.84240999999999999</v>
      </c>
      <c r="BK18" s="29">
        <f t="shared" ca="1" si="65"/>
        <v>0.67240999999999995</v>
      </c>
      <c r="BL18" s="17">
        <v>16</v>
      </c>
      <c r="BM18" s="21">
        <v>8</v>
      </c>
      <c r="BN18" s="19">
        <v>0.18</v>
      </c>
    </row>
    <row r="19" spans="1:66" ht="39.950000000000003" customHeight="1" x14ac:dyDescent="0.25">
      <c r="A19" s="3">
        <f t="shared" ca="1" si="45"/>
        <v>0.23084492118973338</v>
      </c>
      <c r="B19" s="42" t="s">
        <v>94</v>
      </c>
      <c r="C19" s="43"/>
      <c r="D19" s="13">
        <v>0</v>
      </c>
      <c r="E19" s="14">
        <v>0</v>
      </c>
      <c r="F19" s="14">
        <v>0</v>
      </c>
      <c r="G19" s="14">
        <v>0</v>
      </c>
      <c r="H19" s="14">
        <v>0</v>
      </c>
      <c r="I19" s="13">
        <v>26</v>
      </c>
      <c r="J19" s="13">
        <v>30</v>
      </c>
      <c r="K19" s="15" t="s">
        <v>1</v>
      </c>
      <c r="L19" s="15" t="s">
        <v>1</v>
      </c>
      <c r="M19" s="15" t="s">
        <v>1</v>
      </c>
      <c r="N19" s="16">
        <v>0</v>
      </c>
      <c r="O19" s="16" t="s">
        <v>1</v>
      </c>
      <c r="P19" s="4">
        <f t="shared" ca="1" si="46"/>
        <v>66225.562124360396</v>
      </c>
      <c r="Q19" s="4">
        <f t="shared" ca="1" si="47"/>
        <v>7800</v>
      </c>
      <c r="R19" s="5">
        <f t="shared" ca="1" si="66"/>
        <v>74025.562124360396</v>
      </c>
      <c r="S19" s="55"/>
      <c r="T19" s="59"/>
      <c r="U19" s="63"/>
      <c r="V19" s="62"/>
      <c r="W19" s="51"/>
      <c r="X19" s="50"/>
      <c r="Y19" s="76"/>
      <c r="Z19" s="22" t="s">
        <v>39</v>
      </c>
      <c r="AA19" s="18">
        <f t="shared" ca="1" si="26"/>
        <v>92153.636433938402</v>
      </c>
      <c r="AB19" s="18">
        <f ca="1">COUNTIF(S1,"Ocak")*R15
+COUNTIF(S1,"Şubat")*R16
+COUNTIF(S1,"Mart")*R17
+COUNTIF(S1,"Nisan")*R18
+COUNTIF(S1,"Mayıs")*R19
+COUNTIF(S1,"Haziran")*R20
+COUNTIF(S1,"Temmuz")*R21
+COUNTIF(S1,"Ağustos")*R22
+COUNTIF(S1,"Eylül")*R23
+COUNTIF(S1,"Ekim")*R24
+COUNTIF(S1,"Kasım")*R25
+COUNTIF(S1,"Aralık")*R26
+COUNTIF(S1,"Yıllık Toplam")*(R27)*-1
+COUNTIF(S1,"Yıllık Ortalama")*(R28)*-1</f>
        <v>-92153.636433938402</v>
      </c>
      <c r="AE19" s="22" t="s">
        <v>62</v>
      </c>
      <c r="AF19" s="23">
        <v>23258</v>
      </c>
      <c r="AG19" s="22">
        <f>(1.5)</f>
        <v>1.5</v>
      </c>
      <c r="AH19" s="17" t="s">
        <v>0</v>
      </c>
      <c r="AI19" s="18">
        <f>($AI$17*$AG$19)</f>
        <v>1040.9032500000001</v>
      </c>
      <c r="AJ19" s="18">
        <f>($AJ$17*$AG$19)</f>
        <v>1181.634</v>
      </c>
      <c r="AK19" s="25">
        <f t="shared" si="71"/>
        <v>46143</v>
      </c>
      <c r="AL19" s="25">
        <f t="shared" si="48"/>
        <v>46173</v>
      </c>
      <c r="AM19" s="26">
        <f t="shared" si="67"/>
        <v>31</v>
      </c>
      <c r="AN19" s="26">
        <f t="shared" si="68"/>
        <v>26</v>
      </c>
      <c r="AO19" s="26">
        <f t="shared" si="69"/>
        <v>5</v>
      </c>
      <c r="AP19" s="18">
        <f t="shared" si="72"/>
        <v>2784.66489</v>
      </c>
      <c r="AQ19" s="18">
        <f t="shared" ca="1" si="49"/>
        <v>1799.4276649738126</v>
      </c>
      <c r="AR19" s="18">
        <f t="shared" si="73"/>
        <v>2784.66489</v>
      </c>
      <c r="AS19" s="18">
        <f t="shared" ca="1" si="50"/>
        <v>1948.1619216404795</v>
      </c>
      <c r="AT19" s="27">
        <f t="shared" si="51"/>
        <v>86324.61159</v>
      </c>
      <c r="AU19" s="18">
        <f t="shared" ca="1" si="52"/>
        <v>55782.257614188187</v>
      </c>
      <c r="AV19" s="18">
        <f t="shared" si="53"/>
        <v>0</v>
      </c>
      <c r="AW19" s="18">
        <f t="shared" ca="1" si="54"/>
        <v>0</v>
      </c>
      <c r="AX19" s="18">
        <f t="shared" si="55"/>
        <v>0</v>
      </c>
      <c r="AY19" s="18">
        <f t="shared" ca="1" si="56"/>
        <v>0</v>
      </c>
      <c r="AZ19" s="18">
        <f t="shared" si="57"/>
        <v>0</v>
      </c>
      <c r="BA19" s="18">
        <f t="shared" ca="1" si="58"/>
        <v>0</v>
      </c>
      <c r="BB19" s="18">
        <f t="shared" si="59"/>
        <v>0</v>
      </c>
      <c r="BC19" s="18">
        <f t="shared" ca="1" si="60"/>
        <v>0</v>
      </c>
      <c r="BD19" s="18">
        <f t="shared" si="61"/>
        <v>0</v>
      </c>
      <c r="BE19" s="18">
        <f t="shared" ca="1" si="62"/>
        <v>0</v>
      </c>
      <c r="BF19" s="18">
        <f t="shared" ca="1" si="63"/>
        <v>5103.747700440992</v>
      </c>
      <c r="BG19" s="18">
        <f>3298/30*J19</f>
        <v>3298</v>
      </c>
      <c r="BH19" s="28">
        <v>10</v>
      </c>
      <c r="BI19" s="18">
        <f t="shared" si="64"/>
        <v>27846.6489</v>
      </c>
      <c r="BJ19" s="29">
        <f t="shared" si="70"/>
        <v>0.84240999999999999</v>
      </c>
      <c r="BK19" s="29">
        <f t="shared" ca="1" si="65"/>
        <v>0.64619181698872663</v>
      </c>
      <c r="BL19" s="17">
        <v>17</v>
      </c>
      <c r="BM19" s="21">
        <v>8.5</v>
      </c>
      <c r="BN19" s="19">
        <v>0.19</v>
      </c>
    </row>
    <row r="20" spans="1:66" ht="39.950000000000003" customHeight="1" x14ac:dyDescent="0.25">
      <c r="A20" s="3">
        <f t="shared" ca="1" si="45"/>
        <v>0.27</v>
      </c>
      <c r="B20" s="42" t="s">
        <v>95</v>
      </c>
      <c r="C20" s="43"/>
      <c r="D20" s="13">
        <v>0</v>
      </c>
      <c r="E20" s="14">
        <v>0</v>
      </c>
      <c r="F20" s="14">
        <v>0</v>
      </c>
      <c r="G20" s="14">
        <v>0</v>
      </c>
      <c r="H20" s="14">
        <v>0</v>
      </c>
      <c r="I20" s="13">
        <v>26</v>
      </c>
      <c r="J20" s="13">
        <v>30</v>
      </c>
      <c r="K20" s="15" t="s">
        <v>1</v>
      </c>
      <c r="L20" s="15" t="s">
        <v>1</v>
      </c>
      <c r="M20" s="15" t="s">
        <v>1</v>
      </c>
      <c r="N20" s="16">
        <v>0</v>
      </c>
      <c r="O20" s="16" t="s">
        <v>1</v>
      </c>
      <c r="P20" s="4">
        <f t="shared" ca="1" si="46"/>
        <v>112708.89474559965</v>
      </c>
      <c r="Q20" s="4">
        <f t="shared" ca="1" si="47"/>
        <v>7800</v>
      </c>
      <c r="R20" s="5">
        <f t="shared" ca="1" si="66"/>
        <v>120508.89474559965</v>
      </c>
      <c r="S20" s="55"/>
      <c r="T20" s="59"/>
      <c r="U20" s="63"/>
      <c r="V20" s="62"/>
      <c r="W20" s="51"/>
      <c r="X20" s="50"/>
      <c r="Y20" s="76"/>
      <c r="Z20" s="22" t="s">
        <v>40</v>
      </c>
      <c r="AA20" s="18">
        <f t="shared" ca="1" si="26"/>
        <v>43081.488704381074</v>
      </c>
      <c r="AB20" s="18">
        <f ca="1">COUNTIF(S1,"Ocak")*(AK59-R15)
+COUNTIF(S1,"Şubat")*(AK60-R16)
+COUNTIF(S1,"Mart")*(AK61-R17)
+COUNTIF(S1,"Nisan")*(AK62-R18)
+COUNTIF(S1,"Mayıs")*(AK63-R19)
+COUNTIF(S1,"Haziran")*(AK64-R20)
+COUNTIF(S1,"Temmuz")*(AK65-R21)
+COUNTIF(S1,"Ağustos")*(AK66-R22)
+COUNTIF(S1,"Eylül")*(AK67-R23)
+COUNTIF(S1,"Ekim")*(AK68-R24)
+COUNTIF(S1,"Kasım")*(AK69-R25)
+COUNTIF(S1,"Aralık")*(AK70-R26)
+COUNTIF(S1,"Yıllık Toplam")*(AK71-R27)*-1
+COUNTIF(S1,"Yıllık Ortalama")*(AK72-R28)*-1</f>
        <v>-43081.488704381074</v>
      </c>
      <c r="AE20" s="22" t="s">
        <v>2</v>
      </c>
      <c r="AF20" s="23">
        <v>13954.8</v>
      </c>
      <c r="AG20" s="17" t="s">
        <v>0</v>
      </c>
      <c r="AH20" s="17" t="s">
        <v>0</v>
      </c>
      <c r="AI20" s="18">
        <f>($AI$19/2)</f>
        <v>520.45162500000004</v>
      </c>
      <c r="AJ20" s="18">
        <f>($AJ$19/2)</f>
        <v>590.81700000000001</v>
      </c>
      <c r="AK20" s="25">
        <f t="shared" si="71"/>
        <v>46174</v>
      </c>
      <c r="AL20" s="25">
        <f t="shared" si="48"/>
        <v>46203</v>
      </c>
      <c r="AM20" s="26">
        <f t="shared" si="67"/>
        <v>30</v>
      </c>
      <c r="AN20" s="26">
        <f t="shared" si="68"/>
        <v>26</v>
      </c>
      <c r="AO20" s="26">
        <f t="shared" si="69"/>
        <v>4</v>
      </c>
      <c r="AP20" s="18">
        <f t="shared" si="72"/>
        <v>2784.66489</v>
      </c>
      <c r="AQ20" s="18">
        <f t="shared" ca="1" si="49"/>
        <v>1706.7489577299</v>
      </c>
      <c r="AR20" s="18">
        <f t="shared" si="73"/>
        <v>2784.66489</v>
      </c>
      <c r="AS20" s="18">
        <f t="shared" ca="1" si="50"/>
        <v>1855.4832143965668</v>
      </c>
      <c r="AT20" s="27">
        <f t="shared" si="51"/>
        <v>83539.9467</v>
      </c>
      <c r="AU20" s="18">
        <f t="shared" ca="1" si="52"/>
        <v>51202.468731896995</v>
      </c>
      <c r="AV20" s="18">
        <f t="shared" si="53"/>
        <v>0</v>
      </c>
      <c r="AW20" s="18">
        <f t="shared" ca="1" si="54"/>
        <v>0</v>
      </c>
      <c r="AX20" s="18">
        <f t="shared" si="55"/>
        <v>0</v>
      </c>
      <c r="AY20" s="18">
        <f t="shared" ca="1" si="56"/>
        <v>0</v>
      </c>
      <c r="AZ20" s="18">
        <f t="shared" si="57"/>
        <v>0</v>
      </c>
      <c r="BA20" s="18">
        <f t="shared" ca="1" si="58"/>
        <v>0</v>
      </c>
      <c r="BB20" s="18">
        <f t="shared" si="59"/>
        <v>0</v>
      </c>
      <c r="BC20" s="18">
        <f t="shared" ca="1" si="60"/>
        <v>0</v>
      </c>
      <c r="BD20" s="18">
        <f t="shared" si="61"/>
        <v>0</v>
      </c>
      <c r="BE20" s="18">
        <f t="shared" ca="1" si="62"/>
        <v>0</v>
      </c>
      <c r="BF20" s="18">
        <f t="shared" ca="1" si="63"/>
        <v>5380.8878954495767</v>
      </c>
      <c r="BG20" s="18">
        <f>3298/30*J20</f>
        <v>3298</v>
      </c>
      <c r="BH20" s="28">
        <v>10</v>
      </c>
      <c r="BI20" s="18">
        <f t="shared" si="64"/>
        <v>27846.6489</v>
      </c>
      <c r="BJ20" s="29">
        <f t="shared" si="70"/>
        <v>0.84240999999999999</v>
      </c>
      <c r="BK20" s="29">
        <f t="shared" ca="1" si="65"/>
        <v>0.61290999999999995</v>
      </c>
      <c r="BL20" s="17">
        <v>18</v>
      </c>
      <c r="BM20" s="21">
        <v>9</v>
      </c>
      <c r="BN20" s="19">
        <v>0.2</v>
      </c>
    </row>
    <row r="21" spans="1:66" ht="39.950000000000003" customHeight="1" x14ac:dyDescent="0.25">
      <c r="A21" s="3">
        <f t="shared" ca="1" si="45"/>
        <v>0.27</v>
      </c>
      <c r="B21" s="42" t="s">
        <v>96</v>
      </c>
      <c r="C21" s="43"/>
      <c r="D21" s="13">
        <v>0</v>
      </c>
      <c r="E21" s="14">
        <v>0</v>
      </c>
      <c r="F21" s="14">
        <v>0</v>
      </c>
      <c r="G21" s="14">
        <v>0</v>
      </c>
      <c r="H21" s="14">
        <v>0</v>
      </c>
      <c r="I21" s="13">
        <v>26</v>
      </c>
      <c r="J21" s="13">
        <v>30</v>
      </c>
      <c r="K21" s="15" t="s">
        <v>1</v>
      </c>
      <c r="L21" s="15" t="s">
        <v>1</v>
      </c>
      <c r="M21" s="15" t="s">
        <v>1</v>
      </c>
      <c r="N21" s="16">
        <v>0</v>
      </c>
      <c r="O21" s="16" t="s">
        <v>1</v>
      </c>
      <c r="P21" s="4">
        <f t="shared" ca="1" si="46"/>
        <v>63660.595426847984</v>
      </c>
      <c r="Q21" s="4">
        <f t="shared" ca="1" si="47"/>
        <v>7800</v>
      </c>
      <c r="R21" s="5">
        <f t="shared" ca="1" si="66"/>
        <v>71460.595426847984</v>
      </c>
      <c r="S21" s="55"/>
      <c r="T21" s="59"/>
      <c r="U21" s="63"/>
      <c r="V21" s="62"/>
      <c r="W21" s="51"/>
      <c r="X21" s="50"/>
      <c r="Y21" s="76"/>
      <c r="Z21" s="31" t="s">
        <v>11</v>
      </c>
      <c r="AA21" s="31" t="s">
        <v>72</v>
      </c>
      <c r="AB21" s="31"/>
      <c r="AE21" s="22" t="s">
        <v>65</v>
      </c>
      <c r="AF21" s="23">
        <v>3363.11</v>
      </c>
      <c r="AK21" s="25">
        <f t="shared" si="71"/>
        <v>46204</v>
      </c>
      <c r="AL21" s="25">
        <f t="shared" si="48"/>
        <v>46234</v>
      </c>
      <c r="AM21" s="26">
        <f t="shared" si="67"/>
        <v>31</v>
      </c>
      <c r="AN21" s="26">
        <f t="shared" si="68"/>
        <v>27</v>
      </c>
      <c r="AO21" s="26">
        <f t="shared" si="69"/>
        <v>4</v>
      </c>
      <c r="AP21" s="18">
        <f t="shared" si="72"/>
        <v>2784.66489</v>
      </c>
      <c r="AQ21" s="18">
        <f t="shared" ca="1" si="49"/>
        <v>1706.7489577299</v>
      </c>
      <c r="AR21" s="18">
        <f t="shared" si="73"/>
        <v>2784.66489</v>
      </c>
      <c r="AS21" s="18">
        <f t="shared" ca="1" si="50"/>
        <v>1866.3638810632333</v>
      </c>
      <c r="AT21" s="27">
        <f t="shared" si="51"/>
        <v>86324.61159</v>
      </c>
      <c r="AU21" s="18">
        <f t="shared" ca="1" si="52"/>
        <v>52909.217689626894</v>
      </c>
      <c r="AV21" s="18">
        <f t="shared" si="53"/>
        <v>0</v>
      </c>
      <c r="AW21" s="18">
        <f t="shared" ca="1" si="54"/>
        <v>0</v>
      </c>
      <c r="AX21" s="18">
        <f t="shared" si="55"/>
        <v>0</v>
      </c>
      <c r="AY21" s="18">
        <f t="shared" ca="1" si="56"/>
        <v>0</v>
      </c>
      <c r="AZ21" s="18">
        <f t="shared" si="57"/>
        <v>0</v>
      </c>
      <c r="BA21" s="18">
        <f t="shared" ca="1" si="58"/>
        <v>0</v>
      </c>
      <c r="BB21" s="18">
        <f t="shared" si="59"/>
        <v>0</v>
      </c>
      <c r="BC21" s="18">
        <f t="shared" ca="1" si="60"/>
        <v>0</v>
      </c>
      <c r="BD21" s="18">
        <f t="shared" si="61"/>
        <v>0</v>
      </c>
      <c r="BE21" s="18">
        <f t="shared" ca="1" si="62"/>
        <v>0</v>
      </c>
      <c r="BF21" s="18">
        <f t="shared" ca="1" si="63"/>
        <v>5578.3067660831121</v>
      </c>
      <c r="BG21" s="18">
        <f>(3298/30*19+3628/30*11)</f>
        <v>3419</v>
      </c>
      <c r="BH21" s="28">
        <v>10</v>
      </c>
      <c r="BI21" s="18">
        <f t="shared" si="64"/>
        <v>27846.6489</v>
      </c>
      <c r="BJ21" s="29">
        <f t="shared" si="70"/>
        <v>0.84240999999999999</v>
      </c>
      <c r="BK21" s="29">
        <f t="shared" ca="1" si="65"/>
        <v>0.61290999999999995</v>
      </c>
      <c r="BL21" s="17">
        <v>19</v>
      </c>
      <c r="BM21" s="21">
        <v>9.5</v>
      </c>
      <c r="BN21" s="19">
        <v>0.21</v>
      </c>
    </row>
    <row r="22" spans="1:66" ht="39.950000000000003" customHeight="1" x14ac:dyDescent="0.25">
      <c r="A22" s="3">
        <f t="shared" ca="1" si="45"/>
        <v>0.27</v>
      </c>
      <c r="B22" s="42" t="s">
        <v>97</v>
      </c>
      <c r="C22" s="43"/>
      <c r="D22" s="13">
        <v>0</v>
      </c>
      <c r="E22" s="14">
        <v>0</v>
      </c>
      <c r="F22" s="14">
        <v>0</v>
      </c>
      <c r="G22" s="14">
        <v>0</v>
      </c>
      <c r="H22" s="14">
        <v>0</v>
      </c>
      <c r="I22" s="13">
        <v>26</v>
      </c>
      <c r="J22" s="13">
        <v>30</v>
      </c>
      <c r="K22" s="15" t="s">
        <v>1</v>
      </c>
      <c r="L22" s="15" t="s">
        <v>1</v>
      </c>
      <c r="M22" s="15" t="s">
        <v>1</v>
      </c>
      <c r="N22" s="16">
        <v>0</v>
      </c>
      <c r="O22" s="16" t="s">
        <v>1</v>
      </c>
      <c r="P22" s="4">
        <f t="shared" ca="1" si="46"/>
        <v>64946.944061884118</v>
      </c>
      <c r="Q22" s="4">
        <f t="shared" ca="1" si="47"/>
        <v>7800</v>
      </c>
      <c r="R22" s="5">
        <f t="shared" ca="1" si="66"/>
        <v>72746.944061884118</v>
      </c>
      <c r="S22" s="55"/>
      <c r="T22" s="59"/>
      <c r="U22" s="63"/>
      <c r="V22" s="62"/>
      <c r="W22" s="51"/>
      <c r="X22" s="50"/>
      <c r="Y22" s="76"/>
      <c r="Z22" s="32" t="s">
        <v>10</v>
      </c>
      <c r="AA22" s="33" t="s">
        <v>104</v>
      </c>
      <c r="AB22" s="31"/>
      <c r="AE22" s="22" t="s">
        <v>66</v>
      </c>
      <c r="AF22" s="23">
        <v>3363.11</v>
      </c>
      <c r="AG22" s="17">
        <f>(1500)</f>
        <v>1500</v>
      </c>
      <c r="AH22" s="17" t="s">
        <v>0</v>
      </c>
      <c r="AI22" s="18">
        <f>($AG$29*$AG$22)</f>
        <v>2081.8065000000001</v>
      </c>
      <c r="AJ22" s="18">
        <f>($AH$29*$AG$22)</f>
        <v>2363.268</v>
      </c>
      <c r="AK22" s="25">
        <f t="shared" si="71"/>
        <v>46235</v>
      </c>
      <c r="AL22" s="25">
        <f t="shared" si="48"/>
        <v>46265</v>
      </c>
      <c r="AM22" s="26">
        <f t="shared" si="67"/>
        <v>31</v>
      </c>
      <c r="AN22" s="26">
        <f t="shared" si="68"/>
        <v>26</v>
      </c>
      <c r="AO22" s="26">
        <f t="shared" si="69"/>
        <v>5</v>
      </c>
      <c r="AP22" s="18">
        <f t="shared" si="72"/>
        <v>2784.66489</v>
      </c>
      <c r="AQ22" s="18">
        <f t="shared" ca="1" si="49"/>
        <v>1706.7489577299</v>
      </c>
      <c r="AR22" s="18">
        <f t="shared" si="73"/>
        <v>2784.66489</v>
      </c>
      <c r="AS22" s="18">
        <f t="shared" ca="1" si="50"/>
        <v>1902.2755477299002</v>
      </c>
      <c r="AT22" s="27">
        <f t="shared" si="51"/>
        <v>86324.61159</v>
      </c>
      <c r="AU22" s="18">
        <f t="shared" ca="1" si="52"/>
        <v>52909.217689626894</v>
      </c>
      <c r="AV22" s="18">
        <f t="shared" si="53"/>
        <v>0</v>
      </c>
      <c r="AW22" s="18">
        <f t="shared" ca="1" si="54"/>
        <v>0</v>
      </c>
      <c r="AX22" s="18">
        <f t="shared" si="55"/>
        <v>0</v>
      </c>
      <c r="AY22" s="18">
        <f t="shared" ca="1" si="56"/>
        <v>0</v>
      </c>
      <c r="AZ22" s="18">
        <f t="shared" si="57"/>
        <v>0</v>
      </c>
      <c r="BA22" s="18">
        <f t="shared" ca="1" si="58"/>
        <v>0</v>
      </c>
      <c r="BB22" s="18">
        <f t="shared" si="59"/>
        <v>0</v>
      </c>
      <c r="BC22" s="18">
        <f t="shared" ca="1" si="60"/>
        <v>0</v>
      </c>
      <c r="BD22" s="18">
        <f t="shared" si="61"/>
        <v>0</v>
      </c>
      <c r="BE22" s="18">
        <f t="shared" ca="1" si="62"/>
        <v>0</v>
      </c>
      <c r="BF22" s="18">
        <f t="shared" ca="1" si="63"/>
        <v>5919.3029971774004</v>
      </c>
      <c r="BG22" s="18">
        <f>3628/30*J22</f>
        <v>3628</v>
      </c>
      <c r="BH22" s="28">
        <v>10</v>
      </c>
      <c r="BI22" s="18">
        <f t="shared" si="64"/>
        <v>27846.6489</v>
      </c>
      <c r="BJ22" s="29">
        <f t="shared" si="70"/>
        <v>0.84240999999999999</v>
      </c>
      <c r="BK22" s="29">
        <f t="shared" ca="1" si="65"/>
        <v>0.61290999999999995</v>
      </c>
      <c r="BL22" s="17">
        <v>20</v>
      </c>
      <c r="BM22" s="21">
        <v>10</v>
      </c>
      <c r="BN22" s="19">
        <v>0.22</v>
      </c>
    </row>
    <row r="23" spans="1:66" ht="39.950000000000003" customHeight="1" x14ac:dyDescent="0.25">
      <c r="A23" s="3">
        <f t="shared" ca="1" si="45"/>
        <v>0.27</v>
      </c>
      <c r="B23" s="42" t="s">
        <v>98</v>
      </c>
      <c r="C23" s="43"/>
      <c r="D23" s="13">
        <v>0</v>
      </c>
      <c r="E23" s="14">
        <v>0</v>
      </c>
      <c r="F23" s="14">
        <v>0</v>
      </c>
      <c r="G23" s="14">
        <v>0</v>
      </c>
      <c r="H23" s="14">
        <v>0</v>
      </c>
      <c r="I23" s="13">
        <v>26</v>
      </c>
      <c r="J23" s="13">
        <v>30</v>
      </c>
      <c r="K23" s="15" t="s">
        <v>1</v>
      </c>
      <c r="L23" s="15" t="s">
        <v>1</v>
      </c>
      <c r="M23" s="15" t="s">
        <v>1</v>
      </c>
      <c r="N23" s="16">
        <v>0</v>
      </c>
      <c r="O23" s="16" t="s">
        <v>1</v>
      </c>
      <c r="P23" s="4">
        <f t="shared" ca="1" si="46"/>
        <v>124461.82288905018</v>
      </c>
      <c r="Q23" s="4">
        <f t="shared" ca="1" si="47"/>
        <v>7800</v>
      </c>
      <c r="R23" s="5">
        <f t="shared" ca="1" si="66"/>
        <v>132261.82288905018</v>
      </c>
      <c r="S23" s="55"/>
      <c r="T23" s="59"/>
      <c r="U23" s="63"/>
      <c r="V23" s="62"/>
      <c r="W23" s="51"/>
      <c r="X23" s="50"/>
      <c r="Y23" s="76"/>
      <c r="Z23" s="32" t="s">
        <v>12</v>
      </c>
      <c r="AA23" s="34" t="s">
        <v>45</v>
      </c>
      <c r="AB23" s="31"/>
      <c r="AE23" s="22" t="s">
        <v>67</v>
      </c>
      <c r="AF23" s="23">
        <v>4213.1899999999996</v>
      </c>
      <c r="AG23" s="17">
        <f>(8000)</f>
        <v>8000</v>
      </c>
      <c r="AH23" s="17" t="s">
        <v>0</v>
      </c>
      <c r="AI23" s="18">
        <f>($AG$29*$AG$23)</f>
        <v>11102.968000000001</v>
      </c>
      <c r="AJ23" s="18">
        <f>($AH$29*$AG$23)</f>
        <v>12604.096</v>
      </c>
      <c r="AK23" s="25">
        <f t="shared" si="71"/>
        <v>46266</v>
      </c>
      <c r="AL23" s="25">
        <f t="shared" si="48"/>
        <v>46295</v>
      </c>
      <c r="AM23" s="26">
        <f t="shared" si="67"/>
        <v>30</v>
      </c>
      <c r="AN23" s="26">
        <f t="shared" si="68"/>
        <v>26</v>
      </c>
      <c r="AO23" s="26">
        <f t="shared" si="69"/>
        <v>4</v>
      </c>
      <c r="AP23" s="18">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AQ23" s="18">
        <f t="shared" ca="1" si="49"/>
        <v>1964.1252568999998</v>
      </c>
      <c r="AR23" s="18">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AS23" s="18">
        <f t="shared" ca="1" si="50"/>
        <v>2159.6518468999998</v>
      </c>
      <c r="AT23" s="27">
        <f t="shared" si="51"/>
        <v>96137.700000000012</v>
      </c>
      <c r="AU23" s="18">
        <f t="shared" ca="1" si="52"/>
        <v>58923.757707000004</v>
      </c>
      <c r="AV23" s="18">
        <f t="shared" si="53"/>
        <v>0</v>
      </c>
      <c r="AW23" s="18">
        <f t="shared" ca="1" si="54"/>
        <v>0</v>
      </c>
      <c r="AX23" s="18">
        <f t="shared" si="55"/>
        <v>0</v>
      </c>
      <c r="AY23" s="18">
        <f t="shared" ca="1" si="56"/>
        <v>0</v>
      </c>
      <c r="AZ23" s="18">
        <f t="shared" si="57"/>
        <v>0</v>
      </c>
      <c r="BA23" s="18">
        <f t="shared" ca="1" si="58"/>
        <v>0</v>
      </c>
      <c r="BB23" s="18">
        <f t="shared" si="59"/>
        <v>0</v>
      </c>
      <c r="BC23" s="18">
        <f t="shared" ca="1" si="60"/>
        <v>0</v>
      </c>
      <c r="BD23" s="18">
        <f t="shared" si="61"/>
        <v>0</v>
      </c>
      <c r="BE23" s="18">
        <f t="shared" ca="1" si="62"/>
        <v>0</v>
      </c>
      <c r="BF23" s="18">
        <f t="shared" ca="1" si="63"/>
        <v>5919.3029971774004</v>
      </c>
      <c r="BG23" s="18">
        <f>3628/30*J23</f>
        <v>3628</v>
      </c>
      <c r="BH23" s="28">
        <v>10</v>
      </c>
      <c r="BI23" s="18">
        <f t="shared" si="64"/>
        <v>32045.9</v>
      </c>
      <c r="BJ23" s="29">
        <f t="shared" si="70"/>
        <v>0.84240999999999999</v>
      </c>
      <c r="BK23" s="29">
        <f t="shared" ca="1" si="65"/>
        <v>0.61290999999999995</v>
      </c>
      <c r="BL23" s="17">
        <v>21</v>
      </c>
      <c r="BM23" s="21">
        <v>10.5</v>
      </c>
      <c r="BN23" s="19">
        <v>0.23</v>
      </c>
    </row>
    <row r="24" spans="1:66" ht="39.950000000000003" customHeight="1" x14ac:dyDescent="0.25">
      <c r="A24" s="3">
        <f t="shared" ca="1" si="45"/>
        <v>0.27</v>
      </c>
      <c r="B24" s="42" t="s">
        <v>99</v>
      </c>
      <c r="C24" s="43"/>
      <c r="D24" s="13">
        <v>0</v>
      </c>
      <c r="E24" s="14">
        <v>0</v>
      </c>
      <c r="F24" s="14">
        <v>0</v>
      </c>
      <c r="G24" s="14">
        <v>0</v>
      </c>
      <c r="H24" s="14">
        <v>0</v>
      </c>
      <c r="I24" s="13">
        <v>26</v>
      </c>
      <c r="J24" s="13">
        <v>30</v>
      </c>
      <c r="K24" s="15" t="s">
        <v>1</v>
      </c>
      <c r="L24" s="15" t="s">
        <v>1</v>
      </c>
      <c r="M24" s="15" t="s">
        <v>1</v>
      </c>
      <c r="N24" s="16">
        <v>0</v>
      </c>
      <c r="O24" s="16" t="s">
        <v>1</v>
      </c>
      <c r="P24" s="4">
        <f t="shared" ca="1" si="46"/>
        <v>72649.713932252213</v>
      </c>
      <c r="Q24" s="4">
        <f t="shared" ca="1" si="47"/>
        <v>7800</v>
      </c>
      <c r="R24" s="5">
        <f t="shared" ca="1" si="66"/>
        <v>80449.713932252213</v>
      </c>
      <c r="S24" s="55"/>
      <c r="T24" s="59"/>
      <c r="U24" s="63"/>
      <c r="V24" s="62"/>
      <c r="W24" s="51"/>
      <c r="X24" s="50"/>
      <c r="Y24" s="76"/>
      <c r="Z24" s="32" t="s">
        <v>41</v>
      </c>
      <c r="AA24" s="18" t="s">
        <v>50</v>
      </c>
      <c r="AB24" s="31"/>
      <c r="AE24" s="22" t="s">
        <v>68</v>
      </c>
      <c r="AF24" s="23">
        <v>6305.24</v>
      </c>
      <c r="AG24" s="17">
        <f>(500)</f>
        <v>500</v>
      </c>
      <c r="AH24" s="17" t="s">
        <v>0</v>
      </c>
      <c r="AI24" s="18">
        <f>($AG$29*$AG$24)</f>
        <v>693.93550000000005</v>
      </c>
      <c r="AJ24" s="18">
        <f>($AH$29*$AG$24)</f>
        <v>787.75599999999997</v>
      </c>
      <c r="AK24" s="25">
        <f t="shared" si="71"/>
        <v>46296</v>
      </c>
      <c r="AL24" s="25">
        <f t="shared" si="48"/>
        <v>46326</v>
      </c>
      <c r="AM24" s="26">
        <f t="shared" si="67"/>
        <v>31</v>
      </c>
      <c r="AN24" s="26">
        <f t="shared" si="68"/>
        <v>27</v>
      </c>
      <c r="AO24" s="26">
        <f t="shared" si="69"/>
        <v>4</v>
      </c>
      <c r="AP24" s="18">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AQ24" s="18">
        <f t="shared" ca="1" si="49"/>
        <v>1964.1252568999998</v>
      </c>
      <c r="AR24" s="18">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AS24" s="18">
        <f t="shared" ca="1" si="50"/>
        <v>2159.6518468999998</v>
      </c>
      <c r="AT24" s="27">
        <f t="shared" si="51"/>
        <v>99342.290000000008</v>
      </c>
      <c r="AU24" s="18">
        <f t="shared" ca="1" si="52"/>
        <v>60887.882963900003</v>
      </c>
      <c r="AV24" s="18">
        <f t="shared" si="53"/>
        <v>0</v>
      </c>
      <c r="AW24" s="18">
        <f t="shared" ca="1" si="54"/>
        <v>0</v>
      </c>
      <c r="AX24" s="18">
        <f t="shared" si="55"/>
        <v>0</v>
      </c>
      <c r="AY24" s="18">
        <f t="shared" ca="1" si="56"/>
        <v>0</v>
      </c>
      <c r="AZ24" s="18">
        <f t="shared" si="57"/>
        <v>0</v>
      </c>
      <c r="BA24" s="18">
        <f t="shared" ca="1" si="58"/>
        <v>0</v>
      </c>
      <c r="BB24" s="18">
        <f t="shared" si="59"/>
        <v>0</v>
      </c>
      <c r="BC24" s="18">
        <f t="shared" ca="1" si="60"/>
        <v>0</v>
      </c>
      <c r="BD24" s="18">
        <f t="shared" si="61"/>
        <v>0</v>
      </c>
      <c r="BE24" s="18">
        <f t="shared" ca="1" si="62"/>
        <v>0</v>
      </c>
      <c r="BF24" s="18">
        <f t="shared" ca="1" si="63"/>
        <v>5919.3029971774004</v>
      </c>
      <c r="BG24" s="18">
        <f>3628/30*J24</f>
        <v>3628</v>
      </c>
      <c r="BH24" s="28">
        <v>10</v>
      </c>
      <c r="BI24" s="18">
        <f t="shared" si="64"/>
        <v>32045.9</v>
      </c>
      <c r="BJ24" s="29">
        <f t="shared" si="70"/>
        <v>0.84240999999999999</v>
      </c>
      <c r="BK24" s="29">
        <f t="shared" ca="1" si="65"/>
        <v>0.61290999999999995</v>
      </c>
      <c r="BL24" s="17">
        <v>22</v>
      </c>
      <c r="BM24" s="21">
        <v>11</v>
      </c>
      <c r="BN24" s="19">
        <v>0.24</v>
      </c>
    </row>
    <row r="25" spans="1:66" ht="39.950000000000003" customHeight="1" x14ac:dyDescent="0.25">
      <c r="A25" s="3">
        <f t="shared" ca="1" si="45"/>
        <v>0.27</v>
      </c>
      <c r="B25" s="42" t="s">
        <v>100</v>
      </c>
      <c r="C25" s="43"/>
      <c r="D25" s="13">
        <v>0</v>
      </c>
      <c r="E25" s="14">
        <v>0</v>
      </c>
      <c r="F25" s="14">
        <v>0</v>
      </c>
      <c r="G25" s="14">
        <v>0</v>
      </c>
      <c r="H25" s="14">
        <v>0</v>
      </c>
      <c r="I25" s="13">
        <v>26</v>
      </c>
      <c r="J25" s="13">
        <v>30</v>
      </c>
      <c r="K25" s="15" t="s">
        <v>1</v>
      </c>
      <c r="L25" s="15" t="s">
        <v>1</v>
      </c>
      <c r="M25" s="15" t="s">
        <v>1</v>
      </c>
      <c r="N25" s="16">
        <v>0</v>
      </c>
      <c r="O25" s="16" t="s">
        <v>1</v>
      </c>
      <c r="P25" s="4">
        <f t="shared" ca="1" si="46"/>
        <v>70685.585270352225</v>
      </c>
      <c r="Q25" s="4">
        <f t="shared" ca="1" si="47"/>
        <v>7800</v>
      </c>
      <c r="R25" s="5">
        <f t="shared" ca="1" si="66"/>
        <v>78485.585270352225</v>
      </c>
      <c r="S25" s="55"/>
      <c r="T25" s="59"/>
      <c r="U25" s="63"/>
      <c r="V25" s="62"/>
      <c r="W25" s="51"/>
      <c r="X25" s="50"/>
      <c r="Y25" s="76"/>
      <c r="Z25" s="32" t="s">
        <v>16</v>
      </c>
      <c r="AA25" s="34" t="s">
        <v>46</v>
      </c>
      <c r="AB25" s="31"/>
      <c r="AE25" s="22" t="s">
        <v>63</v>
      </c>
      <c r="AF25" s="23">
        <v>4213.1899999999996</v>
      </c>
      <c r="AG25" s="17">
        <f>(1000)</f>
        <v>1000</v>
      </c>
      <c r="AH25" s="17" t="s">
        <v>0</v>
      </c>
      <c r="AI25" s="18">
        <f>($AG$30*$AG$25)</f>
        <v>22722.792999999998</v>
      </c>
      <c r="AJ25" s="18">
        <f>($AH$30*$AG$25)</f>
        <v>25794.915000000001</v>
      </c>
      <c r="AK25" s="25">
        <f t="shared" si="71"/>
        <v>46327</v>
      </c>
      <c r="AL25" s="25">
        <f t="shared" si="48"/>
        <v>46356</v>
      </c>
      <c r="AM25" s="26">
        <f t="shared" si="67"/>
        <v>30</v>
      </c>
      <c r="AN25" s="26">
        <f t="shared" si="68"/>
        <v>25</v>
      </c>
      <c r="AO25" s="26">
        <f t="shared" si="69"/>
        <v>5</v>
      </c>
      <c r="AP25" s="18">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AQ25" s="18">
        <f t="shared" ca="1" si="49"/>
        <v>1964.1252568999998</v>
      </c>
      <c r="AR25" s="18">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AS25" s="18">
        <f t="shared" ca="1" si="50"/>
        <v>2159.6518468999998</v>
      </c>
      <c r="AT25" s="27">
        <f t="shared" si="51"/>
        <v>96137.700000000012</v>
      </c>
      <c r="AU25" s="18">
        <f t="shared" ca="1" si="52"/>
        <v>58923.757707000004</v>
      </c>
      <c r="AV25" s="18">
        <f t="shared" si="53"/>
        <v>0</v>
      </c>
      <c r="AW25" s="18">
        <f t="shared" ca="1" si="54"/>
        <v>0</v>
      </c>
      <c r="AX25" s="18">
        <f t="shared" si="55"/>
        <v>0</v>
      </c>
      <c r="AY25" s="18">
        <f t="shared" ca="1" si="56"/>
        <v>0</v>
      </c>
      <c r="AZ25" s="18">
        <f t="shared" si="57"/>
        <v>0</v>
      </c>
      <c r="BA25" s="18">
        <f t="shared" ca="1" si="58"/>
        <v>0</v>
      </c>
      <c r="BB25" s="18">
        <f t="shared" si="59"/>
        <v>0</v>
      </c>
      <c r="BC25" s="18">
        <f t="shared" ca="1" si="60"/>
        <v>0</v>
      </c>
      <c r="BD25" s="18">
        <f t="shared" si="61"/>
        <v>0</v>
      </c>
      <c r="BE25" s="18">
        <f t="shared" ca="1" si="62"/>
        <v>0</v>
      </c>
      <c r="BF25" s="18">
        <f t="shared" ca="1" si="63"/>
        <v>5919.3029971774004</v>
      </c>
      <c r="BG25" s="18">
        <f>3628/30*J25</f>
        <v>3628</v>
      </c>
      <c r="BH25" s="28">
        <v>10</v>
      </c>
      <c r="BI25" s="18">
        <f t="shared" si="64"/>
        <v>32045.9</v>
      </c>
      <c r="BJ25" s="29">
        <f t="shared" si="70"/>
        <v>0.84240999999999999</v>
      </c>
      <c r="BK25" s="29">
        <f t="shared" ca="1" si="65"/>
        <v>0.61290999999999995</v>
      </c>
      <c r="BL25" s="17">
        <v>23</v>
      </c>
      <c r="BM25" s="21">
        <v>11.5</v>
      </c>
      <c r="BN25" s="19">
        <v>0.25</v>
      </c>
    </row>
    <row r="26" spans="1:66" ht="39.950000000000003" customHeight="1" x14ac:dyDescent="0.25">
      <c r="A26" s="3">
        <f t="shared" ca="1" si="45"/>
        <v>0.27</v>
      </c>
      <c r="B26" s="42" t="s">
        <v>101</v>
      </c>
      <c r="C26" s="43"/>
      <c r="D26" s="13">
        <v>0</v>
      </c>
      <c r="E26" s="14">
        <v>0</v>
      </c>
      <c r="F26" s="14">
        <v>0</v>
      </c>
      <c r="G26" s="14">
        <v>0</v>
      </c>
      <c r="H26" s="14">
        <v>0</v>
      </c>
      <c r="I26" s="13">
        <v>26</v>
      </c>
      <c r="J26" s="13">
        <v>30</v>
      </c>
      <c r="K26" s="15" t="s">
        <v>1</v>
      </c>
      <c r="L26" s="15" t="s">
        <v>1</v>
      </c>
      <c r="M26" s="15" t="s">
        <v>1</v>
      </c>
      <c r="N26" s="16">
        <v>0</v>
      </c>
      <c r="O26" s="16" t="s">
        <v>1</v>
      </c>
      <c r="P26" s="4">
        <f t="shared" ca="1" si="46"/>
        <v>131573.47378925222</v>
      </c>
      <c r="Q26" s="4">
        <f t="shared" ca="1" si="47"/>
        <v>7800</v>
      </c>
      <c r="R26" s="5">
        <f t="shared" ca="1" si="66"/>
        <v>139373.47378925222</v>
      </c>
      <c r="S26" s="55"/>
      <c r="T26" s="59"/>
      <c r="U26" s="63"/>
      <c r="V26" s="62"/>
      <c r="W26" s="51"/>
      <c r="X26" s="50"/>
      <c r="Y26" s="76"/>
      <c r="Z26" s="32" t="s">
        <v>14</v>
      </c>
      <c r="AA26" s="33" t="s">
        <v>105</v>
      </c>
      <c r="AB26" s="31"/>
      <c r="AE26" s="22" t="s">
        <v>64</v>
      </c>
      <c r="AF26" s="23">
        <v>6305.24</v>
      </c>
      <c r="AG26" s="17">
        <f>($AG$22+$AG$23)</f>
        <v>9500</v>
      </c>
      <c r="AH26" s="17">
        <f>(2.15)</f>
        <v>2.15</v>
      </c>
      <c r="AI26" s="18">
        <f>($AG$29*$AG$26*$AH$26)</f>
        <v>28347.265175</v>
      </c>
      <c r="AJ26" s="18">
        <f>($AH$29*$AG$26*$AH$26)</f>
        <v>32179.832599999998</v>
      </c>
      <c r="AK26" s="25">
        <f t="shared" si="71"/>
        <v>46357</v>
      </c>
      <c r="AL26" s="25">
        <f t="shared" si="48"/>
        <v>46387</v>
      </c>
      <c r="AM26" s="26">
        <f t="shared" si="67"/>
        <v>31</v>
      </c>
      <c r="AN26" s="26">
        <f t="shared" si="68"/>
        <v>27</v>
      </c>
      <c r="AO26" s="26">
        <f t="shared" si="69"/>
        <v>4</v>
      </c>
      <c r="AP26" s="18">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AQ26" s="18">
        <f t="shared" ca="1" si="49"/>
        <v>1964.1252568999998</v>
      </c>
      <c r="AR26" s="18">
        <f>COUNTIF($A$1,"Amir")*($AF$1)
+COUNTIF($A$1,"Gişe")*($AF$2)
+COUNTIF($A$1,"Çıma")*($AF$3)
+COUNTIF($A$1,"Ustabaşı")*($AF$4)
+COUNTIF($A$1,"İtfaiye Amiri")*($AF$5)
+COUNTIF($A$1,"Usta")*($AF$6)
+COUNTIF($A$1,"Vinç Operatörü")*($AF$7)
+COUNTIF($A$1,"Forklift Operatörü")*($AF$8)
+COUNTIF($A$1,"İtfaiyeci")*($AF$9)
+COUNTIF($A$1,"Usta Yardımcısı")*($AF$10)
+COUNTIF($A$1,"Gemi Havuzlama Personeli")*($AF$11)
+COUNTIF($A$1,"Yakıt Yağ ve Atık Personeli")*($AF$12)
+COUNTIF($A$1,"Tersane Saha Personeli")*($AF$13)</f>
        <v>3204.59</v>
      </c>
      <c r="AS26" s="18">
        <f t="shared" ca="1" si="50"/>
        <v>2159.6518468999998</v>
      </c>
      <c r="AT26" s="27">
        <f t="shared" si="51"/>
        <v>99342.290000000008</v>
      </c>
      <c r="AU26" s="18">
        <f t="shared" ca="1" si="52"/>
        <v>60887.882963900003</v>
      </c>
      <c r="AV26" s="18">
        <f t="shared" si="53"/>
        <v>0</v>
      </c>
      <c r="AW26" s="18">
        <f t="shared" ca="1" si="54"/>
        <v>0</v>
      </c>
      <c r="AX26" s="18">
        <f t="shared" si="55"/>
        <v>0</v>
      </c>
      <c r="AY26" s="18">
        <f t="shared" ca="1" si="56"/>
        <v>0</v>
      </c>
      <c r="AZ26" s="18">
        <f t="shared" si="57"/>
        <v>0</v>
      </c>
      <c r="BA26" s="18">
        <f t="shared" ca="1" si="58"/>
        <v>0</v>
      </c>
      <c r="BB26" s="18">
        <f t="shared" si="59"/>
        <v>0</v>
      </c>
      <c r="BC26" s="18">
        <f t="shared" ca="1" si="60"/>
        <v>0</v>
      </c>
      <c r="BD26" s="18">
        <f t="shared" si="61"/>
        <v>0</v>
      </c>
      <c r="BE26" s="18">
        <f t="shared" ca="1" si="62"/>
        <v>0</v>
      </c>
      <c r="BF26" s="18">
        <f t="shared" ca="1" si="63"/>
        <v>5919.3029971774004</v>
      </c>
      <c r="BG26" s="18">
        <f>3628/30*J26</f>
        <v>3628</v>
      </c>
      <c r="BH26" s="28">
        <v>10</v>
      </c>
      <c r="BI26" s="18">
        <f t="shared" si="64"/>
        <v>32045.9</v>
      </c>
      <c r="BJ26" s="29">
        <f t="shared" si="70"/>
        <v>0.84240999999999999</v>
      </c>
      <c r="BK26" s="29">
        <f t="shared" ca="1" si="65"/>
        <v>0.61290999999999995</v>
      </c>
      <c r="BL26" s="17">
        <v>24</v>
      </c>
      <c r="BM26" s="21">
        <v>12</v>
      </c>
      <c r="BN26" s="19">
        <v>0.26</v>
      </c>
    </row>
    <row r="27" spans="1:66" ht="39.950000000000003" customHeight="1" x14ac:dyDescent="0.25">
      <c r="A27" s="6" t="s">
        <v>0</v>
      </c>
      <c r="B27" s="42" t="s">
        <v>75</v>
      </c>
      <c r="C27" s="43"/>
      <c r="D27" s="7" t="s">
        <v>0</v>
      </c>
      <c r="E27" s="8">
        <f t="shared" ref="E27:J27" si="74">(E15+E16+E17+E18+E19+E20+E21+E22+E23+E24+E25+E26)</f>
        <v>0</v>
      </c>
      <c r="F27" s="8">
        <f t="shared" si="74"/>
        <v>0</v>
      </c>
      <c r="G27" s="8">
        <f t="shared" si="74"/>
        <v>0</v>
      </c>
      <c r="H27" s="8">
        <f t="shared" si="74"/>
        <v>0</v>
      </c>
      <c r="I27" s="9">
        <f t="shared" si="74"/>
        <v>304</v>
      </c>
      <c r="J27" s="9">
        <f t="shared" si="74"/>
        <v>360</v>
      </c>
      <c r="K27" s="7" t="s">
        <v>0</v>
      </c>
      <c r="L27" s="7" t="s">
        <v>0</v>
      </c>
      <c r="M27" s="7" t="s">
        <v>0</v>
      </c>
      <c r="N27" s="1" t="s">
        <v>0</v>
      </c>
      <c r="O27" s="1" t="s">
        <v>0</v>
      </c>
      <c r="P27" s="10">
        <f t="shared" ref="P27" ca="1" si="75">(P15+P16+P17+P18+P19+P20+P21+P22+P23+P24+P25+P26)</f>
        <v>1014643.6372072607</v>
      </c>
      <c r="Q27" s="10">
        <f t="shared" ref="Q27" ca="1" si="76">(Q15+Q16+Q17+Q18+Q19+Q20+Q21+Q22+Q23+Q24+Q25+Q26)</f>
        <v>91200</v>
      </c>
      <c r="R27" s="11">
        <f t="shared" ref="R27" ca="1" si="77">(R15+R16+R17+R18+R19+R20+R21+R22+R23+R24+R25+R26)</f>
        <v>1105843.6372072608</v>
      </c>
      <c r="S27" s="55"/>
      <c r="T27" s="59"/>
      <c r="U27" s="63"/>
      <c r="V27" s="62"/>
      <c r="W27" s="51"/>
      <c r="X27" s="50"/>
      <c r="Y27" s="76"/>
      <c r="Z27" s="32" t="s">
        <v>15</v>
      </c>
      <c r="AA27" s="33" t="s">
        <v>106</v>
      </c>
      <c r="AB27" s="31"/>
      <c r="AE27" s="22" t="s">
        <v>8</v>
      </c>
      <c r="AF27" s="23">
        <v>5814.5</v>
      </c>
      <c r="AG27" s="17" t="s">
        <v>0</v>
      </c>
      <c r="AH27" s="17" t="s">
        <v>0</v>
      </c>
      <c r="AI27" s="18">
        <f>($AI$22+$AI$23+$AI$24+$AI$25+$AI$26)</f>
        <v>64948.768174999997</v>
      </c>
      <c r="AJ27" s="18">
        <f>($AJ$22+$AJ$23+$AJ$24+$AJ$25+$AJ$26)</f>
        <v>73729.867599999998</v>
      </c>
      <c r="AK27" s="35" t="s">
        <v>0</v>
      </c>
      <c r="AL27" s="35" t="s">
        <v>0</v>
      </c>
      <c r="AM27" s="28">
        <f>(AM15+AM16+AM17+AM18+AM19+AM20+AM21+AM22+AM23+AM24+AM25+AM26)</f>
        <v>365</v>
      </c>
      <c r="AN27" s="28">
        <f>(AN15+AN16+AN17+AN18+AN19+AN20+AN21+AN22+AN23+AN24+AN25+AN26)</f>
        <v>313</v>
      </c>
      <c r="AO27" s="28">
        <f>(AO15+AO16+AO17+AO18+AO19+AO20+AO21+AO22+AO23+AO24+AO25+AO26)</f>
        <v>52</v>
      </c>
      <c r="AP27" s="18">
        <f>(AP15+AP16+AP17+AP18+AP19+AP20+AP21+AP22+AP23+AP24+AP25+AP26)</f>
        <v>34234.549339999998</v>
      </c>
      <c r="AQ27" s="18">
        <f t="shared" ref="AQ27:AS27" ca="1" si="78">(AQ15+AQ16+AQ17+AQ18+AQ19+AQ20+AQ21+AQ22+AQ23+AQ24+AQ25+AQ26)</f>
        <v>21935.15416850982</v>
      </c>
      <c r="AR27" s="18">
        <f t="shared" si="78"/>
        <v>34234.549339999998</v>
      </c>
      <c r="AS27" s="18">
        <f t="shared" ca="1" si="78"/>
        <v>23964.807581843153</v>
      </c>
      <c r="AT27" s="18">
        <f t="shared" ref="AT27:AU27" si="79">(AT15+AT16+AT17+AT18+AT19+AT20+AT21+AT22+AT23+AT24+AT25+AT26)</f>
        <v>1042230.21976</v>
      </c>
      <c r="AU27" s="18">
        <f t="shared" ca="1" si="79"/>
        <v>667433.4343405898</v>
      </c>
      <c r="AV27" s="18">
        <f t="shared" ref="AV27:AW27" si="80">(AV15+AV16+AV17+AV18+AV19+AV20+AV21+AV22+AV23+AV24+AV25+AV26)</f>
        <v>0</v>
      </c>
      <c r="AW27" s="18">
        <f t="shared" ca="1" si="80"/>
        <v>0</v>
      </c>
      <c r="AX27" s="18">
        <f t="shared" ref="AX27:AY27" si="81">(AX15+AX16+AX17+AX18+AX19+AX20+AX21+AX22+AX23+AX24+AX25+AX26)</f>
        <v>0</v>
      </c>
      <c r="AY27" s="18">
        <f t="shared" ca="1" si="81"/>
        <v>0</v>
      </c>
      <c r="AZ27" s="18">
        <f t="shared" ref="AZ27:BA27" si="82">(AZ15+AZ16+AZ17+AZ18+AZ19+AZ20+AZ21+AZ22+AZ23+AZ24+AZ25+AZ26)</f>
        <v>0</v>
      </c>
      <c r="BA27" s="18">
        <f t="shared" ca="1" si="82"/>
        <v>0</v>
      </c>
      <c r="BB27" s="18">
        <f t="shared" ref="BB27:BC27" si="83">(BB15+BB16+BB17+BB18+BB19+BB20+BB21+BB22+BB23+BB24+BB25+BB26)</f>
        <v>0</v>
      </c>
      <c r="BC27" s="18">
        <f t="shared" ca="1" si="83"/>
        <v>0</v>
      </c>
      <c r="BD27" s="18">
        <f t="shared" ref="BD27:BE27" si="84">(BD15+BD16+BD17+BD18+BD19+BD20+BD21+BD22+BD23+BD24+BD25+BD26)</f>
        <v>0</v>
      </c>
      <c r="BE27" s="18">
        <f t="shared" ca="1" si="84"/>
        <v>0</v>
      </c>
      <c r="BF27" s="18">
        <f t="shared" ref="BF27:BG27" ca="1" si="85">(BF15+BF16+BF17+BF18+BF19+BF20+BF21+BF22+BF23+BF24+BF25+BF26)</f>
        <v>63418.288499833943</v>
      </c>
      <c r="BG27" s="18">
        <f t="shared" si="85"/>
        <v>40522</v>
      </c>
      <c r="BH27" s="28">
        <f>(BH15+BH16+BH17+BH18+BH19+BH20+BH21+BH22+BH23+BH24+BH25+BH26)</f>
        <v>120</v>
      </c>
      <c r="BI27" s="18">
        <f t="shared" ref="BI27" si="86">(BI15+BI16+BI17+BI18+BI19+BI20+BI21+BI22+BI23+BI24+BI25+BI26)</f>
        <v>342345.49340000004</v>
      </c>
      <c r="BJ27" s="17" t="s">
        <v>0</v>
      </c>
      <c r="BK27" s="17" t="s">
        <v>0</v>
      </c>
      <c r="BL27" s="17">
        <v>25</v>
      </c>
      <c r="BM27" s="21">
        <v>12.5</v>
      </c>
      <c r="BN27" s="19">
        <v>0.27</v>
      </c>
    </row>
    <row r="28" spans="1:66" ht="39.950000000000003" customHeight="1" x14ac:dyDescent="0.25">
      <c r="A28" s="3">
        <f ca="1">(AZ72)</f>
        <v>0.23337462737767659</v>
      </c>
      <c r="B28" s="42" t="s">
        <v>76</v>
      </c>
      <c r="C28" s="43"/>
      <c r="D28" s="7" t="s">
        <v>0</v>
      </c>
      <c r="E28" s="9" t="s">
        <v>0</v>
      </c>
      <c r="F28" s="9" t="s">
        <v>0</v>
      </c>
      <c r="G28" s="7" t="s">
        <v>0</v>
      </c>
      <c r="H28" s="7" t="s">
        <v>0</v>
      </c>
      <c r="I28" s="7" t="s">
        <v>0</v>
      </c>
      <c r="J28" s="7" t="s">
        <v>0</v>
      </c>
      <c r="K28" s="7" t="s">
        <v>0</v>
      </c>
      <c r="L28" s="7" t="s">
        <v>0</v>
      </c>
      <c r="M28" s="7" t="s">
        <v>0</v>
      </c>
      <c r="N28" s="7" t="s">
        <v>0</v>
      </c>
      <c r="O28" s="7" t="s">
        <v>0</v>
      </c>
      <c r="P28" s="10">
        <f ca="1">(P27/12)</f>
        <v>84553.636433938387</v>
      </c>
      <c r="Q28" s="10">
        <f ca="1">(Q27/12)</f>
        <v>7600</v>
      </c>
      <c r="R28" s="11">
        <f ca="1">(R27/12)</f>
        <v>92153.636433938402</v>
      </c>
      <c r="S28" s="55"/>
      <c r="T28" s="59"/>
      <c r="U28" s="63"/>
      <c r="V28" s="56"/>
      <c r="W28" s="57"/>
      <c r="X28" s="58"/>
      <c r="Y28" s="77"/>
      <c r="Z28" s="32" t="s">
        <v>42</v>
      </c>
      <c r="AA28" s="34" t="s">
        <v>47</v>
      </c>
      <c r="AB28" s="31"/>
      <c r="AE28" s="22" t="s">
        <v>35</v>
      </c>
      <c r="AF28" s="23">
        <v>3068</v>
      </c>
      <c r="AK28" s="35" t="s">
        <v>0</v>
      </c>
      <c r="AL28" s="35" t="s">
        <v>0</v>
      </c>
      <c r="AM28" s="35" t="s">
        <v>0</v>
      </c>
      <c r="AN28" s="35" t="s">
        <v>0</v>
      </c>
      <c r="AO28" s="35" t="s">
        <v>0</v>
      </c>
      <c r="AP28" s="18">
        <f>(AP27/12)</f>
        <v>2852.8791116666666</v>
      </c>
      <c r="AQ28" s="18">
        <f t="shared" ref="AQ28:AS28" ca="1" si="87">(AQ27/12)</f>
        <v>1827.9295140424849</v>
      </c>
      <c r="AR28" s="18">
        <f t="shared" si="87"/>
        <v>2852.8791116666666</v>
      </c>
      <c r="AS28" s="18">
        <f t="shared" ca="1" si="87"/>
        <v>1997.0672984869295</v>
      </c>
      <c r="AT28" s="18">
        <f t="shared" ref="AT28:AU28" si="88">(AT27/12)</f>
        <v>86852.518313333334</v>
      </c>
      <c r="AU28" s="18">
        <f t="shared" ca="1" si="88"/>
        <v>55619.452861715814</v>
      </c>
      <c r="AV28" s="18">
        <f t="shared" ref="AV28:AW28" si="89">(AV27/12)</f>
        <v>0</v>
      </c>
      <c r="AW28" s="18">
        <f t="shared" ca="1" si="89"/>
        <v>0</v>
      </c>
      <c r="AX28" s="18">
        <f t="shared" ref="AX28:AY28" si="90">(AX27/12)</f>
        <v>0</v>
      </c>
      <c r="AY28" s="18">
        <f t="shared" ca="1" si="90"/>
        <v>0</v>
      </c>
      <c r="AZ28" s="18">
        <f t="shared" ref="AZ28:BA28" si="91">(AZ27/12)</f>
        <v>0</v>
      </c>
      <c r="BA28" s="18">
        <f t="shared" ca="1" si="91"/>
        <v>0</v>
      </c>
      <c r="BB28" s="18">
        <f t="shared" ref="BB28:BC28" si="92">(BB27/12)</f>
        <v>0</v>
      </c>
      <c r="BC28" s="18">
        <f t="shared" ca="1" si="92"/>
        <v>0</v>
      </c>
      <c r="BD28" s="18">
        <f t="shared" ref="BD28:BE28" si="93">(BD27/12)</f>
        <v>0</v>
      </c>
      <c r="BE28" s="18">
        <f t="shared" ca="1" si="93"/>
        <v>0</v>
      </c>
      <c r="BF28" s="18">
        <f t="shared" ref="BF28:BG28" ca="1" si="94">(BF27/12)</f>
        <v>5284.8573749861616</v>
      </c>
      <c r="BG28" s="18">
        <f t="shared" si="94"/>
        <v>3376.8333333333335</v>
      </c>
      <c r="BH28" s="35" t="s">
        <v>0</v>
      </c>
      <c r="BI28" s="18">
        <f t="shared" ref="BI28" si="95">(BI27/12)</f>
        <v>28528.791116666671</v>
      </c>
      <c r="BJ28" s="35" t="s">
        <v>0</v>
      </c>
      <c r="BK28" s="35" t="s">
        <v>0</v>
      </c>
      <c r="BL28" s="17">
        <v>26</v>
      </c>
      <c r="BM28" s="21">
        <v>13</v>
      </c>
      <c r="BN28" s="19">
        <v>0.28000000000000003</v>
      </c>
    </row>
    <row r="29" spans="1:66" ht="39.950000000000003" hidden="1" customHeight="1" x14ac:dyDescent="0.25">
      <c r="Z29" s="32" t="s">
        <v>37</v>
      </c>
      <c r="AA29" s="33" t="s">
        <v>107</v>
      </c>
      <c r="AE29" s="22" t="s">
        <v>23</v>
      </c>
      <c r="AF29" s="23">
        <v>40701.5</v>
      </c>
      <c r="AG29" s="36">
        <v>1.3878710000000001</v>
      </c>
      <c r="AH29" s="36">
        <v>1.575512</v>
      </c>
      <c r="AI29" s="17" t="s">
        <v>0</v>
      </c>
      <c r="AJ29" s="22" t="s">
        <v>0</v>
      </c>
      <c r="AK29" s="23">
        <f t="shared" ref="AK29:AK40" ca="1" si="96">COUNTIF(K15,"Yok")*(0)
+COUNTIF(K15,"Askerlik Yardımı")*($AF$15/BK15)
+COUNTIF(K15,"Cenaze Yardımı (Anne-Baba)")*($AF$16+$AF$16*0.00759)
+COUNTIF(K15,"Cenaze Yardımı (Eş-Çocuk)")*($AF$17+$AF$17*0.00759)
+COUNTIF(K15,"Cenaze Yardımı (İşçi-İş Kazası Sonucu)")*($AF$18+$AF$18*0.00759)
+COUNTIF(K15,"Cenaze Yardımı (İşçi-Tabii Sebepler Sonucu)")*($AF$19+$AF$19*0.00759)
+COUNTIF(K15,"Doğal Afet Yardımı")*($AF$20+$AF$20*0.00759)
+COUNTIF(K15,"Eğitim Yardımı (Çocuk-İlköğretim)")*($AF$21/BK15)
+COUNTIF(K15,"Eğitim Yardımı (Çocuk-Ortaöğretim)")*($AF$22/BK15)
+COUNTIF(K15,"Eğitim Yardımı (Çocuk-Lise)")*($AF$23/BK15)
+COUNTIF(K15,"Eğitim Yardımı (Çocuk-Yükseköğretim)")*($AF$24/BK15)
+COUNTIF(K15,"Eğitim Yardımı (İşçi-Lise)")*($AF$25/BK15)
+COUNTIF(K15,"Eğitim Yardımı (İşçi-Yükseköğretim)")*($AF$26/BK15)
+COUNTIF(K15,"Evlilik Yardımı")*($AF$27+$AF$27*0.00759)
+COUNTIF(K15,"Gıda Yardımı")*($AF$28/BK15)
+COUNTIF(K15,"İş Kazası veya Meslek Hastalığı Tazminatı")*($AF$29+$AF$29*0.00759)
+COUNTIF(L15,"Yok")*(0)
+COUNTIF(L15,"Askerlik Yardımı")*($AF$15/BK15)
+COUNTIF(L15,"Cenaze Yardımı (Anne-Baba)")*($AF$16+$AF$16*0.00759)
+COUNTIF(L15,"Cenaze Yardımı (Eş-Çocuk)")*($AF$17+$AF$17*0.00759)
+COUNTIF(L15,"Cenaze Yardımı (İşçi-İş Kazası Sonucu)")*($AF$18+$AF$18*0.00759)
+COUNTIF(L15,"Cenaze Yardımı (İşçi-Tabii Sebepler Sonucu)")*($AF$19+$AF$19*0.00759)
+COUNTIF(L15,"Doğal Afet Yardımı")*($AF$20+$AF$20*0.00759)
+COUNTIF(L15,"Eğitim Yardımı (Çocuk-İlköğretim)")*($AF$21/BK15)
+COUNTIF(L15,"Eğitim Yardımı (Çocuk-Ortaöğretim)")*($AF$22/BK15)
+COUNTIF(L15,"Eğitim Yardımı (Çocuk-Lise)")*($AF$23/BK15)
+COUNTIF(L15,"Eğitim Yardımı (Çocuk-Yükseköğretim)")*($AF$24/BK15)
+COUNTIF(L15,"Eğitim Yardımı (İşçi-Lise)")*($AF$25/BK15)
+COUNTIF(L15,"Eğitim Yardımı (İşçi-Yükseköğretim)")*($AF$26/BK15)
+COUNTIF(L15,"Evlilik Yardımı")*($AF$27+$AF$27*0.00759)
+COUNTIF(L15,"Gıda Yardımı")*($AF$28/BK15)
+COUNTIF(L15,"İş Kazası veya Meslek Hastalığı Tazminatı")*($AF$29+$AF$29*0.00759)
+COUNTIF(M15,"Yok")*(0)
+COUNTIF(M15,"Askerlik Yardımı")*($AF$15/BK15)
+COUNTIF(M15,"Cenaze Yardımı (Anne-Baba)")*($AF$16+$AF$16*0.00759)
+COUNTIF(M15,"Cenaze Yardımı (Eş-Çocuk)")*($AF$17+$AF$17*0.00759)
+COUNTIF(M15,"Cenaze Yardımı (İşçi-İş Kazası Sonucu)")*($AF$18+$AF$18*0.00759)
+COUNTIF(M15,"Cenaze Yardımı (İşçi-Tabii Sebepler Sonucu)")*($AF$19+$AF$19*0.00759)
+COUNTIF(M15,"Doğal Afet Yardımı")*($AF$20+$AF$20*0.00759)
+COUNTIF(M15,"Eğitim Yardımı (Çocuk-İlköğretim)")*($AF$21/BK15)
+COUNTIF(M15,"Eğitim Yardımı (Çocuk-Ortaöğretim)")*($AF$22/BK15)
+COUNTIF(M15,"Eğitim Yardımı (Çocuk-Lise)")*($AF$23/BK15)
+COUNTIF(M15,"Eğitim Yardımı (Çocuk-Yükseköğretim)")*($AF$24/BK15)
+COUNTIF(M15,"Eğitim Yardımı (İşçi-Lise)")*($AF$25/BK15)
+COUNTIF(M15,"Eğitim Yardımı (İşçi-Yükseköğretim)")*($AF$26/BK15)
+COUNTIF(M15,"Evlilik Yardımı")*($AF$27+$AF$27*0.00759)
+COUNTIF(M15,"Gıda Yardımı")*($AF$28/BK15)
+COUNTIF(M15,"İş Kazası veya Meslek Hastalığı Tazminatı")*($AF$29+$AF$29*0.00759)</f>
        <v>0</v>
      </c>
      <c r="AL29" s="23">
        <f t="shared" ref="AL29:AL40" si="97">COUNTIF(K15,"Yok")*(0)
+COUNTIF(K15,"Askerlik Yardımı")*(0)
+COUNTIF(K15,"Cenaze Yardımı (Anne-Baba)")*($AF$16+$AF$16*0.00759)
+COUNTIF(K15,"Cenaze Yardımı (Eş-Çocuk)")*($AF$17+$AF$17*0.00759)
+COUNTIF(K15,"Cenaze Yardımı (İşçi-İş Kazası Sonucu)")*($AF$18+$AF$18*0.00759)
+COUNTIF(K15,"Cenaze Yardımı (İşçi-Tabii Sebepler Sonucu)")*($AF$19+$AF$19*0.00759)
+COUNTIF(K15,"Doğal Afet Yardımı")*($AF$20+$AF$20*0.00759)
+COUNTIF(K15,"Eğitim Yardımı (Çocuk-İlköğretim)")*(0)
+COUNTIF(K15,"Eğitim Yardımı (Çocuk-Ortaöğretim)")*(0)
+COUNTIF(K15,"Eğitim Yardımı (Çocuk-Lise)")*(0)
+COUNTIF(K15,"Eğitim Yardımı (Çocuk-Yükseköğretim)")*(0)
+COUNTIF(K15,"Eğitim Yardımı (İşçi-Lise)")*(0)
+COUNTIF(K15,"Eğitim Yardımı (İşçi-Yükseköğretim)")*(0)
+COUNTIF(K15,"Evlilik Yardımı")*($AF$27+$AF$27*0.00759)
+COUNTIF(K15,"Gıda Yardımı")*(0)
+COUNTIF(K15,"İş Kazası veya Meslek Hastalığı Tazminatı")*($AF$29+$AF$29*0.00759)
+COUNTIF(L15,"Yok")*(0)
+COUNTIF(L15,"Askerlik Yardımı")*(0)
+COUNTIF(L15,"Cenaze Yardımı (Anne-Baba)")*($AF$16+$AF$16*0.00759)
+COUNTIF(L15,"Cenaze Yardımı (Eş-Çocuk)")*($AF$17+$AF$17*0.00759)
+COUNTIF(L15,"Cenaze Yardımı (İşçi-İş Kazası Sonucu)")*($AF$18+$AF$18*0.00759)
+COUNTIF(L15,"Cenaze Yardımı (İşçi-Tabii Sebepler Sonucu)")*($AF$19+$AF$19*0.00759)
+COUNTIF(L15,"Doğal Afet Yardımı")*($AF$20+$AF$20*0.00759)
+COUNTIF(L15,"Eğitim Yardımı (Çocuk-İlköğretim)")*(0)
+COUNTIF(L15,"Eğitim Yardımı (Çocuk-Ortaöğretim)")*(0)
+COUNTIF(L15,"Eğitim Yardımı (Çocuk-Lise)")*(0)
+COUNTIF(L15,"Eğitim Yardımı (Çocuk-Yükseköğretim)")*(0)
+COUNTIF(L15,"Eğitim Yardımı (İşçi-Lise)")*(0)
+COUNTIF(L15,"Eğitim Yardımı (İşçi-Yükseköğretim)")*(0)
+COUNTIF(L15,"Evlilik Yardımı")*($AF$27+$AF$27*0.00759)
+COUNTIF(L15,"Gıda Yardımı")*(0)
+COUNTIF(L15,"İş Kazası veya Meslek Hastalığı Tazminatı")*($AF$29+$AF$29*0.00759)
+COUNTIF(M15,"Yok")*(0)
+COUNTIF(M15,"Askerlik Yardımı")*(0)
+COUNTIF(M15,"Cenaze Yardımı (Anne-Baba)")*($AF$16+$AF$16*0.00759)
+COUNTIF(M15,"Cenaze Yardımı (Eş-Çocuk)")*($AF$17+$AF$17*0.00759)
+COUNTIF(M15,"Cenaze Yardımı (İşçi-İş Kazası Sonucu)")*($AF$18+$AF$18*0.00759)
+COUNTIF(M15,"Cenaze Yardımı (İşçi-Tabii Sebepler Sonucu)")*($AF$19+$AF$19*0.00759)
+COUNTIF(M15,"Doğal Afet Yardımı")*($AF$20+$AF$20*0.00759)
+COUNTIF(M15,"Eğitim Yardımı (Çocuk-İlköğretim)")*(0)
+COUNTIF(M15,"Eğitim Yardımı (Çocuk-Ortaöğretim)")*(0)
+COUNTIF(M15,"Eğitim Yardımı (Çocuk-Lise)")*(0)
+COUNTIF(M15,"Eğitim Yardımı (Çocuk-Yükseköğretim)")*(0)
+COUNTIF(M15,"Eğitim Yardımı (İşçi-Lise)")*(0)
+COUNTIF(M15,"Eğitim Yardımı (İşçi-Yükseköğretim)")*(0)
+COUNTIF(M15,"Evlilik Yardımı")*($AF$27+$AF$27*0.00759)
+COUNTIF(M15,"Gıda Yardımı")*(0)
+COUNTIF(M15,"İş Kazası veya Meslek Hastalığı Tazminatı")*($AF$29+$AF$29*0.00759)</f>
        <v>0</v>
      </c>
      <c r="AM29" s="23">
        <f t="shared" ref="AM29:AM40" si="98">COUNTIF(K15,"Yok")*(0)
+COUNTIF(K15,"Askerlik Yardımı")*($AF$15)
+COUNTIF(K15,"Cenaze Yardımı (Anne-Baba)")*($AF$16)
+COUNTIF(K15,"Cenaze Yardımı (Eş-Çocuk)")*($AF$17)
+COUNTIF(K15,"Cenaze Yardımı (İşçi-İş Kazası Sonucu)")*($AF$18)
+COUNTIF(K15,"Cenaze Yardımı (İşçi-Tabii Sebepler Sonucu)")*($AF$19)
+COUNTIF(K15,"Doğal Afet Yardımı")*($AF$20)
+COUNTIF(K15,"Eğitim Yardımı (Çocuk-İlköğretim)")*($AF$21)
+COUNTIF(K15,"Eğitim Yardımı (Çocuk-Ortaöğretim)")*($AF$22)
+COUNTIF(K15,"Eğitim Yardımı (Çocuk-Lise)")*($AF$23)
+COUNTIF(K15,"Eğitim Yardımı (Çocuk-Yükseköğretim)")*($AF$24)
+COUNTIF(K15,"Eğitim Yardımı (İşçi-Lise)")*($AF$25)
+COUNTIF(K15,"Eğitim Yardımı (İşçi-Yükseköğretim)")*($AF$26)
+COUNTIF(K15,"Evlilik Yardımı")*($AF$27)
+COUNTIF(K15,"Gıda Yardımı")*($AF$28)
+COUNTIF(K15,"İş Kazası veya Meslek Hastalığı Tazminatı")*($AF$29)
+COUNTIF(L15,"Yok")*(0)
+COUNTIF(L15,"Askerlik Yardımı")*($AF$15)
+COUNTIF(L15,"Cenaze Yardımı (Anne-Baba)")*($AF$16)
+COUNTIF(L15,"Cenaze Yardımı (Eş-Çocuk)")*($AF$17)
+COUNTIF(L15,"Cenaze Yardımı (İşçi-İş Kazası Sonucu)")*($AF$18)
+COUNTIF(L15,"Cenaze Yardımı (İşçi-Tabii Sebepler Sonucu)")*($AF$19)
+COUNTIF(L15,"Doğal Afet Yardımı")*($AF$20)
+COUNTIF(L15,"Eğitim Yardımı (Çocuk-İlköğretim)")*($AF$21)
+COUNTIF(L15,"Eğitim Yardımı (Çocuk-Ortaöğretim)")*($AF$22)
+COUNTIF(L15,"Eğitim Yardımı (Çocuk-Lise)")*($AF$23)
+COUNTIF(L15,"Eğitim Yardımı (Çocuk-Yükseköğretim)")*($AF$24)
+COUNTIF(L15,"Eğitim Yardımı (İşçi-Lise)")*($AF$25)
+COUNTIF(L15,"Eğitim Yardımı (İşçi-Yükseköğretim)")*($AF$26)
+COUNTIF(L15,"Evlilik Yardımı")*($AF$27)
+COUNTIF(L15,"Gıda Yardımı")*($AF$28)
+COUNTIF(L15,"İş Kazası veya Meslek Hastalığı Tazminatı")*($AF$29)
+COUNTIF(M15,"Yok")*(0)
+COUNTIF(M15,"Askerlik Yardımı")*($AF$15)
+COUNTIF(M15,"Cenaze Yardımı (Anne-Baba)")*($AF$16)
+COUNTIF(M15,"Cenaze Yardımı (Eş-Çocuk)")*($AF$17)
+COUNTIF(M15,"Cenaze Yardımı (İşçi-İş Kazası Sonucu)")*($AF$18)
+COUNTIF(M15,"Cenaze Yardımı (İşçi-Tabii Sebepler Sonucu)")*($AF$19)
+COUNTIF(M15,"Doğal Afet Yardımı")*($AF$20)
+COUNTIF(M15,"Eğitim Yardımı (Çocuk-İlköğretim)")*($AF$21)
+COUNTIF(M15,"Eğitim Yardımı (Çocuk-Ortaöğretim)")*($AF$22)
+COUNTIF(M15,"Eğitim Yardımı (Çocuk-Lise)")*($AF$23)
+COUNTIF(M15,"Eğitim Yardımı (Çocuk-Yükseköğretim)")*($AF$24)
+COUNTIF(M15,"Eğitim Yardımı (İşçi-Lise)")*($AF$25)
+COUNTIF(M15,"Eğitim Yardımı (İşçi-Yükseköğretim)")*($AF$26)
+COUNTIF(M15,"Evlilik Yardımı")*($AF$27)
+COUNTIF(M15,"Gıda Yardımı")*($AF$28)
+COUNTIF(M15,"İş Kazası veya Meslek Hastalığı Tazminatı")*($AF$29)</f>
        <v>0</v>
      </c>
      <c r="AN29" s="22" t="s">
        <v>9</v>
      </c>
      <c r="AO29" s="18">
        <f t="shared" ref="AO29:AO40" si="99">COUNTIF(AN29,"Var")*(AP15*0.9*-1)</f>
        <v>-2118.69</v>
      </c>
      <c r="AP29" s="18">
        <f>(AO29*-1)</f>
        <v>2118.69</v>
      </c>
      <c r="AQ29" s="18">
        <f>(0)</f>
        <v>0</v>
      </c>
      <c r="AR29" s="18">
        <f t="shared" ref="AR29:AR40" ca="1" si="100">(AQ29*BK15)</f>
        <v>0</v>
      </c>
      <c r="AS29" s="28">
        <v>30</v>
      </c>
      <c r="AT29" s="18">
        <f t="shared" ref="AT29:AT30" si="101">(6136/30*AS29)</f>
        <v>6136</v>
      </c>
      <c r="AU29" s="18">
        <f t="shared" ref="AU29:AU40" ca="1" si="102">(AT29*BK15)</f>
        <v>4386.6877600000007</v>
      </c>
      <c r="AV29" s="23">
        <f t="shared" ref="AV29:AV40" ca="1" si="103">(AQ59*N15+AW29)*-1</f>
        <v>0</v>
      </c>
      <c r="AW29" s="23">
        <f t="shared" ref="AW29:AW40" si="104">(AX15+AZ15+BB15+BD15+AK1-AR1)*(N15*-1)</f>
        <v>0</v>
      </c>
      <c r="AX29" s="23">
        <f ca="1">(AV29+AW29)</f>
        <v>0</v>
      </c>
      <c r="AY29" s="23">
        <f t="shared" ref="AY29:AY40" si="105">COUNTIF(O15,"Yok")*(0)
+COUNTIF(O15,"1. Derece")*($AG$36)
+COUNTIF(O15,"2. Derece")*($AG$37)
+COUNTIF(O15,"3. Derece")*($AG$38)</f>
        <v>0</v>
      </c>
      <c r="AZ29" s="18">
        <f t="shared" ref="AZ29:AZ34" si="106">($AI$8)</f>
        <v>33030</v>
      </c>
      <c r="BA29" s="18">
        <f>(AZ29)</f>
        <v>33030</v>
      </c>
      <c r="BB29" s="18">
        <f>(AZ29-BA29)</f>
        <v>0</v>
      </c>
      <c r="BC29" s="18">
        <f t="shared" ref="BC29:BC40" si="107">(BB29*0.00759*-1)</f>
        <v>0</v>
      </c>
      <c r="BD29" s="18">
        <f>(AZ29*0.00759)</f>
        <v>250.69770000000003</v>
      </c>
      <c r="BE29" s="18">
        <f t="shared" ref="BE29:BE40" si="108">(AZ29)</f>
        <v>33030</v>
      </c>
      <c r="BF29" s="18">
        <f>(0)</f>
        <v>0</v>
      </c>
      <c r="BL29" s="17">
        <v>27</v>
      </c>
      <c r="BM29" s="21">
        <v>13.5</v>
      </c>
      <c r="BN29" s="19">
        <v>0.28999999999999998</v>
      </c>
    </row>
    <row r="30" spans="1:66" ht="39.950000000000003" hidden="1" customHeight="1" x14ac:dyDescent="0.25">
      <c r="Z30" s="32" t="s">
        <v>43</v>
      </c>
      <c r="AA30" s="34" t="s">
        <v>48</v>
      </c>
      <c r="AG30" s="36">
        <v>22.722792999999999</v>
      </c>
      <c r="AH30" s="36">
        <v>25.794915</v>
      </c>
      <c r="AI30" s="17" t="s">
        <v>0</v>
      </c>
      <c r="AJ30" s="22" t="s">
        <v>0</v>
      </c>
      <c r="AK30" s="23">
        <f t="shared" ca="1" si="96"/>
        <v>0</v>
      </c>
      <c r="AL30" s="23">
        <f t="shared" si="97"/>
        <v>0</v>
      </c>
      <c r="AM30" s="23">
        <f t="shared" si="98"/>
        <v>0</v>
      </c>
      <c r="AN30" s="22" t="s">
        <v>9</v>
      </c>
      <c r="AO30" s="18">
        <f t="shared" si="99"/>
        <v>-2118.69</v>
      </c>
      <c r="AP30" s="18">
        <f t="shared" ref="AP30:AP40" si="109">(AO30*-1)</f>
        <v>2118.69</v>
      </c>
      <c r="AQ30" s="18">
        <f>(0)</f>
        <v>0</v>
      </c>
      <c r="AR30" s="18">
        <f t="shared" ca="1" si="100"/>
        <v>0</v>
      </c>
      <c r="AS30" s="28">
        <v>30</v>
      </c>
      <c r="AT30" s="18">
        <f t="shared" si="101"/>
        <v>6136</v>
      </c>
      <c r="AU30" s="18">
        <f t="shared" ca="1" si="102"/>
        <v>4386.6877600000007</v>
      </c>
      <c r="AV30" s="23">
        <f t="shared" ca="1" si="103"/>
        <v>0</v>
      </c>
      <c r="AW30" s="23">
        <f t="shared" si="104"/>
        <v>0</v>
      </c>
      <c r="AX30" s="23">
        <f t="shared" ref="AX30:AX40" ca="1" si="110">(AV30+AW30)</f>
        <v>0</v>
      </c>
      <c r="AY30" s="23">
        <f t="shared" si="105"/>
        <v>0</v>
      </c>
      <c r="AZ30" s="18">
        <f t="shared" si="106"/>
        <v>33030</v>
      </c>
      <c r="BA30" s="18">
        <f t="shared" ref="BA30:BA40" si="111">(AZ30)</f>
        <v>33030</v>
      </c>
      <c r="BB30" s="18">
        <f t="shared" ref="BB30:BB40" si="112">(AZ30-BA30)</f>
        <v>0</v>
      </c>
      <c r="BC30" s="18">
        <f t="shared" si="107"/>
        <v>0</v>
      </c>
      <c r="BD30" s="18">
        <f t="shared" ref="BD30:BD40" si="113">(AZ30*0.00759)</f>
        <v>250.69770000000003</v>
      </c>
      <c r="BE30" s="18">
        <f t="shared" si="108"/>
        <v>33030</v>
      </c>
      <c r="BF30" s="18">
        <f>(0)</f>
        <v>0</v>
      </c>
      <c r="BL30" s="17">
        <v>28</v>
      </c>
      <c r="BM30" s="21">
        <v>14</v>
      </c>
      <c r="BN30" s="19">
        <v>0.3</v>
      </c>
    </row>
    <row r="31" spans="1:66" ht="39.950000000000003" hidden="1" customHeight="1" x14ac:dyDescent="0.25">
      <c r="Z31" s="32" t="s">
        <v>13</v>
      </c>
      <c r="AA31" s="33" t="s">
        <v>108</v>
      </c>
      <c r="AG31" s="36">
        <v>0.44144099999999997</v>
      </c>
      <c r="AH31" s="36">
        <v>0.49964900000000001</v>
      </c>
      <c r="AI31" s="17" t="s">
        <v>0</v>
      </c>
      <c r="AJ31" s="22" t="s">
        <v>0</v>
      </c>
      <c r="AK31" s="23">
        <f t="shared" ca="1" si="96"/>
        <v>0</v>
      </c>
      <c r="AL31" s="23">
        <f t="shared" si="97"/>
        <v>0</v>
      </c>
      <c r="AM31" s="23">
        <f t="shared" si="98"/>
        <v>0</v>
      </c>
      <c r="AN31" s="22" t="s">
        <v>9</v>
      </c>
      <c r="AO31" s="18">
        <f t="shared" si="99"/>
        <v>-2506.1984010000001</v>
      </c>
      <c r="AP31" s="18">
        <f t="shared" si="109"/>
        <v>2506.1984010000001</v>
      </c>
      <c r="AQ31" s="18">
        <f>(BI15+BI16+BI17)</f>
        <v>74928.6489</v>
      </c>
      <c r="AR31" s="18">
        <f t="shared" ca="1" si="100"/>
        <v>51678.812429954021</v>
      </c>
      <c r="AS31" s="28">
        <v>30</v>
      </c>
      <c r="AT31" s="18">
        <v>7135.55</v>
      </c>
      <c r="AU31" s="18">
        <f t="shared" ca="1" si="102"/>
        <v>4921.4386679613335</v>
      </c>
      <c r="AV31" s="23">
        <f t="shared" ca="1" si="103"/>
        <v>0</v>
      </c>
      <c r="AW31" s="23">
        <f t="shared" si="104"/>
        <v>0</v>
      </c>
      <c r="AX31" s="23">
        <f t="shared" ca="1" si="110"/>
        <v>0</v>
      </c>
      <c r="AY31" s="23">
        <f t="shared" si="105"/>
        <v>0</v>
      </c>
      <c r="AZ31" s="18">
        <f t="shared" si="106"/>
        <v>33030</v>
      </c>
      <c r="BA31" s="18">
        <f t="shared" si="111"/>
        <v>33030</v>
      </c>
      <c r="BB31" s="18">
        <f t="shared" si="112"/>
        <v>0</v>
      </c>
      <c r="BC31" s="18">
        <f t="shared" si="107"/>
        <v>0</v>
      </c>
      <c r="BD31" s="18">
        <f t="shared" si="113"/>
        <v>250.69770000000003</v>
      </c>
      <c r="BE31" s="18">
        <f t="shared" si="108"/>
        <v>33030</v>
      </c>
      <c r="BF31" s="18">
        <f>(0)</f>
        <v>0</v>
      </c>
      <c r="BL31" s="17">
        <v>29</v>
      </c>
      <c r="BM31" s="21">
        <v>14.5</v>
      </c>
      <c r="BN31" s="19">
        <v>0.31</v>
      </c>
    </row>
    <row r="32" spans="1:66" ht="39.950000000000003" hidden="1" customHeight="1" x14ac:dyDescent="0.25">
      <c r="Z32" s="32" t="s">
        <v>36</v>
      </c>
      <c r="AA32" s="33" t="s">
        <v>109</v>
      </c>
      <c r="AK32" s="23">
        <f t="shared" ca="1" si="96"/>
        <v>0</v>
      </c>
      <c r="AL32" s="23">
        <f t="shared" si="97"/>
        <v>0</v>
      </c>
      <c r="AM32" s="23">
        <f t="shared" si="98"/>
        <v>0</v>
      </c>
      <c r="AN32" s="22" t="s">
        <v>9</v>
      </c>
      <c r="AO32" s="18">
        <f t="shared" si="99"/>
        <v>-2506.1984010000001</v>
      </c>
      <c r="AP32" s="18">
        <f t="shared" si="109"/>
        <v>2506.1984010000001</v>
      </c>
      <c r="AQ32" s="18">
        <f>(0)</f>
        <v>0</v>
      </c>
      <c r="AR32" s="18">
        <f t="shared" ca="1" si="100"/>
        <v>0</v>
      </c>
      <c r="AS32" s="28">
        <v>30</v>
      </c>
      <c r="AT32" s="18">
        <v>7135.55</v>
      </c>
      <c r="AU32" s="18">
        <f t="shared" ca="1" si="102"/>
        <v>4798.0151754999997</v>
      </c>
      <c r="AV32" s="23">
        <f t="shared" ca="1" si="103"/>
        <v>0</v>
      </c>
      <c r="AW32" s="23">
        <f t="shared" si="104"/>
        <v>0</v>
      </c>
      <c r="AX32" s="23">
        <f t="shared" ca="1" si="110"/>
        <v>0</v>
      </c>
      <c r="AY32" s="23">
        <f t="shared" si="105"/>
        <v>0</v>
      </c>
      <c r="AZ32" s="18">
        <f t="shared" si="106"/>
        <v>33030</v>
      </c>
      <c r="BA32" s="18">
        <f t="shared" si="111"/>
        <v>33030</v>
      </c>
      <c r="BB32" s="18">
        <f t="shared" si="112"/>
        <v>0</v>
      </c>
      <c r="BC32" s="18">
        <f t="shared" si="107"/>
        <v>0</v>
      </c>
      <c r="BD32" s="18">
        <f t="shared" si="113"/>
        <v>250.69770000000003</v>
      </c>
      <c r="BE32" s="18">
        <f t="shared" si="108"/>
        <v>33030</v>
      </c>
      <c r="BF32" s="18">
        <f>(0)</f>
        <v>0</v>
      </c>
      <c r="BL32" s="17">
        <v>30</v>
      </c>
      <c r="BM32" s="21">
        <v>15</v>
      </c>
      <c r="BN32" s="19">
        <v>0.32</v>
      </c>
    </row>
    <row r="33" spans="26:66" ht="39.950000000000003" hidden="1" customHeight="1" x14ac:dyDescent="0.25">
      <c r="Z33" s="37" t="s">
        <v>38</v>
      </c>
      <c r="AA33" s="34" t="s">
        <v>52</v>
      </c>
      <c r="AG33" s="35">
        <f>($AG$34*2)</f>
        <v>19000</v>
      </c>
      <c r="AH33" s="17" t="s">
        <v>0</v>
      </c>
      <c r="AI33" s="18">
        <f>($AG$29*$AG$33)</f>
        <v>26369.549000000003</v>
      </c>
      <c r="AJ33" s="18">
        <f>($AH$29*$AG$33)</f>
        <v>29934.727999999999</v>
      </c>
      <c r="AK33" s="23">
        <f t="shared" ca="1" si="96"/>
        <v>0</v>
      </c>
      <c r="AL33" s="23">
        <f t="shared" si="97"/>
        <v>0</v>
      </c>
      <c r="AM33" s="23">
        <f t="shared" si="98"/>
        <v>0</v>
      </c>
      <c r="AN33" s="22" t="s">
        <v>9</v>
      </c>
      <c r="AO33" s="18">
        <f t="shared" si="99"/>
        <v>-2506.1984010000001</v>
      </c>
      <c r="AP33" s="18">
        <f t="shared" si="109"/>
        <v>2506.1984010000001</v>
      </c>
      <c r="AQ33" s="18">
        <f>(0)</f>
        <v>0</v>
      </c>
      <c r="AR33" s="18">
        <f t="shared" ca="1" si="100"/>
        <v>0</v>
      </c>
      <c r="AS33" s="28">
        <v>30</v>
      </c>
      <c r="AT33" s="18">
        <v>7135.55</v>
      </c>
      <c r="AU33" s="18">
        <f t="shared" ca="1" si="102"/>
        <v>4610.9340197139081</v>
      </c>
      <c r="AV33" s="23">
        <f t="shared" ca="1" si="103"/>
        <v>0</v>
      </c>
      <c r="AW33" s="23">
        <f t="shared" si="104"/>
        <v>0</v>
      </c>
      <c r="AX33" s="23">
        <f t="shared" ca="1" si="110"/>
        <v>0</v>
      </c>
      <c r="AY33" s="23">
        <f t="shared" si="105"/>
        <v>0</v>
      </c>
      <c r="AZ33" s="18">
        <f t="shared" si="106"/>
        <v>33030</v>
      </c>
      <c r="BA33" s="18">
        <f t="shared" si="111"/>
        <v>33030</v>
      </c>
      <c r="BB33" s="18">
        <f t="shared" si="112"/>
        <v>0</v>
      </c>
      <c r="BC33" s="18">
        <f t="shared" si="107"/>
        <v>0</v>
      </c>
      <c r="BD33" s="18">
        <f t="shared" si="113"/>
        <v>250.69770000000003</v>
      </c>
      <c r="BE33" s="18">
        <f t="shared" si="108"/>
        <v>33030</v>
      </c>
      <c r="BF33" s="18">
        <f>(0)</f>
        <v>0</v>
      </c>
      <c r="BL33" s="17">
        <v>31</v>
      </c>
      <c r="BM33" s="21">
        <v>15.5</v>
      </c>
      <c r="BN33" s="19">
        <v>0.33</v>
      </c>
    </row>
    <row r="34" spans="26:66" ht="39.950000000000003" hidden="1" customHeight="1" x14ac:dyDescent="0.25">
      <c r="Z34" s="32" t="s">
        <v>44</v>
      </c>
      <c r="AA34" s="33" t="s">
        <v>51</v>
      </c>
      <c r="AG34" s="35">
        <f>(9500)</f>
        <v>9500</v>
      </c>
      <c r="AH34" s="17" t="s">
        <v>0</v>
      </c>
      <c r="AI34" s="18">
        <f>($AG$29*$AG$34)</f>
        <v>13184.774500000001</v>
      </c>
      <c r="AJ34" s="18">
        <f>($AH$29*$AG$34)</f>
        <v>14967.364</v>
      </c>
      <c r="AK34" s="23">
        <f t="shared" ca="1" si="96"/>
        <v>0</v>
      </c>
      <c r="AL34" s="23">
        <f t="shared" si="97"/>
        <v>0</v>
      </c>
      <c r="AM34" s="23">
        <f t="shared" si="98"/>
        <v>0</v>
      </c>
      <c r="AN34" s="22" t="s">
        <v>9</v>
      </c>
      <c r="AO34" s="18">
        <f t="shared" si="99"/>
        <v>-2506.1984010000001</v>
      </c>
      <c r="AP34" s="18">
        <f t="shared" si="109"/>
        <v>2506.1984010000001</v>
      </c>
      <c r="AQ34" s="18">
        <f>(BI18+BI19+BI20)</f>
        <v>83539.9467</v>
      </c>
      <c r="AR34" s="18">
        <f t="shared" ca="1" si="100"/>
        <v>51202.468731896995</v>
      </c>
      <c r="AS34" s="28">
        <v>30</v>
      </c>
      <c r="AT34" s="18">
        <v>7135.55</v>
      </c>
      <c r="AU34" s="18">
        <f t="shared" ca="1" si="102"/>
        <v>4373.4499504999994</v>
      </c>
      <c r="AV34" s="23">
        <f t="shared" ca="1" si="103"/>
        <v>0</v>
      </c>
      <c r="AW34" s="23">
        <f t="shared" si="104"/>
        <v>0</v>
      </c>
      <c r="AX34" s="23">
        <f t="shared" ca="1" si="110"/>
        <v>0</v>
      </c>
      <c r="AY34" s="23">
        <f t="shared" si="105"/>
        <v>0</v>
      </c>
      <c r="AZ34" s="18">
        <f t="shared" si="106"/>
        <v>33030</v>
      </c>
      <c r="BA34" s="18">
        <f t="shared" si="111"/>
        <v>33030</v>
      </c>
      <c r="BB34" s="18">
        <f t="shared" si="112"/>
        <v>0</v>
      </c>
      <c r="BC34" s="18">
        <f t="shared" si="107"/>
        <v>0</v>
      </c>
      <c r="BD34" s="18">
        <f t="shared" si="113"/>
        <v>250.69770000000003</v>
      </c>
      <c r="BE34" s="18">
        <f t="shared" si="108"/>
        <v>33030</v>
      </c>
      <c r="BF34" s="18">
        <f>(0)</f>
        <v>0</v>
      </c>
      <c r="BL34" s="17">
        <v>32</v>
      </c>
      <c r="BM34" s="21">
        <v>16</v>
      </c>
      <c r="BN34" s="19">
        <v>0.34</v>
      </c>
    </row>
    <row r="35" spans="26:66" ht="39.950000000000003" hidden="1" customHeight="1" x14ac:dyDescent="0.25">
      <c r="AK35" s="23">
        <f t="shared" ca="1" si="96"/>
        <v>0</v>
      </c>
      <c r="AL35" s="23">
        <f t="shared" si="97"/>
        <v>0</v>
      </c>
      <c r="AM35" s="23">
        <f t="shared" si="98"/>
        <v>0</v>
      </c>
      <c r="AN35" s="22" t="s">
        <v>9</v>
      </c>
      <c r="AO35" s="18">
        <f t="shared" si="99"/>
        <v>-2506.1984010000001</v>
      </c>
      <c r="AP35" s="18">
        <f t="shared" si="109"/>
        <v>2506.1984010000001</v>
      </c>
      <c r="AQ35" s="18">
        <f>(0)</f>
        <v>0</v>
      </c>
      <c r="AR35" s="18">
        <f t="shared" ca="1" si="100"/>
        <v>0</v>
      </c>
      <c r="AS35" s="28">
        <v>30</v>
      </c>
      <c r="AT35" s="18">
        <v>7135.55</v>
      </c>
      <c r="AU35" s="18">
        <f t="shared" ca="1" si="102"/>
        <v>4373.4499504999994</v>
      </c>
      <c r="AV35" s="23">
        <f t="shared" ca="1" si="103"/>
        <v>0</v>
      </c>
      <c r="AW35" s="23">
        <f t="shared" si="104"/>
        <v>0</v>
      </c>
      <c r="AX35" s="23">
        <f t="shared" ca="1" si="110"/>
        <v>0</v>
      </c>
      <c r="AY35" s="23">
        <f t="shared" si="105"/>
        <v>0</v>
      </c>
      <c r="AZ35" s="18">
        <f t="shared" ref="AZ35:AZ40" si="114">($AJ$8)</f>
        <v>33030</v>
      </c>
      <c r="BA35" s="18">
        <f t="shared" si="111"/>
        <v>33030</v>
      </c>
      <c r="BB35" s="18">
        <f t="shared" si="112"/>
        <v>0</v>
      </c>
      <c r="BC35" s="18">
        <f t="shared" si="107"/>
        <v>0</v>
      </c>
      <c r="BD35" s="18">
        <f t="shared" si="113"/>
        <v>250.69770000000003</v>
      </c>
      <c r="BE35" s="18">
        <f t="shared" si="108"/>
        <v>33030</v>
      </c>
      <c r="BF35" s="18">
        <f>(0)</f>
        <v>0</v>
      </c>
      <c r="BL35" s="17">
        <v>33</v>
      </c>
      <c r="BM35" s="21">
        <v>16.5</v>
      </c>
      <c r="BN35" s="19">
        <v>0.35</v>
      </c>
    </row>
    <row r="36" spans="26:66" ht="39.950000000000003" hidden="1" customHeight="1" x14ac:dyDescent="0.25">
      <c r="AG36" s="18">
        <v>12000</v>
      </c>
      <c r="AH36" s="17" t="s">
        <v>0</v>
      </c>
      <c r="AI36" s="17" t="s">
        <v>0</v>
      </c>
      <c r="AJ36" s="17" t="s">
        <v>0</v>
      </c>
      <c r="AK36" s="23">
        <f t="shared" ca="1" si="96"/>
        <v>0</v>
      </c>
      <c r="AL36" s="23">
        <f t="shared" si="97"/>
        <v>0</v>
      </c>
      <c r="AM36" s="23">
        <f t="shared" si="98"/>
        <v>0</v>
      </c>
      <c r="AN36" s="22" t="s">
        <v>9</v>
      </c>
      <c r="AO36" s="18">
        <f t="shared" si="99"/>
        <v>-2506.1984010000001</v>
      </c>
      <c r="AP36" s="18">
        <f t="shared" si="109"/>
        <v>2506.1984010000001</v>
      </c>
      <c r="AQ36" s="18">
        <f>(0)</f>
        <v>0</v>
      </c>
      <c r="AR36" s="18">
        <f t="shared" ca="1" si="100"/>
        <v>0</v>
      </c>
      <c r="AS36" s="28">
        <v>30</v>
      </c>
      <c r="AT36" s="18">
        <v>7135.55</v>
      </c>
      <c r="AU36" s="18">
        <f t="shared" ca="1" si="102"/>
        <v>4373.4499504999994</v>
      </c>
      <c r="AV36" s="23">
        <f t="shared" ca="1" si="103"/>
        <v>0</v>
      </c>
      <c r="AW36" s="23">
        <f t="shared" si="104"/>
        <v>0</v>
      </c>
      <c r="AX36" s="23">
        <f t="shared" ca="1" si="110"/>
        <v>0</v>
      </c>
      <c r="AY36" s="23">
        <f t="shared" si="105"/>
        <v>0</v>
      </c>
      <c r="AZ36" s="18">
        <f t="shared" si="114"/>
        <v>33030</v>
      </c>
      <c r="BA36" s="18">
        <f t="shared" si="111"/>
        <v>33030</v>
      </c>
      <c r="BB36" s="18">
        <f t="shared" si="112"/>
        <v>0</v>
      </c>
      <c r="BC36" s="18">
        <f t="shared" si="107"/>
        <v>0</v>
      </c>
      <c r="BD36" s="18">
        <f t="shared" si="113"/>
        <v>250.69770000000003</v>
      </c>
      <c r="BE36" s="18">
        <f t="shared" si="108"/>
        <v>33030</v>
      </c>
      <c r="BF36" s="18">
        <f>(0)</f>
        <v>0</v>
      </c>
      <c r="BL36" s="17">
        <v>34</v>
      </c>
      <c r="BM36" s="21">
        <v>17</v>
      </c>
      <c r="BN36" s="19">
        <v>0.36</v>
      </c>
    </row>
    <row r="37" spans="26:66" ht="39.950000000000003" hidden="1" customHeight="1" x14ac:dyDescent="0.25">
      <c r="AG37" s="18">
        <v>7000</v>
      </c>
      <c r="AH37" s="17" t="s">
        <v>0</v>
      </c>
      <c r="AI37" s="17" t="s">
        <v>0</v>
      </c>
      <c r="AJ37" s="17" t="s">
        <v>0</v>
      </c>
      <c r="AK37" s="23">
        <f t="shared" ca="1" si="96"/>
        <v>0</v>
      </c>
      <c r="AL37" s="23">
        <f t="shared" si="97"/>
        <v>0</v>
      </c>
      <c r="AM37" s="23">
        <f t="shared" si="98"/>
        <v>0</v>
      </c>
      <c r="AN37" s="22" t="s">
        <v>9</v>
      </c>
      <c r="AO37" s="18">
        <f t="shared" si="99"/>
        <v>-2884.1310000000003</v>
      </c>
      <c r="AP37" s="18">
        <f t="shared" si="109"/>
        <v>2884.1310000000003</v>
      </c>
      <c r="AQ37" s="18">
        <f>(BI21+BI22+BI23)</f>
        <v>87739.197799999994</v>
      </c>
      <c r="AR37" s="18">
        <f t="shared" ca="1" si="100"/>
        <v>53776.231723597994</v>
      </c>
      <c r="AS37" s="28">
        <v>30</v>
      </c>
      <c r="AT37" s="18">
        <v>7135.55</v>
      </c>
      <c r="AU37" s="18">
        <f t="shared" ca="1" si="102"/>
        <v>4373.4499504999994</v>
      </c>
      <c r="AV37" s="23">
        <f t="shared" ca="1" si="103"/>
        <v>0</v>
      </c>
      <c r="AW37" s="23">
        <f t="shared" si="104"/>
        <v>0</v>
      </c>
      <c r="AX37" s="23">
        <f t="shared" ca="1" si="110"/>
        <v>0</v>
      </c>
      <c r="AY37" s="23">
        <f t="shared" si="105"/>
        <v>0</v>
      </c>
      <c r="AZ37" s="18">
        <f t="shared" si="114"/>
        <v>33030</v>
      </c>
      <c r="BA37" s="18">
        <f t="shared" si="111"/>
        <v>33030</v>
      </c>
      <c r="BB37" s="18">
        <f t="shared" si="112"/>
        <v>0</v>
      </c>
      <c r="BC37" s="18">
        <f t="shared" si="107"/>
        <v>0</v>
      </c>
      <c r="BD37" s="18">
        <f t="shared" si="113"/>
        <v>250.69770000000003</v>
      </c>
      <c r="BE37" s="18">
        <f t="shared" si="108"/>
        <v>33030</v>
      </c>
      <c r="BF37" s="18">
        <f>(0)</f>
        <v>0</v>
      </c>
      <c r="BL37" s="17">
        <v>35</v>
      </c>
      <c r="BM37" s="21">
        <v>17.5</v>
      </c>
      <c r="BN37" s="19">
        <v>0.37</v>
      </c>
    </row>
    <row r="38" spans="26:66" ht="39.950000000000003" hidden="1" customHeight="1" x14ac:dyDescent="0.25">
      <c r="AG38" s="18">
        <v>3000</v>
      </c>
      <c r="AH38" s="17" t="s">
        <v>0</v>
      </c>
      <c r="AI38" s="17" t="s">
        <v>0</v>
      </c>
      <c r="AJ38" s="17" t="s">
        <v>0</v>
      </c>
      <c r="AK38" s="23">
        <f t="shared" ca="1" si="96"/>
        <v>0</v>
      </c>
      <c r="AL38" s="23">
        <f t="shared" si="97"/>
        <v>0</v>
      </c>
      <c r="AM38" s="23">
        <f t="shared" si="98"/>
        <v>0</v>
      </c>
      <c r="AN38" s="22" t="s">
        <v>9</v>
      </c>
      <c r="AO38" s="18">
        <f t="shared" si="99"/>
        <v>-2884.1310000000003</v>
      </c>
      <c r="AP38" s="18">
        <f t="shared" si="109"/>
        <v>2884.1310000000003</v>
      </c>
      <c r="AQ38" s="18">
        <f>(0)</f>
        <v>0</v>
      </c>
      <c r="AR38" s="18">
        <f t="shared" ca="1" si="100"/>
        <v>0</v>
      </c>
      <c r="AS38" s="28">
        <v>30</v>
      </c>
      <c r="AT38" s="18">
        <v>7135.55</v>
      </c>
      <c r="AU38" s="18">
        <f t="shared" ca="1" si="102"/>
        <v>4373.4499504999994</v>
      </c>
      <c r="AV38" s="23">
        <f t="shared" ca="1" si="103"/>
        <v>0</v>
      </c>
      <c r="AW38" s="23">
        <f t="shared" si="104"/>
        <v>0</v>
      </c>
      <c r="AX38" s="23">
        <f t="shared" ca="1" si="110"/>
        <v>0</v>
      </c>
      <c r="AY38" s="23">
        <f t="shared" si="105"/>
        <v>0</v>
      </c>
      <c r="AZ38" s="18">
        <f t="shared" si="114"/>
        <v>33030</v>
      </c>
      <c r="BA38" s="18">
        <f t="shared" si="111"/>
        <v>33030</v>
      </c>
      <c r="BB38" s="18">
        <f t="shared" si="112"/>
        <v>0</v>
      </c>
      <c r="BC38" s="18">
        <f t="shared" si="107"/>
        <v>0</v>
      </c>
      <c r="BD38" s="18">
        <f t="shared" si="113"/>
        <v>250.69770000000003</v>
      </c>
      <c r="BE38" s="18">
        <f t="shared" si="108"/>
        <v>33030</v>
      </c>
      <c r="BF38" s="18">
        <f>(0)</f>
        <v>0</v>
      </c>
      <c r="BL38" s="17">
        <v>36</v>
      </c>
      <c r="BM38" s="21">
        <v>18</v>
      </c>
      <c r="BN38" s="19">
        <v>0.38</v>
      </c>
    </row>
    <row r="39" spans="26:66" ht="39.950000000000003" hidden="1" customHeight="1" x14ac:dyDescent="0.25">
      <c r="AK39" s="23">
        <f t="shared" ca="1" si="96"/>
        <v>0</v>
      </c>
      <c r="AL39" s="23">
        <f t="shared" si="97"/>
        <v>0</v>
      </c>
      <c r="AM39" s="23">
        <f t="shared" si="98"/>
        <v>0</v>
      </c>
      <c r="AN39" s="22" t="s">
        <v>9</v>
      </c>
      <c r="AO39" s="18">
        <f t="shared" si="99"/>
        <v>-2884.1310000000003</v>
      </c>
      <c r="AP39" s="18">
        <f t="shared" si="109"/>
        <v>2884.1310000000003</v>
      </c>
      <c r="AQ39" s="18">
        <f>(0)</f>
        <v>0</v>
      </c>
      <c r="AR39" s="18">
        <f t="shared" ca="1" si="100"/>
        <v>0</v>
      </c>
      <c r="AS39" s="28">
        <v>30</v>
      </c>
      <c r="AT39" s="18">
        <v>7135.55</v>
      </c>
      <c r="AU39" s="18">
        <f t="shared" ca="1" si="102"/>
        <v>4373.4499504999994</v>
      </c>
      <c r="AV39" s="23">
        <f t="shared" ca="1" si="103"/>
        <v>0</v>
      </c>
      <c r="AW39" s="23">
        <f t="shared" si="104"/>
        <v>0</v>
      </c>
      <c r="AX39" s="23">
        <f t="shared" ca="1" si="110"/>
        <v>0</v>
      </c>
      <c r="AY39" s="23">
        <f t="shared" si="105"/>
        <v>0</v>
      </c>
      <c r="AZ39" s="18">
        <f t="shared" si="114"/>
        <v>33030</v>
      </c>
      <c r="BA39" s="18">
        <f t="shared" si="111"/>
        <v>33030</v>
      </c>
      <c r="BB39" s="18">
        <f t="shared" si="112"/>
        <v>0</v>
      </c>
      <c r="BC39" s="18">
        <f t="shared" si="107"/>
        <v>0</v>
      </c>
      <c r="BD39" s="18">
        <f t="shared" si="113"/>
        <v>250.69770000000003</v>
      </c>
      <c r="BE39" s="18">
        <f t="shared" si="108"/>
        <v>33030</v>
      </c>
      <c r="BF39" s="18">
        <f>(0)</f>
        <v>0</v>
      </c>
      <c r="BL39" s="17">
        <v>37</v>
      </c>
      <c r="BM39" s="21">
        <v>18.5</v>
      </c>
      <c r="BN39" s="19">
        <v>0.39</v>
      </c>
    </row>
    <row r="40" spans="26:66" ht="39.950000000000003" hidden="1" customHeight="1" x14ac:dyDescent="0.25">
      <c r="AK40" s="23">
        <f t="shared" ca="1" si="96"/>
        <v>0</v>
      </c>
      <c r="AL40" s="23">
        <f t="shared" si="97"/>
        <v>0</v>
      </c>
      <c r="AM40" s="23">
        <f t="shared" si="98"/>
        <v>0</v>
      </c>
      <c r="AN40" s="22" t="s">
        <v>9</v>
      </c>
      <c r="AO40" s="18">
        <f t="shared" si="99"/>
        <v>-2884.1310000000003</v>
      </c>
      <c r="AP40" s="18">
        <f t="shared" si="109"/>
        <v>2884.1310000000003</v>
      </c>
      <c r="AQ40" s="18">
        <f>(BI24+BI25+BI26)</f>
        <v>96137.700000000012</v>
      </c>
      <c r="AR40" s="18">
        <f t="shared" ca="1" si="100"/>
        <v>58923.757707000004</v>
      </c>
      <c r="AS40" s="28">
        <v>30</v>
      </c>
      <c r="AT40" s="18">
        <v>7135.55</v>
      </c>
      <c r="AU40" s="18">
        <f t="shared" ca="1" si="102"/>
        <v>4373.4499504999994</v>
      </c>
      <c r="AV40" s="23">
        <f t="shared" ca="1" si="103"/>
        <v>0</v>
      </c>
      <c r="AW40" s="23">
        <f t="shared" si="104"/>
        <v>0</v>
      </c>
      <c r="AX40" s="23">
        <f t="shared" ca="1" si="110"/>
        <v>0</v>
      </c>
      <c r="AY40" s="23">
        <f t="shared" si="105"/>
        <v>0</v>
      </c>
      <c r="AZ40" s="18">
        <f t="shared" si="114"/>
        <v>33030</v>
      </c>
      <c r="BA40" s="18">
        <f t="shared" si="111"/>
        <v>33030</v>
      </c>
      <c r="BB40" s="18">
        <f t="shared" si="112"/>
        <v>0</v>
      </c>
      <c r="BC40" s="18">
        <f t="shared" si="107"/>
        <v>0</v>
      </c>
      <c r="BD40" s="18">
        <f t="shared" si="113"/>
        <v>250.69770000000003</v>
      </c>
      <c r="BE40" s="18">
        <f t="shared" si="108"/>
        <v>33030</v>
      </c>
      <c r="BF40" s="18">
        <f>(0)</f>
        <v>0</v>
      </c>
      <c r="BL40" s="17">
        <v>38</v>
      </c>
      <c r="BM40" s="21">
        <v>19</v>
      </c>
      <c r="BN40" s="19">
        <v>0.4</v>
      </c>
    </row>
    <row r="41" spans="26:66" ht="39.950000000000003" hidden="1" customHeight="1" x14ac:dyDescent="0.25">
      <c r="AK41" s="18">
        <f t="shared" ref="AK41" ca="1" si="115">(AK29+AK30+AK31+AK32+AK33+AK34+AK35+AK36+AK37+AK38+AK39+AK40)</f>
        <v>0</v>
      </c>
      <c r="AL41" s="18">
        <f t="shared" ref="AL41" si="116">(AL29+AL30+AL31+AL32+AL33+AL34+AL35+AL36+AL37+AL38+AL39+AL40)</f>
        <v>0</v>
      </c>
      <c r="AM41" s="18">
        <f t="shared" ref="AM41" si="117">(AM29+AM30+AM31+AM32+AM33+AM34+AM35+AM36+AM37+AM38+AM39+AM40)</f>
        <v>0</v>
      </c>
      <c r="AN41" s="35" t="s">
        <v>0</v>
      </c>
      <c r="AO41" s="18">
        <f t="shared" ref="AO41:AP41" si="118">(AO29+AO30+AO31+AO32+AO33+AO34+AO35+AO36+AO37+AO38+AO39+AO40)</f>
        <v>-30811.094406000007</v>
      </c>
      <c r="AP41" s="18">
        <f t="shared" si="118"/>
        <v>30811.094406000007</v>
      </c>
      <c r="AQ41" s="18">
        <f>(AQ29+AQ30+AQ31+AQ32+AQ33+AQ34+AQ35+AQ36+AQ37+AQ38+AQ39+AQ40)</f>
        <v>342345.49340000004</v>
      </c>
      <c r="AR41" s="18">
        <f ca="1">(AR29+AR30+AR31+AR32+AR33+AR34+AR35+AR36+AR37+AR38+AR39+AR40)</f>
        <v>215581.27059244903</v>
      </c>
      <c r="AS41" s="28">
        <f>(AS29+AS30+AS31+AS32+AS33+AS34+AS35+AS36+AS37+AS38+AS39+AS40)</f>
        <v>360</v>
      </c>
      <c r="AT41" s="18">
        <f t="shared" ref="AT41:AU41" si="119">(AT29+AT30+AT31+AT32+AT33+AT34+AT35+AT36+AT37+AT38+AT39+AT40)</f>
        <v>83627.500000000015</v>
      </c>
      <c r="AU41" s="18">
        <f t="shared" ca="1" si="119"/>
        <v>53717.913036675236</v>
      </c>
      <c r="AV41" s="18">
        <f t="shared" ref="AV41:AX41" ca="1" si="120">(AV29+AV30+AV31+AV32+AV33+AV34+AV35+AV36+AV37+AV38+AV39+AV40)</f>
        <v>0</v>
      </c>
      <c r="AW41" s="18">
        <f t="shared" si="120"/>
        <v>0</v>
      </c>
      <c r="AX41" s="18">
        <f t="shared" ca="1" si="120"/>
        <v>0</v>
      </c>
      <c r="AY41" s="18">
        <f t="shared" ref="AY41" si="121">(AY29+AY30+AY31+AY32+AY33+AY34+AY35+AY36+AY37+AY38+AY39+AY40)</f>
        <v>0</v>
      </c>
      <c r="AZ41" s="18">
        <f t="shared" ref="AZ41" si="122">(AZ29+AZ30+AZ31+AZ32+AZ33+AZ34+AZ35+AZ36+AZ37+AZ38+AZ39+AZ40)</f>
        <v>396360</v>
      </c>
      <c r="BA41" s="18">
        <f t="shared" ref="BA41" si="123">(BA29+BA30+BA31+BA32+BA33+BA34+BA35+BA36+BA37+BA38+BA39+BA40)</f>
        <v>396360</v>
      </c>
      <c r="BB41" s="18">
        <f t="shared" ref="BB41:BD41" si="124">(BB29+BB30+BB31+BB32+BB33+BB34+BB35+BB36+BB37+BB38+BB39+BB40)</f>
        <v>0</v>
      </c>
      <c r="BC41" s="18">
        <f>(BC29+BC30+BC31+BC32+BC33+BC34+BC35+BC36+BC37+BC38+BC39+BC40)</f>
        <v>0</v>
      </c>
      <c r="BD41" s="18">
        <f t="shared" si="124"/>
        <v>3008.3724000000007</v>
      </c>
      <c r="BE41" s="18">
        <f t="shared" ref="BE41" si="125">(BE29+BE30+BE31+BE32+BE33+BE34+BE35+BE36+BE37+BE38+BE39+BE40)</f>
        <v>396360</v>
      </c>
      <c r="BF41" s="18">
        <f t="shared" ref="BF41" si="126">(BF29+BF30+BF31+BF32+BF33+BF34+BF35+BF36+BF37+BF38+BF39+BF40)</f>
        <v>0</v>
      </c>
      <c r="BL41" s="17">
        <v>39</v>
      </c>
      <c r="BM41" s="21">
        <v>19.5</v>
      </c>
      <c r="BN41" s="19">
        <v>0.41</v>
      </c>
    </row>
    <row r="42" spans="26:66" ht="39.950000000000003" hidden="1" customHeight="1" x14ac:dyDescent="0.25">
      <c r="AK42" s="18">
        <f t="shared" ref="AK42" ca="1" si="127">AK41/12</f>
        <v>0</v>
      </c>
      <c r="AL42" s="18">
        <f t="shared" ref="AL42" si="128">AL41/12</f>
        <v>0</v>
      </c>
      <c r="AM42" s="18">
        <f t="shared" ref="AM42" si="129">AM41/12</f>
        <v>0</v>
      </c>
      <c r="AN42" s="35" t="s">
        <v>0</v>
      </c>
      <c r="AO42" s="18">
        <f t="shared" ref="AO42:AP42" si="130">(AO41/12)</f>
        <v>-2567.5912005000005</v>
      </c>
      <c r="AP42" s="18">
        <f t="shared" si="130"/>
        <v>2567.5912005000005</v>
      </c>
      <c r="AQ42" s="18">
        <f>(AQ41/12)</f>
        <v>28528.791116666671</v>
      </c>
      <c r="AR42" s="18">
        <f ca="1">(AR41/12)</f>
        <v>17965.105882704087</v>
      </c>
      <c r="AS42" s="35" t="s">
        <v>0</v>
      </c>
      <c r="AT42" s="18">
        <f t="shared" ref="AT42:AU42" si="131">(AT41/12)</f>
        <v>6968.9583333333348</v>
      </c>
      <c r="AU42" s="18">
        <f t="shared" ca="1" si="131"/>
        <v>4476.49275305627</v>
      </c>
      <c r="AV42" s="18">
        <f t="shared" ref="AV42:AX42" ca="1" si="132">(AV41/12)</f>
        <v>0</v>
      </c>
      <c r="AW42" s="18">
        <f t="shared" si="132"/>
        <v>0</v>
      </c>
      <c r="AX42" s="18">
        <f t="shared" ca="1" si="132"/>
        <v>0</v>
      </c>
      <c r="AY42" s="18">
        <f t="shared" ref="AY42" si="133">(AY41/12)</f>
        <v>0</v>
      </c>
      <c r="AZ42" s="18">
        <f t="shared" ref="AZ42" si="134">(AZ41/12)</f>
        <v>33030</v>
      </c>
      <c r="BA42" s="18">
        <f t="shared" ref="BA42" si="135">(BA41/12)</f>
        <v>33030</v>
      </c>
      <c r="BB42" s="18">
        <f t="shared" ref="BB42:BD42" si="136">(BB41/12)</f>
        <v>0</v>
      </c>
      <c r="BC42" s="18">
        <f>(BC41/12)</f>
        <v>0</v>
      </c>
      <c r="BD42" s="18">
        <f t="shared" si="136"/>
        <v>250.69770000000005</v>
      </c>
      <c r="BE42" s="18">
        <f t="shared" ref="BE42" si="137">(BE41/12)</f>
        <v>33030</v>
      </c>
      <c r="BF42" s="18">
        <f t="shared" ref="BF42" si="138">(BF41/12)</f>
        <v>0</v>
      </c>
      <c r="BL42" s="17">
        <v>40</v>
      </c>
      <c r="BM42" s="21">
        <v>20</v>
      </c>
      <c r="BN42" s="19">
        <v>0.42</v>
      </c>
    </row>
    <row r="43" spans="26:66" ht="39.950000000000003" hidden="1" customHeight="1" x14ac:dyDescent="0.25">
      <c r="AU43" s="18">
        <f>(0)</f>
        <v>0</v>
      </c>
      <c r="AV43" s="38">
        <f>(0%)</f>
        <v>0</v>
      </c>
      <c r="BL43" s="17">
        <v>41</v>
      </c>
      <c r="BM43" s="21">
        <v>20.5</v>
      </c>
      <c r="BN43" s="19">
        <v>0.43</v>
      </c>
    </row>
    <row r="44" spans="26:66" ht="39.950000000000003" hidden="1" customHeight="1" x14ac:dyDescent="0.25">
      <c r="AK44" s="18">
        <f t="shared" ref="AK44:AK55" si="139">(BE29-BF29)</f>
        <v>33030</v>
      </c>
      <c r="AL44" s="18">
        <f>(AK44*0.14*-1)</f>
        <v>-4624.2000000000007</v>
      </c>
      <c r="AM44" s="18">
        <f>(AK44*0.01*-1)</f>
        <v>-330.3</v>
      </c>
      <c r="AN44" s="39">
        <v>0.15</v>
      </c>
      <c r="AO44" s="18">
        <v>0</v>
      </c>
      <c r="AP44" s="18">
        <v>190000</v>
      </c>
      <c r="AQ44" s="18">
        <v>0</v>
      </c>
      <c r="AR44" s="18">
        <f t="shared" ref="AR44:AR55" si="140">(AZ29+AL44+AM44)</f>
        <v>28075.5</v>
      </c>
      <c r="AS44" s="18">
        <f>(0)</f>
        <v>0</v>
      </c>
      <c r="AT44" s="18">
        <f>(AR44-AS44)</f>
        <v>28075.5</v>
      </c>
      <c r="AU44" s="18">
        <f>SUM(AT$44:$AT44)</f>
        <v>28075.5</v>
      </c>
      <c r="AV44" s="38">
        <f t="shared" ref="AV44:AV55" si="141">IF(AU44&lt;=$AP$44,$AN$44,
IF(AU44&gt;$AP$46,
IF(AU44&gt;$AP$47,$AN$48,$AN$47),
IF(AU44&lt;$AP$45,$AN$45,$AN$46)))</f>
        <v>0.15</v>
      </c>
      <c r="AW44" s="22">
        <f>IF(AV44-AV43=0,0,1)</f>
        <v>1</v>
      </c>
      <c r="AX44" s="29">
        <f t="shared" ref="AX44:AX55" si="142">IF(AW44=0,AV44,(VLOOKUP($AV44,$AN$44:$AQ$48,2,0)-AU43)/AT44*AV43+(AU44-VLOOKUP($AV44,$AN$44:$AQ$48,2,0))/AT44*AV44)</f>
        <v>0.15</v>
      </c>
      <c r="AY44" s="18">
        <f>(ROUND(AT44*AX44,2)+VLOOKUP(AV44,$AN$44:$AQ$48,4,0))</f>
        <v>4211.33</v>
      </c>
      <c r="AZ44" s="29">
        <f>(100+(100*0.00759*-1)+(100*0.01*-1)+(100*0.01*-1)+(100+100*0.14*-1+100*0.01*-1)*AX44*-1)/100</f>
        <v>0.84491000000000005</v>
      </c>
      <c r="BA44" s="18">
        <f t="shared" ref="BA44:BA55" si="143">AZ29</f>
        <v>33030</v>
      </c>
      <c r="BB44" s="18">
        <f t="shared" ref="BB44:BB55" si="144">AZ29+BC29+AL44+AM44</f>
        <v>28075.5</v>
      </c>
      <c r="BL44" s="17">
        <v>42</v>
      </c>
      <c r="BM44" s="21">
        <v>21</v>
      </c>
      <c r="BN44" s="19">
        <v>0.44</v>
      </c>
    </row>
    <row r="45" spans="26:66" ht="39.950000000000003" hidden="1" customHeight="1" x14ac:dyDescent="0.25">
      <c r="AK45" s="18">
        <f t="shared" si="139"/>
        <v>33030</v>
      </c>
      <c r="AL45" s="18">
        <f t="shared" ref="AL45:AL55" si="145">(AK45*0.14*-1)</f>
        <v>-4624.2000000000007</v>
      </c>
      <c r="AM45" s="18">
        <f t="shared" ref="AM45:AM55" si="146">(AK45*0.01*-1)</f>
        <v>-330.3</v>
      </c>
      <c r="AN45" s="39">
        <v>0.2</v>
      </c>
      <c r="AO45" s="18">
        <f>$AP$44</f>
        <v>190000</v>
      </c>
      <c r="AP45" s="18">
        <v>400000</v>
      </c>
      <c r="AQ45" s="18">
        <f>(AP44-AO44)*AN44+AQ44</f>
        <v>28500</v>
      </c>
      <c r="AR45" s="18">
        <f t="shared" si="140"/>
        <v>28075.5</v>
      </c>
      <c r="AS45" s="18">
        <f>(0)</f>
        <v>0</v>
      </c>
      <c r="AT45" s="18">
        <f t="shared" ref="AT45:AT55" si="147">(AR45-AS45)</f>
        <v>28075.5</v>
      </c>
      <c r="AU45" s="18">
        <f>SUM(AT$44:$AT45)</f>
        <v>56151</v>
      </c>
      <c r="AV45" s="38">
        <f t="shared" si="141"/>
        <v>0.15</v>
      </c>
      <c r="AW45" s="22">
        <f t="shared" ref="AW45:AW55" si="148">IF(AV45-AV44=0,0,1)</f>
        <v>0</v>
      </c>
      <c r="AX45" s="29">
        <f t="shared" si="142"/>
        <v>0.15</v>
      </c>
      <c r="AY45" s="18">
        <f>(ROUND(AT45*AX45,2))</f>
        <v>4211.33</v>
      </c>
      <c r="AZ45" s="29">
        <f t="shared" ref="AZ45:AZ55" si="149">(100+(100*0.00759*-1)+(100*0.01*-1)+(100*0.01*-1)+(100+100*0.14*-1+100*0.01*-1)*AX45*-1)/100</f>
        <v>0.84491000000000005</v>
      </c>
      <c r="BA45" s="18">
        <f t="shared" si="143"/>
        <v>33030</v>
      </c>
      <c r="BB45" s="18">
        <f t="shared" si="144"/>
        <v>28075.5</v>
      </c>
      <c r="BL45" s="17">
        <v>43</v>
      </c>
      <c r="BM45" s="21">
        <v>21.5</v>
      </c>
      <c r="BN45" s="19">
        <v>0.45</v>
      </c>
    </row>
    <row r="46" spans="26:66" ht="39.950000000000003" hidden="1" customHeight="1" x14ac:dyDescent="0.25">
      <c r="AK46" s="18">
        <f t="shared" si="139"/>
        <v>33030</v>
      </c>
      <c r="AL46" s="18">
        <f t="shared" si="145"/>
        <v>-4624.2000000000007</v>
      </c>
      <c r="AM46" s="18">
        <f t="shared" si="146"/>
        <v>-330.3</v>
      </c>
      <c r="AN46" s="39">
        <v>0.27</v>
      </c>
      <c r="AO46" s="18">
        <f>$AP$45</f>
        <v>400000</v>
      </c>
      <c r="AP46" s="18">
        <v>1500000</v>
      </c>
      <c r="AQ46" s="18">
        <f>(AP45-AO45)*AN45+AQ45</f>
        <v>70500</v>
      </c>
      <c r="AR46" s="18">
        <f t="shared" si="140"/>
        <v>28075.5</v>
      </c>
      <c r="AS46" s="18">
        <f>(0)</f>
        <v>0</v>
      </c>
      <c r="AT46" s="18">
        <f t="shared" si="147"/>
        <v>28075.5</v>
      </c>
      <c r="AU46" s="18">
        <f>SUM(AT$44:$AT46)</f>
        <v>84226.5</v>
      </c>
      <c r="AV46" s="38">
        <f t="shared" si="141"/>
        <v>0.15</v>
      </c>
      <c r="AW46" s="22">
        <f t="shared" si="148"/>
        <v>0</v>
      </c>
      <c r="AX46" s="29">
        <f t="shared" si="142"/>
        <v>0.15</v>
      </c>
      <c r="AY46" s="18">
        <f t="shared" ref="AY46:AY55" si="150">(ROUND(AT46*AX46,2))</f>
        <v>4211.33</v>
      </c>
      <c r="AZ46" s="29">
        <f t="shared" si="149"/>
        <v>0.84491000000000005</v>
      </c>
      <c r="BA46" s="18">
        <f t="shared" si="143"/>
        <v>33030</v>
      </c>
      <c r="BB46" s="18">
        <f t="shared" si="144"/>
        <v>28075.5</v>
      </c>
      <c r="BL46" s="17">
        <v>44</v>
      </c>
      <c r="BM46" s="21">
        <v>22</v>
      </c>
      <c r="BN46" s="19">
        <v>0.46</v>
      </c>
    </row>
    <row r="47" spans="26:66" ht="39.950000000000003" hidden="1" customHeight="1" x14ac:dyDescent="0.25">
      <c r="AK47" s="18">
        <f t="shared" si="139"/>
        <v>33030</v>
      </c>
      <c r="AL47" s="18">
        <f t="shared" si="145"/>
        <v>-4624.2000000000007</v>
      </c>
      <c r="AM47" s="18">
        <f t="shared" si="146"/>
        <v>-330.3</v>
      </c>
      <c r="AN47" s="39">
        <v>0.35</v>
      </c>
      <c r="AO47" s="18">
        <f>$AP$46</f>
        <v>1500000</v>
      </c>
      <c r="AP47" s="18">
        <v>5300000</v>
      </c>
      <c r="AQ47" s="18">
        <f>(AP46-AO46)*AN46+AQ46</f>
        <v>367500</v>
      </c>
      <c r="AR47" s="18">
        <f t="shared" si="140"/>
        <v>28075.5</v>
      </c>
      <c r="AS47" s="18">
        <f>(0)</f>
        <v>0</v>
      </c>
      <c r="AT47" s="18">
        <f t="shared" si="147"/>
        <v>28075.5</v>
      </c>
      <c r="AU47" s="18">
        <f>SUM(AT$44:$AT47)</f>
        <v>112302</v>
      </c>
      <c r="AV47" s="38">
        <f t="shared" si="141"/>
        <v>0.15</v>
      </c>
      <c r="AW47" s="22">
        <f t="shared" si="148"/>
        <v>0</v>
      </c>
      <c r="AX47" s="29">
        <f t="shared" si="142"/>
        <v>0.15</v>
      </c>
      <c r="AY47" s="18">
        <f t="shared" si="150"/>
        <v>4211.33</v>
      </c>
      <c r="AZ47" s="29">
        <f t="shared" si="149"/>
        <v>0.84491000000000005</v>
      </c>
      <c r="BA47" s="18">
        <f t="shared" si="143"/>
        <v>33030</v>
      </c>
      <c r="BB47" s="18">
        <f t="shared" si="144"/>
        <v>28075.5</v>
      </c>
      <c r="BL47" s="17">
        <v>45</v>
      </c>
      <c r="BM47" s="21">
        <v>22.5</v>
      </c>
      <c r="BN47" s="19">
        <v>0.47</v>
      </c>
    </row>
    <row r="48" spans="26:66" ht="39.950000000000003" hidden="1" customHeight="1" x14ac:dyDescent="0.25">
      <c r="AK48" s="18">
        <f t="shared" si="139"/>
        <v>33030</v>
      </c>
      <c r="AL48" s="18">
        <f t="shared" si="145"/>
        <v>-4624.2000000000007</v>
      </c>
      <c r="AM48" s="18">
        <f t="shared" si="146"/>
        <v>-330.3</v>
      </c>
      <c r="AN48" s="39">
        <v>0.4</v>
      </c>
      <c r="AO48" s="40">
        <f>$AP$47</f>
        <v>5300000</v>
      </c>
      <c r="AP48" s="18">
        <v>999999999</v>
      </c>
      <c r="AQ48" s="18">
        <f>(AP47-AO47)*AN47+AQ47</f>
        <v>1697500</v>
      </c>
      <c r="AR48" s="18">
        <f t="shared" si="140"/>
        <v>28075.5</v>
      </c>
      <c r="AS48" s="18">
        <f>(0)</f>
        <v>0</v>
      </c>
      <c r="AT48" s="18">
        <f t="shared" si="147"/>
        <v>28075.5</v>
      </c>
      <c r="AU48" s="18">
        <f>SUM(AT$44:$AT48)</f>
        <v>140377.5</v>
      </c>
      <c r="AV48" s="38">
        <f t="shared" si="141"/>
        <v>0.15</v>
      </c>
      <c r="AW48" s="22">
        <f t="shared" si="148"/>
        <v>0</v>
      </c>
      <c r="AX48" s="29">
        <f t="shared" si="142"/>
        <v>0.15</v>
      </c>
      <c r="AY48" s="18">
        <f t="shared" si="150"/>
        <v>4211.33</v>
      </c>
      <c r="AZ48" s="29">
        <f t="shared" si="149"/>
        <v>0.84491000000000005</v>
      </c>
      <c r="BA48" s="18">
        <f t="shared" si="143"/>
        <v>33030</v>
      </c>
      <c r="BB48" s="18">
        <f t="shared" si="144"/>
        <v>28075.5</v>
      </c>
      <c r="BL48" s="17">
        <v>46</v>
      </c>
      <c r="BM48" s="21">
        <v>23</v>
      </c>
      <c r="BN48" s="19">
        <v>0.48</v>
      </c>
    </row>
    <row r="49" spans="37:66" ht="39.950000000000003" hidden="1" customHeight="1" x14ac:dyDescent="0.25">
      <c r="AK49" s="18">
        <f t="shared" si="139"/>
        <v>33030</v>
      </c>
      <c r="AL49" s="18">
        <f t="shared" si="145"/>
        <v>-4624.2000000000007</v>
      </c>
      <c r="AM49" s="18">
        <f t="shared" si="146"/>
        <v>-330.3</v>
      </c>
      <c r="AR49" s="18">
        <f t="shared" si="140"/>
        <v>28075.5</v>
      </c>
      <c r="AS49" s="18">
        <f>(0)</f>
        <v>0</v>
      </c>
      <c r="AT49" s="18">
        <f t="shared" si="147"/>
        <v>28075.5</v>
      </c>
      <c r="AU49" s="18">
        <f>SUM(AT$44:$AT49)</f>
        <v>168453</v>
      </c>
      <c r="AV49" s="38">
        <f t="shared" si="141"/>
        <v>0.15</v>
      </c>
      <c r="AW49" s="22">
        <f t="shared" si="148"/>
        <v>0</v>
      </c>
      <c r="AX49" s="29">
        <f t="shared" si="142"/>
        <v>0.15</v>
      </c>
      <c r="AY49" s="18">
        <f t="shared" si="150"/>
        <v>4211.33</v>
      </c>
      <c r="AZ49" s="29">
        <f t="shared" si="149"/>
        <v>0.84491000000000005</v>
      </c>
      <c r="BA49" s="18">
        <f t="shared" si="143"/>
        <v>33030</v>
      </c>
      <c r="BB49" s="18">
        <f t="shared" si="144"/>
        <v>28075.5</v>
      </c>
      <c r="BL49" s="17">
        <v>47</v>
      </c>
      <c r="BM49" s="21">
        <v>23.5</v>
      </c>
      <c r="BN49" s="19">
        <v>0.49</v>
      </c>
    </row>
    <row r="50" spans="37:66" ht="39.950000000000003" hidden="1" customHeight="1" x14ac:dyDescent="0.25">
      <c r="AK50" s="18">
        <f t="shared" si="139"/>
        <v>33030</v>
      </c>
      <c r="AL50" s="18">
        <f t="shared" si="145"/>
        <v>-4624.2000000000007</v>
      </c>
      <c r="AM50" s="18">
        <f t="shared" si="146"/>
        <v>-330.3</v>
      </c>
      <c r="AR50" s="18">
        <f t="shared" si="140"/>
        <v>28075.5</v>
      </c>
      <c r="AS50" s="18">
        <f>(0)</f>
        <v>0</v>
      </c>
      <c r="AT50" s="18">
        <f t="shared" si="147"/>
        <v>28075.5</v>
      </c>
      <c r="AU50" s="18">
        <f>SUM(AT$44:$AT50)</f>
        <v>196528.5</v>
      </c>
      <c r="AV50" s="38">
        <f t="shared" si="141"/>
        <v>0.2</v>
      </c>
      <c r="AW50" s="22">
        <f t="shared" si="148"/>
        <v>1</v>
      </c>
      <c r="AX50" s="29">
        <f t="shared" si="142"/>
        <v>0.16162668518815337</v>
      </c>
      <c r="AY50" s="18">
        <f t="shared" si="150"/>
        <v>4537.75</v>
      </c>
      <c r="AZ50" s="29">
        <f t="shared" si="149"/>
        <v>0.83502731759006965</v>
      </c>
      <c r="BA50" s="18">
        <f t="shared" si="143"/>
        <v>33030</v>
      </c>
      <c r="BB50" s="18">
        <f t="shared" si="144"/>
        <v>28075.5</v>
      </c>
      <c r="BL50" s="17">
        <v>48</v>
      </c>
      <c r="BM50" s="21">
        <v>24</v>
      </c>
      <c r="BN50" s="19">
        <v>0.5</v>
      </c>
    </row>
    <row r="51" spans="37:66" ht="39.950000000000003" hidden="1" customHeight="1" x14ac:dyDescent="0.25">
      <c r="AK51" s="18">
        <f t="shared" si="139"/>
        <v>33030</v>
      </c>
      <c r="AL51" s="18">
        <f t="shared" si="145"/>
        <v>-4624.2000000000007</v>
      </c>
      <c r="AM51" s="18">
        <f t="shared" si="146"/>
        <v>-330.3</v>
      </c>
      <c r="AR51" s="18">
        <f t="shared" si="140"/>
        <v>28075.5</v>
      </c>
      <c r="AS51" s="18">
        <f>(0)</f>
        <v>0</v>
      </c>
      <c r="AT51" s="18">
        <f t="shared" si="147"/>
        <v>28075.5</v>
      </c>
      <c r="AU51" s="18">
        <f>SUM(AT$44:$AT51)</f>
        <v>224604</v>
      </c>
      <c r="AV51" s="38">
        <f t="shared" si="141"/>
        <v>0.2</v>
      </c>
      <c r="AW51" s="22">
        <f t="shared" si="148"/>
        <v>0</v>
      </c>
      <c r="AX51" s="29">
        <f t="shared" si="142"/>
        <v>0.2</v>
      </c>
      <c r="AY51" s="18">
        <f t="shared" si="150"/>
        <v>5615.1</v>
      </c>
      <c r="AZ51" s="29">
        <f t="shared" si="149"/>
        <v>0.80240999999999996</v>
      </c>
      <c r="BA51" s="18">
        <f t="shared" si="143"/>
        <v>33030</v>
      </c>
      <c r="BB51" s="18">
        <f t="shared" si="144"/>
        <v>28075.5</v>
      </c>
      <c r="BL51" s="17">
        <v>49</v>
      </c>
      <c r="BM51" s="21">
        <v>24.5</v>
      </c>
      <c r="BN51" s="41" t="s">
        <v>0</v>
      </c>
    </row>
    <row r="52" spans="37:66" ht="39.950000000000003" hidden="1" customHeight="1" x14ac:dyDescent="0.25">
      <c r="AK52" s="18">
        <f t="shared" si="139"/>
        <v>33030</v>
      </c>
      <c r="AL52" s="18">
        <f t="shared" si="145"/>
        <v>-4624.2000000000007</v>
      </c>
      <c r="AM52" s="18">
        <f t="shared" si="146"/>
        <v>-330.3</v>
      </c>
      <c r="AR52" s="18">
        <f t="shared" si="140"/>
        <v>28075.5</v>
      </c>
      <c r="AS52" s="18">
        <f>(0)</f>
        <v>0</v>
      </c>
      <c r="AT52" s="18">
        <f t="shared" si="147"/>
        <v>28075.5</v>
      </c>
      <c r="AU52" s="18">
        <f>SUM(AT$44:$AT52)</f>
        <v>252679.5</v>
      </c>
      <c r="AV52" s="38">
        <f t="shared" si="141"/>
        <v>0.2</v>
      </c>
      <c r="AW52" s="22">
        <f t="shared" si="148"/>
        <v>0</v>
      </c>
      <c r="AX52" s="29">
        <f t="shared" si="142"/>
        <v>0.2</v>
      </c>
      <c r="AY52" s="18">
        <f t="shared" si="150"/>
        <v>5615.1</v>
      </c>
      <c r="AZ52" s="29">
        <f t="shared" si="149"/>
        <v>0.80240999999999996</v>
      </c>
      <c r="BA52" s="18">
        <f t="shared" si="143"/>
        <v>33030</v>
      </c>
      <c r="BB52" s="18">
        <f t="shared" si="144"/>
        <v>28075.5</v>
      </c>
      <c r="BL52" s="17">
        <v>50</v>
      </c>
      <c r="BM52" s="21">
        <v>25</v>
      </c>
      <c r="BN52" s="41" t="s">
        <v>0</v>
      </c>
    </row>
    <row r="53" spans="37:66" ht="39.950000000000003" hidden="1" customHeight="1" x14ac:dyDescent="0.25">
      <c r="AK53" s="18">
        <f t="shared" si="139"/>
        <v>33030</v>
      </c>
      <c r="AL53" s="18">
        <f t="shared" si="145"/>
        <v>-4624.2000000000007</v>
      </c>
      <c r="AM53" s="18">
        <f t="shared" si="146"/>
        <v>-330.3</v>
      </c>
      <c r="AR53" s="18">
        <f t="shared" si="140"/>
        <v>28075.5</v>
      </c>
      <c r="AS53" s="18">
        <f>(0)</f>
        <v>0</v>
      </c>
      <c r="AT53" s="18">
        <f t="shared" si="147"/>
        <v>28075.5</v>
      </c>
      <c r="AU53" s="18">
        <f>SUM(AT$44:$AT53)</f>
        <v>280755</v>
      </c>
      <c r="AV53" s="38">
        <f t="shared" si="141"/>
        <v>0.2</v>
      </c>
      <c r="AW53" s="22">
        <f t="shared" si="148"/>
        <v>0</v>
      </c>
      <c r="AX53" s="29">
        <f t="shared" si="142"/>
        <v>0.2</v>
      </c>
      <c r="AY53" s="18">
        <f t="shared" si="150"/>
        <v>5615.1</v>
      </c>
      <c r="AZ53" s="29">
        <f t="shared" si="149"/>
        <v>0.80240999999999996</v>
      </c>
      <c r="BA53" s="18">
        <f t="shared" si="143"/>
        <v>33030</v>
      </c>
      <c r="BB53" s="18">
        <f t="shared" si="144"/>
        <v>28075.5</v>
      </c>
      <c r="BL53" s="17">
        <v>51</v>
      </c>
      <c r="BM53" s="21">
        <v>25.5</v>
      </c>
      <c r="BN53" s="41" t="s">
        <v>0</v>
      </c>
    </row>
    <row r="54" spans="37:66" ht="39.950000000000003" hidden="1" customHeight="1" x14ac:dyDescent="0.25">
      <c r="AK54" s="18">
        <f t="shared" si="139"/>
        <v>33030</v>
      </c>
      <c r="AL54" s="18">
        <f t="shared" si="145"/>
        <v>-4624.2000000000007</v>
      </c>
      <c r="AM54" s="18">
        <f t="shared" si="146"/>
        <v>-330.3</v>
      </c>
      <c r="AR54" s="18">
        <f t="shared" si="140"/>
        <v>28075.5</v>
      </c>
      <c r="AS54" s="18">
        <f>(0)</f>
        <v>0</v>
      </c>
      <c r="AT54" s="18">
        <f t="shared" si="147"/>
        <v>28075.5</v>
      </c>
      <c r="AU54" s="18">
        <f>SUM(AT$44:$AT54)</f>
        <v>308830.5</v>
      </c>
      <c r="AV54" s="38">
        <f t="shared" si="141"/>
        <v>0.2</v>
      </c>
      <c r="AW54" s="22">
        <f t="shared" si="148"/>
        <v>0</v>
      </c>
      <c r="AX54" s="29">
        <f t="shared" si="142"/>
        <v>0.2</v>
      </c>
      <c r="AY54" s="18">
        <f t="shared" si="150"/>
        <v>5615.1</v>
      </c>
      <c r="AZ54" s="29">
        <f t="shared" si="149"/>
        <v>0.80240999999999996</v>
      </c>
      <c r="BA54" s="18">
        <f t="shared" si="143"/>
        <v>33030</v>
      </c>
      <c r="BB54" s="18">
        <f t="shared" si="144"/>
        <v>28075.5</v>
      </c>
      <c r="BL54" s="17">
        <v>52</v>
      </c>
      <c r="BM54" s="21">
        <v>26</v>
      </c>
      <c r="BN54" s="41" t="s">
        <v>0</v>
      </c>
    </row>
    <row r="55" spans="37:66" ht="39.950000000000003" hidden="1" customHeight="1" x14ac:dyDescent="0.25">
      <c r="AK55" s="18">
        <f t="shared" si="139"/>
        <v>33030</v>
      </c>
      <c r="AL55" s="18">
        <f t="shared" si="145"/>
        <v>-4624.2000000000007</v>
      </c>
      <c r="AM55" s="18">
        <f t="shared" si="146"/>
        <v>-330.3</v>
      </c>
      <c r="AR55" s="18">
        <f t="shared" si="140"/>
        <v>28075.5</v>
      </c>
      <c r="AS55" s="18">
        <f>(0)</f>
        <v>0</v>
      </c>
      <c r="AT55" s="18">
        <f t="shared" si="147"/>
        <v>28075.5</v>
      </c>
      <c r="AU55" s="18">
        <f>SUM(AT$44:$AT55)</f>
        <v>336906</v>
      </c>
      <c r="AV55" s="38">
        <f t="shared" si="141"/>
        <v>0.2</v>
      </c>
      <c r="AW55" s="22">
        <f t="shared" si="148"/>
        <v>0</v>
      </c>
      <c r="AX55" s="29">
        <f t="shared" si="142"/>
        <v>0.2</v>
      </c>
      <c r="AY55" s="18">
        <f t="shared" si="150"/>
        <v>5615.1</v>
      </c>
      <c r="AZ55" s="29">
        <f t="shared" si="149"/>
        <v>0.80240999999999996</v>
      </c>
      <c r="BA55" s="18">
        <f t="shared" si="143"/>
        <v>33030</v>
      </c>
      <c r="BB55" s="18">
        <f t="shared" si="144"/>
        <v>28075.5</v>
      </c>
      <c r="BL55" s="17">
        <v>53</v>
      </c>
      <c r="BM55" s="21">
        <v>26.5</v>
      </c>
      <c r="BN55" s="41" t="s">
        <v>0</v>
      </c>
    </row>
    <row r="56" spans="37:66" ht="39.950000000000003" hidden="1" customHeight="1" x14ac:dyDescent="0.25">
      <c r="AK56" s="18">
        <f t="shared" ref="AK56" si="151">(AK44+AK45+AK46+AK47+AK48+AK49+AK50+AK51+AK52+AK53+AK54+AK55)</f>
        <v>396360</v>
      </c>
      <c r="AL56" s="18">
        <f t="shared" ref="AL56" si="152">(AL44+AL45+AL46+AL47+AL48+AL49+AL50+AL51+AL52+AL53+AL54+AL55)</f>
        <v>-55490.399999999994</v>
      </c>
      <c r="AM56" s="18">
        <f t="shared" ref="AM56" si="153">(AM44+AM45+AM46+AM47+AM48+AM49+AM50+AM51+AM52+AM53+AM54+AM55)</f>
        <v>-3963.6000000000008</v>
      </c>
      <c r="AR56" s="18">
        <f t="shared" ref="AR56" si="154">(AR44+AR45+AR46+AR47+AR48+AR49+AR50+AR51+AR52+AR53+AR54+AR55)</f>
        <v>336906</v>
      </c>
      <c r="AS56" s="18">
        <f t="shared" ref="AS56" si="155">(AS44+AS45+AS46+AS47+AS48+AS49+AS50+AS51+AS52+AS53+AS54+AS55)</f>
        <v>0</v>
      </c>
      <c r="AT56" s="18">
        <f t="shared" ref="AT56" si="156">(AT44+AT45+AT46+AT47+AT48+AT49+AT50+AT51+AT52+AT53+AT54+AT55)</f>
        <v>336906</v>
      </c>
      <c r="AU56" s="35" t="s">
        <v>0</v>
      </c>
      <c r="AV56" s="17" t="s">
        <v>0</v>
      </c>
      <c r="AW56" s="17" t="s">
        <v>0</v>
      </c>
      <c r="AX56" s="17" t="s">
        <v>0</v>
      </c>
      <c r="AY56" s="18">
        <f t="shared" ref="AY56" si="157">(AY44+AY45+AY46+AY47+AY48+AY49+AY50+AY51+AY52+AY53+AY54+AY55)</f>
        <v>57881.229999999996</v>
      </c>
      <c r="AZ56" s="17" t="s">
        <v>0</v>
      </c>
      <c r="BA56" s="18">
        <f t="shared" ref="BA56" si="158">(BA44+BA45+BA46+BA47+BA48+BA49+BA50+BA51+BA52+BA53+BA54+BA55)</f>
        <v>396360</v>
      </c>
      <c r="BB56" s="18">
        <f t="shared" ref="BB56" si="159">(BB44+BB45+BB46+BB47+BB48+BB49+BB50+BB51+BB52+BB53+BB54+BB55)</f>
        <v>336906</v>
      </c>
      <c r="BL56" s="17">
        <v>54</v>
      </c>
      <c r="BM56" s="21">
        <v>27</v>
      </c>
      <c r="BN56" s="41" t="s">
        <v>0</v>
      </c>
    </row>
    <row r="57" spans="37:66" ht="39.950000000000003" hidden="1" customHeight="1" x14ac:dyDescent="0.25">
      <c r="AK57" s="18">
        <f t="shared" ref="AK57" si="160">(AK56/12)</f>
        <v>33030</v>
      </c>
      <c r="AL57" s="18">
        <f t="shared" ref="AL57" si="161">(AL56/12)</f>
        <v>-4624.2</v>
      </c>
      <c r="AM57" s="18">
        <f t="shared" ref="AM57" si="162">(AM56/12)</f>
        <v>-330.30000000000007</v>
      </c>
      <c r="AR57" s="18">
        <f t="shared" ref="AR57" si="163">(AR56/12)</f>
        <v>28075.5</v>
      </c>
      <c r="AS57" s="18">
        <f t="shared" ref="AS57" si="164">(AS56/12)</f>
        <v>0</v>
      </c>
      <c r="AT57" s="18">
        <f t="shared" ref="AT57" si="165">(AT56/12)</f>
        <v>28075.5</v>
      </c>
      <c r="AU57" s="35" t="s">
        <v>0</v>
      </c>
      <c r="AV57" s="35" t="s">
        <v>0</v>
      </c>
      <c r="AW57" s="35" t="s">
        <v>0</v>
      </c>
      <c r="AX57" s="35" t="s">
        <v>0</v>
      </c>
      <c r="AY57" s="18">
        <f t="shared" ref="AY57" si="166">(AY56/12)</f>
        <v>4823.435833333333</v>
      </c>
      <c r="AZ57" s="35" t="s">
        <v>0</v>
      </c>
      <c r="BA57" s="18">
        <f t="shared" ref="BA57" si="167">(BA56/12)</f>
        <v>33030</v>
      </c>
      <c r="BB57" s="18">
        <f t="shared" ref="BB57" si="168">(BB56/12)</f>
        <v>28075.5</v>
      </c>
      <c r="BL57" s="17">
        <v>55</v>
      </c>
      <c r="BM57" s="21">
        <v>27.5</v>
      </c>
      <c r="BN57" s="41" t="s">
        <v>0</v>
      </c>
    </row>
    <row r="58" spans="37:66" ht="39.950000000000003" hidden="1" customHeight="1" x14ac:dyDescent="0.25">
      <c r="AW58" s="18">
        <f>(0)</f>
        <v>0</v>
      </c>
      <c r="AX58" s="38">
        <f>(0%)</f>
        <v>0</v>
      </c>
      <c r="BL58" s="17">
        <v>56</v>
      </c>
      <c r="BM58" s="21">
        <v>28</v>
      </c>
      <c r="BN58" s="41" t="s">
        <v>0</v>
      </c>
    </row>
    <row r="59" spans="37:66" ht="39.950000000000003" hidden="1" customHeight="1" x14ac:dyDescent="0.25">
      <c r="AK59" s="18">
        <f t="shared" ref="AK59:AK70" ca="1" si="169">(AT15+AV15+AX15+AZ15+BB15+BD15+AK1+BF15+AQ29+AT29+AK29)</f>
        <v>90156.940483417478</v>
      </c>
      <c r="AL59" s="18">
        <f t="shared" ref="AL59:AL70" si="170">(BA29+AN1)</f>
        <v>40230</v>
      </c>
      <c r="AM59" s="18">
        <f ca="1">(AK59-AL59)</f>
        <v>49926.940483417478</v>
      </c>
      <c r="AN59" s="18">
        <f t="shared" ref="AN59:AN70" ca="1" si="171">(AM59*0.00759*-1)</f>
        <v>-378.94547826913868</v>
      </c>
      <c r="AO59" s="18">
        <f ca="1">(AK59)</f>
        <v>90156.940483417478</v>
      </c>
      <c r="AP59" s="18">
        <f t="shared" ref="AP59:AP70" si="172">(AR1+AL29)</f>
        <v>7200</v>
      </c>
      <c r="AQ59" s="18">
        <f t="shared" ref="AQ59:AQ70" ca="1" si="173">IF(AO59-AP59&gt;=AZ29*7.5,AZ29*7.5,AO59-AP59)</f>
        <v>82956.940483417478</v>
      </c>
      <c r="AR59" s="18">
        <f ca="1">(AQ59*0.14*-1)</f>
        <v>-11613.971667678448</v>
      </c>
      <c r="AS59" s="18">
        <f ca="1">(AQ59*0.01*-1)</f>
        <v>-829.56940483417475</v>
      </c>
      <c r="AT59" s="18">
        <f t="shared" ref="AT59:AT70" ca="1" si="174">(AK59+AR59+AS59)</f>
        <v>77713.399410904865</v>
      </c>
      <c r="AU59" s="18">
        <f t="shared" ref="AU59:AU70" si="175">(AW1+AL29+AP29+AY29)</f>
        <v>9318.69</v>
      </c>
      <c r="AV59" s="18">
        <f ca="1">(AT59-AU59)</f>
        <v>68394.709410904863</v>
      </c>
      <c r="AW59" s="18">
        <f ca="1">SUM($AV$59:AV59)</f>
        <v>68394.709410904863</v>
      </c>
      <c r="AX59" s="38">
        <f t="shared" ref="AX59:AX70" ca="1" si="176">IF(AW59&lt;=$AP$44,$AN$44,
IF(AW59&gt;$AP$46,
IF(AW59&gt;$AP$47,$AN$48,$AN$47),
IF(AW59&lt;$AP$45,$AN$45,$AN$46)))</f>
        <v>0.15</v>
      </c>
      <c r="AY59" s="22">
        <f ca="1">IF(AX59-AX58=0,0,1)</f>
        <v>1</v>
      </c>
      <c r="AZ59" s="29">
        <f t="shared" ref="AZ59:AZ70" ca="1" si="177">(IF(AY59=0,AX59,(VLOOKUP($AX59,$AN$44:$AQ$48,2,0)-AW58)/AV59*AX58+(AW59-VLOOKUP($AX59,$AN$44:$AQ$48,2,0))/AV59*AX59))</f>
        <v>0.15</v>
      </c>
      <c r="BA59" s="18">
        <f ca="1">(ROUND(AV59*AZ59,2)*(-1)+VLOOKUP(AX59,$AN$44:$AQ$48,4,0)*(-1))</f>
        <v>-10259.209999999999</v>
      </c>
      <c r="BB59" s="18">
        <f t="shared" ref="BB59:BB70" ca="1" si="178">(BA59+AY44)</f>
        <v>-6047.8799999999992</v>
      </c>
      <c r="BC59" s="29">
        <f t="shared" ref="BC59:BC70" ca="1" si="179">(100+(100*0.00759*-1)+(100)*AZ59*-1)/100</f>
        <v>0.84240999999999999</v>
      </c>
      <c r="BL59" s="17">
        <v>57</v>
      </c>
      <c r="BM59" s="21">
        <v>28.5</v>
      </c>
      <c r="BN59" s="41" t="s">
        <v>0</v>
      </c>
    </row>
    <row r="60" spans="37:66" ht="39.950000000000003" hidden="1" customHeight="1" x14ac:dyDescent="0.25">
      <c r="AK60" s="18">
        <f t="shared" ca="1" si="169"/>
        <v>83479.304287252948</v>
      </c>
      <c r="AL60" s="18">
        <f t="shared" si="170"/>
        <v>40230</v>
      </c>
      <c r="AM60" s="18">
        <f t="shared" ref="AM60:AM70" ca="1" si="180">(AK60-AL60)</f>
        <v>43249.304287252948</v>
      </c>
      <c r="AN60" s="18">
        <f t="shared" ca="1" si="171"/>
        <v>-328.26221954024987</v>
      </c>
      <c r="AO60" s="18">
        <f t="shared" ref="AO60:AO70" ca="1" si="181">(AK60)</f>
        <v>83479.304287252948</v>
      </c>
      <c r="AP60" s="18">
        <f t="shared" si="172"/>
        <v>7200</v>
      </c>
      <c r="AQ60" s="18">
        <f t="shared" ca="1" si="173"/>
        <v>76279.304287252948</v>
      </c>
      <c r="AR60" s="18">
        <f t="shared" ref="AR60:AR70" ca="1" si="182">(AQ60*0.14*-1)</f>
        <v>-10679.102600215414</v>
      </c>
      <c r="AS60" s="18">
        <f t="shared" ref="AS60:AS70" ca="1" si="183">(AQ60*0.01*-1)</f>
        <v>-762.79304287252944</v>
      </c>
      <c r="AT60" s="18">
        <f t="shared" ca="1" si="174"/>
        <v>72037.408644165014</v>
      </c>
      <c r="AU60" s="18">
        <f t="shared" si="175"/>
        <v>9318.69</v>
      </c>
      <c r="AV60" s="18">
        <f t="shared" ref="AV60:AV70" ca="1" si="184">(AT60-AU60)</f>
        <v>62718.718644165012</v>
      </c>
      <c r="AW60" s="18">
        <f ca="1">SUM($AV$59:AV60)</f>
        <v>131113.42805506987</v>
      </c>
      <c r="AX60" s="38">
        <f t="shared" ca="1" si="176"/>
        <v>0.15</v>
      </c>
      <c r="AY60" s="22">
        <f t="shared" ref="AY60:AY70" ca="1" si="185">IF(AX60-AX59=0,0,1)</f>
        <v>0</v>
      </c>
      <c r="AZ60" s="29">
        <f t="shared" ca="1" si="177"/>
        <v>0.15</v>
      </c>
      <c r="BA60" s="18">
        <f ca="1">(ROUND(AV60*AZ60,2)*(-1))</f>
        <v>-9407.81</v>
      </c>
      <c r="BB60" s="18">
        <f t="shared" ca="1" si="178"/>
        <v>-5196.4799999999996</v>
      </c>
      <c r="BC60" s="29">
        <f t="shared" ca="1" si="179"/>
        <v>0.84240999999999999</v>
      </c>
      <c r="BL60" s="17">
        <v>58</v>
      </c>
      <c r="BM60" s="21">
        <v>29</v>
      </c>
      <c r="BN60" s="41" t="s">
        <v>0</v>
      </c>
    </row>
    <row r="61" spans="37:66" ht="39.950000000000003" hidden="1" customHeight="1" x14ac:dyDescent="0.25">
      <c r="AK61" s="18">
        <f t="shared" ca="1" si="169"/>
        <v>180370.55125478905</v>
      </c>
      <c r="AL61" s="18">
        <f t="shared" si="170"/>
        <v>40230</v>
      </c>
      <c r="AM61" s="18">
        <f t="shared" ca="1" si="180"/>
        <v>140140.55125478905</v>
      </c>
      <c r="AN61" s="18">
        <f t="shared" ca="1" si="171"/>
        <v>-1063.666784023849</v>
      </c>
      <c r="AO61" s="18">
        <f t="shared" ca="1" si="181"/>
        <v>180370.55125478905</v>
      </c>
      <c r="AP61" s="18">
        <f t="shared" si="172"/>
        <v>7200</v>
      </c>
      <c r="AQ61" s="18">
        <f t="shared" ca="1" si="173"/>
        <v>173170.55125478905</v>
      </c>
      <c r="AR61" s="18">
        <f t="shared" ca="1" si="182"/>
        <v>-24243.87717567047</v>
      </c>
      <c r="AS61" s="18">
        <f t="shared" ca="1" si="183"/>
        <v>-1731.7055125478905</v>
      </c>
      <c r="AT61" s="18">
        <f t="shared" ca="1" si="174"/>
        <v>154394.96856657069</v>
      </c>
      <c r="AU61" s="18">
        <f t="shared" si="175"/>
        <v>9706.1984009999996</v>
      </c>
      <c r="AV61" s="18">
        <f t="shared" ca="1" si="184"/>
        <v>144688.77016557069</v>
      </c>
      <c r="AW61" s="18">
        <f ca="1">SUM($AV$59:AV61)</f>
        <v>275802.19822064054</v>
      </c>
      <c r="AX61" s="38">
        <f t="shared" ca="1" si="176"/>
        <v>0.2</v>
      </c>
      <c r="AY61" s="22">
        <f t="shared" ca="1" si="185"/>
        <v>1</v>
      </c>
      <c r="AZ61" s="29">
        <f t="shared" ca="1" si="177"/>
        <v>0.17965060734238567</v>
      </c>
      <c r="BA61" s="18">
        <f t="shared" ref="BA61:BA70" ca="1" si="186">(ROUND(AV61*AZ61,2)*(-1))</f>
        <v>-25993.43</v>
      </c>
      <c r="BB61" s="18">
        <f t="shared" ca="1" si="178"/>
        <v>-21782.1</v>
      </c>
      <c r="BC61" s="29">
        <f t="shared" ca="1" si="179"/>
        <v>0.81275939265761432</v>
      </c>
      <c r="BL61" s="17">
        <v>59</v>
      </c>
      <c r="BM61" s="21">
        <v>29.5</v>
      </c>
      <c r="BN61" s="41" t="s">
        <v>0</v>
      </c>
    </row>
    <row r="62" spans="37:66" ht="39.950000000000003" hidden="1" customHeight="1" x14ac:dyDescent="0.25">
      <c r="AK62" s="18">
        <f t="shared" ca="1" si="169"/>
        <v>102780.24231651374</v>
      </c>
      <c r="AL62" s="18">
        <f t="shared" si="170"/>
        <v>40230</v>
      </c>
      <c r="AM62" s="18">
        <f t="shared" ca="1" si="180"/>
        <v>62550.242316513744</v>
      </c>
      <c r="AN62" s="18">
        <f t="shared" ca="1" si="171"/>
        <v>-474.75633918233933</v>
      </c>
      <c r="AO62" s="18">
        <f t="shared" ca="1" si="181"/>
        <v>102780.24231651374</v>
      </c>
      <c r="AP62" s="18">
        <f t="shared" si="172"/>
        <v>7200</v>
      </c>
      <c r="AQ62" s="18">
        <f t="shared" ca="1" si="173"/>
        <v>95580.242316513744</v>
      </c>
      <c r="AR62" s="18">
        <f t="shared" ca="1" si="182"/>
        <v>-13381.233924311926</v>
      </c>
      <c r="AS62" s="18">
        <f t="shared" ca="1" si="183"/>
        <v>-955.8024231651375</v>
      </c>
      <c r="AT62" s="18">
        <f t="shared" ca="1" si="174"/>
        <v>88443.205969036688</v>
      </c>
      <c r="AU62" s="18">
        <f t="shared" si="175"/>
        <v>9706.1984009999996</v>
      </c>
      <c r="AV62" s="18">
        <f t="shared" ca="1" si="184"/>
        <v>78737.007568036686</v>
      </c>
      <c r="AW62" s="18">
        <f ca="1">SUM($AV$59:AV62)</f>
        <v>354539.20578867721</v>
      </c>
      <c r="AX62" s="38">
        <f t="shared" ca="1" si="176"/>
        <v>0.2</v>
      </c>
      <c r="AY62" s="22">
        <f t="shared" ca="1" si="185"/>
        <v>0</v>
      </c>
      <c r="AZ62" s="29">
        <f t="shared" ca="1" si="177"/>
        <v>0.2</v>
      </c>
      <c r="BA62" s="18">
        <f t="shared" ca="1" si="186"/>
        <v>-15747.4</v>
      </c>
      <c r="BB62" s="18">
        <f t="shared" ca="1" si="178"/>
        <v>-11536.07</v>
      </c>
      <c r="BC62" s="29">
        <f t="shared" ca="1" si="179"/>
        <v>0.79240999999999995</v>
      </c>
      <c r="BL62" s="17">
        <v>60</v>
      </c>
      <c r="BM62" s="21">
        <v>30</v>
      </c>
      <c r="BN62" s="41" t="s">
        <v>0</v>
      </c>
    </row>
    <row r="63" spans="37:66" ht="39.950000000000003" hidden="1" customHeight="1" x14ac:dyDescent="0.25">
      <c r="AK63" s="18">
        <f t="shared" ca="1" si="169"/>
        <v>106363.90929044099</v>
      </c>
      <c r="AL63" s="18">
        <f t="shared" si="170"/>
        <v>40830</v>
      </c>
      <c r="AM63" s="18">
        <f t="shared" ca="1" si="180"/>
        <v>65533.909290440992</v>
      </c>
      <c r="AN63" s="18">
        <f t="shared" ca="1" si="171"/>
        <v>-497.40237151444717</v>
      </c>
      <c r="AO63" s="18">
        <f t="shared" ca="1" si="181"/>
        <v>106363.90929044099</v>
      </c>
      <c r="AP63" s="18">
        <f t="shared" si="172"/>
        <v>7800</v>
      </c>
      <c r="AQ63" s="18">
        <f t="shared" ca="1" si="173"/>
        <v>98563.909290440992</v>
      </c>
      <c r="AR63" s="18">
        <f t="shared" ca="1" si="182"/>
        <v>-13798.947300661741</v>
      </c>
      <c r="AS63" s="18">
        <f t="shared" ca="1" si="183"/>
        <v>-985.63909290440995</v>
      </c>
      <c r="AT63" s="18">
        <f t="shared" ca="1" si="174"/>
        <v>91579.322896874844</v>
      </c>
      <c r="AU63" s="18">
        <f t="shared" si="175"/>
        <v>10306.198401</v>
      </c>
      <c r="AV63" s="18">
        <f t="shared" ca="1" si="184"/>
        <v>81273.124495874843</v>
      </c>
      <c r="AW63" s="18">
        <f ca="1">SUM($AV$59:AV63)</f>
        <v>435812.33028455207</v>
      </c>
      <c r="AX63" s="38">
        <f t="shared" ca="1" si="176"/>
        <v>0.27</v>
      </c>
      <c r="AY63" s="22">
        <f t="shared" ca="1" si="185"/>
        <v>1</v>
      </c>
      <c r="AZ63" s="29">
        <f t="shared" ca="1" si="177"/>
        <v>0.23084492118973338</v>
      </c>
      <c r="BA63" s="18">
        <f t="shared" ca="1" si="186"/>
        <v>-18761.490000000002</v>
      </c>
      <c r="BB63" s="18">
        <f t="shared" ca="1" si="178"/>
        <v>-14550.160000000002</v>
      </c>
      <c r="BC63" s="29">
        <f t="shared" ca="1" si="179"/>
        <v>0.76156507881026669</v>
      </c>
      <c r="BL63" s="17">
        <v>61</v>
      </c>
      <c r="BM63" s="21">
        <v>30.5</v>
      </c>
      <c r="BN63" s="41" t="s">
        <v>0</v>
      </c>
    </row>
    <row r="64" spans="37:66" ht="39.950000000000003" hidden="1" customHeight="1" x14ac:dyDescent="0.25">
      <c r="AK64" s="18">
        <f t="shared" ca="1" si="169"/>
        <v>187396.33129544958</v>
      </c>
      <c r="AL64" s="18">
        <f t="shared" si="170"/>
        <v>40830</v>
      </c>
      <c r="AM64" s="18">
        <f t="shared" ca="1" si="180"/>
        <v>146566.33129544958</v>
      </c>
      <c r="AN64" s="18">
        <f t="shared" ca="1" si="171"/>
        <v>-1112.4384545324624</v>
      </c>
      <c r="AO64" s="18">
        <f t="shared" ca="1" si="181"/>
        <v>187396.33129544958</v>
      </c>
      <c r="AP64" s="18">
        <f t="shared" si="172"/>
        <v>7800</v>
      </c>
      <c r="AQ64" s="18">
        <f t="shared" ca="1" si="173"/>
        <v>179596.33129544958</v>
      </c>
      <c r="AR64" s="18">
        <f t="shared" ca="1" si="182"/>
        <v>-25143.486381362942</v>
      </c>
      <c r="AS64" s="18">
        <f t="shared" ca="1" si="183"/>
        <v>-1795.9633129544959</v>
      </c>
      <c r="AT64" s="18">
        <f t="shared" ca="1" si="174"/>
        <v>160456.88160113213</v>
      </c>
      <c r="AU64" s="18">
        <f t="shared" si="175"/>
        <v>10306.198401</v>
      </c>
      <c r="AV64" s="18">
        <f t="shared" ca="1" si="184"/>
        <v>150150.68320013213</v>
      </c>
      <c r="AW64" s="18">
        <f ca="1">SUM($AV$59:AV64)</f>
        <v>585963.01348468417</v>
      </c>
      <c r="AX64" s="38">
        <f t="shared" ca="1" si="176"/>
        <v>0.27</v>
      </c>
      <c r="AY64" s="22">
        <f t="shared" ca="1" si="185"/>
        <v>0</v>
      </c>
      <c r="AZ64" s="29">
        <f t="shared" ca="1" si="177"/>
        <v>0.27</v>
      </c>
      <c r="BA64" s="18">
        <f t="shared" ca="1" si="186"/>
        <v>-40540.68</v>
      </c>
      <c r="BB64" s="18">
        <f t="shared" ca="1" si="178"/>
        <v>-36329.35</v>
      </c>
      <c r="BC64" s="29">
        <f t="shared" ca="1" si="179"/>
        <v>0.72241</v>
      </c>
      <c r="BL64" s="17">
        <v>62</v>
      </c>
      <c r="BM64" s="21">
        <v>31</v>
      </c>
      <c r="BN64" s="41" t="s">
        <v>0</v>
      </c>
    </row>
    <row r="65" spans="37:66" ht="39.950000000000003" hidden="1" customHeight="1" x14ac:dyDescent="0.25">
      <c r="AK65" s="18">
        <f t="shared" ca="1" si="169"/>
        <v>106838.46835608312</v>
      </c>
      <c r="AL65" s="18">
        <f t="shared" si="170"/>
        <v>40830</v>
      </c>
      <c r="AM65" s="18">
        <f t="shared" ca="1" si="180"/>
        <v>66008.468356083118</v>
      </c>
      <c r="AN65" s="18">
        <f t="shared" ca="1" si="171"/>
        <v>-501.00427482267088</v>
      </c>
      <c r="AO65" s="18">
        <f t="shared" ca="1" si="181"/>
        <v>106838.46835608312</v>
      </c>
      <c r="AP65" s="18">
        <f t="shared" si="172"/>
        <v>7800</v>
      </c>
      <c r="AQ65" s="18">
        <f t="shared" ca="1" si="173"/>
        <v>99038.468356083118</v>
      </c>
      <c r="AR65" s="18">
        <f t="shared" ca="1" si="182"/>
        <v>-13865.385569851638</v>
      </c>
      <c r="AS65" s="18">
        <f t="shared" ca="1" si="183"/>
        <v>-990.38468356083115</v>
      </c>
      <c r="AT65" s="18">
        <f t="shared" ca="1" si="174"/>
        <v>91982.698102670649</v>
      </c>
      <c r="AU65" s="18">
        <f t="shared" si="175"/>
        <v>10306.198401</v>
      </c>
      <c r="AV65" s="18">
        <f t="shared" ca="1" si="184"/>
        <v>81676.499701670647</v>
      </c>
      <c r="AW65" s="18">
        <f ca="1">SUM($AV$59:AV65)</f>
        <v>667639.51318635477</v>
      </c>
      <c r="AX65" s="38">
        <f t="shared" ca="1" si="176"/>
        <v>0.27</v>
      </c>
      <c r="AY65" s="22">
        <f t="shared" ca="1" si="185"/>
        <v>0</v>
      </c>
      <c r="AZ65" s="29">
        <f t="shared" ca="1" si="177"/>
        <v>0.27</v>
      </c>
      <c r="BA65" s="18">
        <f t="shared" ca="1" si="186"/>
        <v>-22052.65</v>
      </c>
      <c r="BB65" s="18">
        <f t="shared" ca="1" si="178"/>
        <v>-17514.900000000001</v>
      </c>
      <c r="BC65" s="29">
        <f t="shared" ca="1" si="179"/>
        <v>0.72241</v>
      </c>
      <c r="BL65" s="17">
        <v>63</v>
      </c>
      <c r="BM65" s="21">
        <v>31.5</v>
      </c>
      <c r="BN65" s="41" t="s">
        <v>0</v>
      </c>
    </row>
    <row r="66" spans="37:66" ht="39.950000000000003" hidden="1" customHeight="1" x14ac:dyDescent="0.25">
      <c r="AK66" s="18">
        <f t="shared" ca="1" si="169"/>
        <v>107179.4645871774</v>
      </c>
      <c r="AL66" s="18">
        <f t="shared" si="170"/>
        <v>40830</v>
      </c>
      <c r="AM66" s="18">
        <f t="shared" ca="1" si="180"/>
        <v>66349.464587177397</v>
      </c>
      <c r="AN66" s="18">
        <f t="shared" ca="1" si="171"/>
        <v>-503.59243621667645</v>
      </c>
      <c r="AO66" s="18">
        <f t="shared" ca="1" si="181"/>
        <v>107179.4645871774</v>
      </c>
      <c r="AP66" s="18">
        <f t="shared" si="172"/>
        <v>7800</v>
      </c>
      <c r="AQ66" s="18">
        <f t="shared" ca="1" si="173"/>
        <v>99379.464587177397</v>
      </c>
      <c r="AR66" s="18">
        <f t="shared" ca="1" si="182"/>
        <v>-13913.125042204836</v>
      </c>
      <c r="AS66" s="18">
        <f t="shared" ca="1" si="183"/>
        <v>-993.79464587177404</v>
      </c>
      <c r="AT66" s="18">
        <f t="shared" ca="1" si="174"/>
        <v>92272.544899100787</v>
      </c>
      <c r="AU66" s="18">
        <f t="shared" si="175"/>
        <v>10306.198401</v>
      </c>
      <c r="AV66" s="18">
        <f t="shared" ca="1" si="184"/>
        <v>81966.346498100786</v>
      </c>
      <c r="AW66" s="18">
        <f ca="1">SUM($AV$59:AV66)</f>
        <v>749605.85968445556</v>
      </c>
      <c r="AX66" s="38">
        <f t="shared" ca="1" si="176"/>
        <v>0.27</v>
      </c>
      <c r="AY66" s="22">
        <f t="shared" ca="1" si="185"/>
        <v>0</v>
      </c>
      <c r="AZ66" s="29">
        <f t="shared" ca="1" si="177"/>
        <v>0.27</v>
      </c>
      <c r="BA66" s="18">
        <f t="shared" ca="1" si="186"/>
        <v>-22130.91</v>
      </c>
      <c r="BB66" s="18">
        <f t="shared" ca="1" si="178"/>
        <v>-16515.809999999998</v>
      </c>
      <c r="BC66" s="29">
        <f t="shared" ca="1" si="179"/>
        <v>0.72241</v>
      </c>
      <c r="BL66" s="17">
        <v>64</v>
      </c>
      <c r="BM66" s="21">
        <v>32</v>
      </c>
      <c r="BN66" s="41" t="s">
        <v>0</v>
      </c>
    </row>
    <row r="67" spans="37:66" ht="39.950000000000003" hidden="1" customHeight="1" x14ac:dyDescent="0.25">
      <c r="AK67" s="18">
        <f t="shared" ca="1" si="169"/>
        <v>204731.75079717737</v>
      </c>
      <c r="AL67" s="18">
        <f t="shared" si="170"/>
        <v>40830</v>
      </c>
      <c r="AM67" s="18">
        <f t="shared" ca="1" si="180"/>
        <v>163901.75079717737</v>
      </c>
      <c r="AN67" s="18">
        <f t="shared" ca="1" si="171"/>
        <v>-1244.0142885505763</v>
      </c>
      <c r="AO67" s="18">
        <f t="shared" ca="1" si="181"/>
        <v>204731.75079717737</v>
      </c>
      <c r="AP67" s="18">
        <f t="shared" si="172"/>
        <v>7800</v>
      </c>
      <c r="AQ67" s="18">
        <f t="shared" ca="1" si="173"/>
        <v>196931.75079717737</v>
      </c>
      <c r="AR67" s="18">
        <f t="shared" ca="1" si="182"/>
        <v>-27570.445111604837</v>
      </c>
      <c r="AS67" s="18">
        <f t="shared" ca="1" si="183"/>
        <v>-1969.3175079717737</v>
      </c>
      <c r="AT67" s="18">
        <f t="shared" ca="1" si="174"/>
        <v>175191.98817760075</v>
      </c>
      <c r="AU67" s="18">
        <f t="shared" si="175"/>
        <v>10684.131000000001</v>
      </c>
      <c r="AV67" s="18">
        <f t="shared" ca="1" si="184"/>
        <v>164507.85717760076</v>
      </c>
      <c r="AW67" s="18">
        <f ca="1">SUM($AV$59:AV67)</f>
        <v>914113.71686205629</v>
      </c>
      <c r="AX67" s="38">
        <f t="shared" ca="1" si="176"/>
        <v>0.27</v>
      </c>
      <c r="AY67" s="22">
        <f t="shared" ca="1" si="185"/>
        <v>0</v>
      </c>
      <c r="AZ67" s="29">
        <f t="shared" ca="1" si="177"/>
        <v>0.27</v>
      </c>
      <c r="BA67" s="18">
        <f t="shared" ca="1" si="186"/>
        <v>-44417.120000000003</v>
      </c>
      <c r="BB67" s="18">
        <f t="shared" ca="1" si="178"/>
        <v>-38802.020000000004</v>
      </c>
      <c r="BC67" s="29">
        <f t="shared" ca="1" si="179"/>
        <v>0.72241</v>
      </c>
      <c r="BL67" s="17">
        <v>65</v>
      </c>
      <c r="BM67" s="21">
        <v>32.5</v>
      </c>
      <c r="BN67" s="41" t="s">
        <v>0</v>
      </c>
    </row>
    <row r="68" spans="37:66" ht="39.950000000000003" hidden="1" customHeight="1" x14ac:dyDescent="0.25">
      <c r="AK68" s="18">
        <f t="shared" ca="1" si="169"/>
        <v>120197.14299717741</v>
      </c>
      <c r="AL68" s="18">
        <f t="shared" si="170"/>
        <v>40830</v>
      </c>
      <c r="AM68" s="18">
        <f t="shared" ca="1" si="180"/>
        <v>79367.142997177405</v>
      </c>
      <c r="AN68" s="18">
        <f t="shared" ca="1" si="171"/>
        <v>-602.39661534857657</v>
      </c>
      <c r="AO68" s="18">
        <f t="shared" ca="1" si="181"/>
        <v>120197.14299717741</v>
      </c>
      <c r="AP68" s="18">
        <f t="shared" si="172"/>
        <v>7800</v>
      </c>
      <c r="AQ68" s="18">
        <f t="shared" ca="1" si="173"/>
        <v>112397.14299717741</v>
      </c>
      <c r="AR68" s="18">
        <f t="shared" ca="1" si="182"/>
        <v>-15735.600019604839</v>
      </c>
      <c r="AS68" s="18">
        <f t="shared" ca="1" si="183"/>
        <v>-1123.9714299717741</v>
      </c>
      <c r="AT68" s="18">
        <f t="shared" ca="1" si="174"/>
        <v>103337.57154760079</v>
      </c>
      <c r="AU68" s="18">
        <f t="shared" si="175"/>
        <v>10684.131000000001</v>
      </c>
      <c r="AV68" s="18">
        <f t="shared" ca="1" si="184"/>
        <v>92653.440547600796</v>
      </c>
      <c r="AW68" s="18">
        <f ca="1">SUM($AV$59:AV68)</f>
        <v>1006767.157409657</v>
      </c>
      <c r="AX68" s="38">
        <f t="shared" ca="1" si="176"/>
        <v>0.27</v>
      </c>
      <c r="AY68" s="22">
        <f t="shared" ca="1" si="185"/>
        <v>0</v>
      </c>
      <c r="AZ68" s="29">
        <f t="shared" ca="1" si="177"/>
        <v>0.27</v>
      </c>
      <c r="BA68" s="18">
        <f t="shared" ca="1" si="186"/>
        <v>-25016.43</v>
      </c>
      <c r="BB68" s="18">
        <f t="shared" ca="1" si="178"/>
        <v>-19401.330000000002</v>
      </c>
      <c r="BC68" s="29">
        <f t="shared" ca="1" si="179"/>
        <v>0.72241</v>
      </c>
      <c r="BL68" s="17">
        <v>66</v>
      </c>
      <c r="BM68" s="21">
        <v>33</v>
      </c>
      <c r="BN68" s="41" t="s">
        <v>0</v>
      </c>
    </row>
    <row r="69" spans="37:66" ht="39.950000000000003" hidden="1" customHeight="1" x14ac:dyDescent="0.25">
      <c r="AK69" s="18">
        <f t="shared" ca="1" si="169"/>
        <v>116992.55299717741</v>
      </c>
      <c r="AL69" s="18">
        <f t="shared" si="170"/>
        <v>40830</v>
      </c>
      <c r="AM69" s="18">
        <f t="shared" ca="1" si="180"/>
        <v>76162.552997177409</v>
      </c>
      <c r="AN69" s="18">
        <f t="shared" ca="1" si="171"/>
        <v>-578.07377724857656</v>
      </c>
      <c r="AO69" s="18">
        <f t="shared" ca="1" si="181"/>
        <v>116992.55299717741</v>
      </c>
      <c r="AP69" s="18">
        <f t="shared" si="172"/>
        <v>7800</v>
      </c>
      <c r="AQ69" s="18">
        <f t="shared" ca="1" si="173"/>
        <v>109192.55299717741</v>
      </c>
      <c r="AR69" s="18">
        <f t="shared" ca="1" si="182"/>
        <v>-15286.957419604838</v>
      </c>
      <c r="AS69" s="18">
        <f t="shared" ca="1" si="183"/>
        <v>-1091.925529971774</v>
      </c>
      <c r="AT69" s="18">
        <f t="shared" ca="1" si="174"/>
        <v>100613.6700476008</v>
      </c>
      <c r="AU69" s="18">
        <f t="shared" si="175"/>
        <v>10684.131000000001</v>
      </c>
      <c r="AV69" s="18">
        <f t="shared" ca="1" si="184"/>
        <v>89929.539047600789</v>
      </c>
      <c r="AW69" s="18">
        <f ca="1">SUM($AV$59:AV69)</f>
        <v>1096696.6964572577</v>
      </c>
      <c r="AX69" s="38">
        <f t="shared" ca="1" si="176"/>
        <v>0.27</v>
      </c>
      <c r="AY69" s="22">
        <f t="shared" ca="1" si="185"/>
        <v>0</v>
      </c>
      <c r="AZ69" s="29">
        <f t="shared" ca="1" si="177"/>
        <v>0.27</v>
      </c>
      <c r="BA69" s="18">
        <f t="shared" ca="1" si="186"/>
        <v>-24280.98</v>
      </c>
      <c r="BB69" s="18">
        <f t="shared" ca="1" si="178"/>
        <v>-18665.879999999997</v>
      </c>
      <c r="BC69" s="29">
        <f t="shared" ca="1" si="179"/>
        <v>0.72241</v>
      </c>
      <c r="BL69" s="17">
        <v>67</v>
      </c>
      <c r="BM69" s="21">
        <v>33.5</v>
      </c>
      <c r="BN69" s="41" t="s">
        <v>0</v>
      </c>
    </row>
    <row r="70" spans="37:66" ht="39.950000000000003" hidden="1" customHeight="1" x14ac:dyDescent="0.25">
      <c r="AK70" s="18">
        <f t="shared" ca="1" si="169"/>
        <v>216334.84299717739</v>
      </c>
      <c r="AL70" s="18">
        <f t="shared" si="170"/>
        <v>40830</v>
      </c>
      <c r="AM70" s="18">
        <f t="shared" ca="1" si="180"/>
        <v>175504.84299717739</v>
      </c>
      <c r="AN70" s="18">
        <f t="shared" ca="1" si="171"/>
        <v>-1332.0817583485764</v>
      </c>
      <c r="AO70" s="18">
        <f t="shared" ca="1" si="181"/>
        <v>216334.84299717739</v>
      </c>
      <c r="AP70" s="18">
        <f t="shared" si="172"/>
        <v>7800</v>
      </c>
      <c r="AQ70" s="18">
        <f t="shared" ca="1" si="173"/>
        <v>208534.84299717739</v>
      </c>
      <c r="AR70" s="18">
        <f t="shared" ca="1" si="182"/>
        <v>-29194.878019604836</v>
      </c>
      <c r="AS70" s="18">
        <f t="shared" ca="1" si="183"/>
        <v>-2085.3484299717738</v>
      </c>
      <c r="AT70" s="18">
        <f t="shared" ca="1" si="174"/>
        <v>185054.61654760077</v>
      </c>
      <c r="AU70" s="18">
        <f t="shared" si="175"/>
        <v>10684.131000000001</v>
      </c>
      <c r="AV70" s="18">
        <f t="shared" ca="1" si="184"/>
        <v>174370.48554760078</v>
      </c>
      <c r="AW70" s="18">
        <f ca="1">SUM($AV$59:AV70)</f>
        <v>1271067.1820048585</v>
      </c>
      <c r="AX70" s="38">
        <f t="shared" ca="1" si="176"/>
        <v>0.27</v>
      </c>
      <c r="AY70" s="22">
        <f t="shared" ca="1" si="185"/>
        <v>0</v>
      </c>
      <c r="AZ70" s="29">
        <f t="shared" ca="1" si="177"/>
        <v>0.27</v>
      </c>
      <c r="BA70" s="18">
        <f t="shared" ca="1" si="186"/>
        <v>-47080.03</v>
      </c>
      <c r="BB70" s="18">
        <f t="shared" ca="1" si="178"/>
        <v>-41464.93</v>
      </c>
      <c r="BC70" s="29">
        <f t="shared" ca="1" si="179"/>
        <v>0.72241</v>
      </c>
      <c r="BL70" s="17">
        <v>68</v>
      </c>
      <c r="BM70" s="21">
        <v>34</v>
      </c>
      <c r="BN70" s="41" t="s">
        <v>0</v>
      </c>
    </row>
    <row r="71" spans="37:66" ht="39.950000000000003" hidden="1" customHeight="1" x14ac:dyDescent="0.25">
      <c r="AK71" s="18">
        <f t="shared" ref="AK71:AL71" ca="1" si="187">(AK59+AK60+AK61+AK62+AK63+AK64+AK65+AK66+AK67+AK68+AK69+AK70)</f>
        <v>1622821.5016598338</v>
      </c>
      <c r="AL71" s="18">
        <f t="shared" si="187"/>
        <v>487560</v>
      </c>
      <c r="AM71" s="18">
        <f t="shared" ref="AM71" ca="1" si="188">(AM59+AM60+AM61+AM62+AM63+AM64+AM65+AM66+AM67+AM68+AM69+AM70)</f>
        <v>1135261.5016598338</v>
      </c>
      <c r="AN71" s="18">
        <f t="shared" ref="AN71" ca="1" si="189">(AN59+AN60+AN61+AN62+AN63+AN64+AN65+AN66+AN67+AN68+AN69+AN70)</f>
        <v>-8616.6347975981389</v>
      </c>
      <c r="AO71" s="18">
        <f t="shared" ref="AO71" ca="1" si="190">(AO59+AO60+AO61+AO62+AO63+AO64+AO65+AO66+AO67+AO68+AO69+AO70)</f>
        <v>1622821.5016598338</v>
      </c>
      <c r="AP71" s="18">
        <f t="shared" ref="AP71" si="191">(AP59+AP60+AP61+AP62+AP63+AP64+AP65+AP66+AP67+AP68+AP69+AP70)</f>
        <v>91200</v>
      </c>
      <c r="AQ71" s="18">
        <f t="shared" ref="AQ71" ca="1" si="192">(AQ59+AQ60+AQ61+AQ62+AQ63+AQ64+AQ65+AQ66+AQ67+AQ68+AQ69+AQ70)</f>
        <v>1531621.5016598338</v>
      </c>
      <c r="AR71" s="18">
        <f t="shared" ref="AR71" ca="1" si="193">(AR59+AR60+AR61+AR62+AR63+AR64+AR65+AR66+AR67+AR68+AR69+AR70)</f>
        <v>-214427.01023237678</v>
      </c>
      <c r="AS71" s="18">
        <f t="shared" ref="AS71" ca="1" si="194">(AS59+AS60+AS61+AS62+AS63+AS64+AS65+AS66+AS67+AS68+AS69+AS70)</f>
        <v>-15316.215016598337</v>
      </c>
      <c r="AT71" s="18">
        <f t="shared" ref="AT71:AV71" ca="1" si="195">(AT59+AT60+AT61+AT62+AT63+AT64+AT65+AT66+AT67+AT68+AT69+AT70)</f>
        <v>1393078.2764108586</v>
      </c>
      <c r="AU71" s="18">
        <f t="shared" ref="AU71" si="196">(AU59+AU60+AU61+AU62+AU63+AU64+AU65+AU66+AU67+AU68+AU69+AU70)</f>
        <v>122011.09440599999</v>
      </c>
      <c r="AV71" s="18">
        <f t="shared" ca="1" si="195"/>
        <v>1271067.1820048585</v>
      </c>
      <c r="AW71" s="35" t="s">
        <v>0</v>
      </c>
      <c r="AX71" s="17" t="s">
        <v>0</v>
      </c>
      <c r="AY71" s="17" t="s">
        <v>0</v>
      </c>
      <c r="AZ71" s="20">
        <f t="shared" ref="AZ71:BA71" ca="1" si="197">(AZ59+AZ60+AZ61+AZ62+AZ63+AZ64+AZ65+AZ66+AZ67+AZ68+AZ69+AZ70)</f>
        <v>2.8004955285321191</v>
      </c>
      <c r="BA71" s="18">
        <f t="shared" ca="1" si="197"/>
        <v>-305688.14</v>
      </c>
      <c r="BB71" s="18">
        <f t="shared" ref="BB71" ca="1" si="198">(BB59+BB60+BB61+BB62+BB63+BB64+BB65+BB66+BB67+BB68+BB69+BB70)</f>
        <v>-247806.91000000003</v>
      </c>
      <c r="BC71" s="17" t="s">
        <v>0</v>
      </c>
      <c r="BL71" s="17">
        <v>69</v>
      </c>
      <c r="BM71" s="21">
        <v>34.5</v>
      </c>
      <c r="BN71" s="41" t="s">
        <v>0</v>
      </c>
    </row>
    <row r="72" spans="37:66" ht="39.950000000000003" hidden="1" customHeight="1" x14ac:dyDescent="0.25">
      <c r="AK72" s="18">
        <f t="shared" ref="AK72:AL72" ca="1" si="199">(AK71/12)</f>
        <v>135235.12513831948</v>
      </c>
      <c r="AL72" s="18">
        <f t="shared" si="199"/>
        <v>40630</v>
      </c>
      <c r="AM72" s="18">
        <f t="shared" ref="AM72" ca="1" si="200">(AM71/12)</f>
        <v>94605.12513831949</v>
      </c>
      <c r="AN72" s="18">
        <f t="shared" ref="AN72" ca="1" si="201">(AN71/12)</f>
        <v>-718.05289979984491</v>
      </c>
      <c r="AO72" s="18">
        <f t="shared" ref="AO72" ca="1" si="202">(AO71/12)</f>
        <v>135235.12513831948</v>
      </c>
      <c r="AP72" s="18">
        <f t="shared" ref="AP72" si="203">(AP71/12)</f>
        <v>7600</v>
      </c>
      <c r="AQ72" s="18">
        <f t="shared" ref="AQ72" ca="1" si="204">(AQ71/12)</f>
        <v>127635.12513831949</v>
      </c>
      <c r="AR72" s="18">
        <f t="shared" ref="AR72" ca="1" si="205">(AR71/12)</f>
        <v>-17868.917519364732</v>
      </c>
      <c r="AS72" s="18">
        <f t="shared" ref="AS72" ca="1" si="206">(AS71/12)</f>
        <v>-1276.3512513831947</v>
      </c>
      <c r="AT72" s="18">
        <f t="shared" ref="AT72:AV72" ca="1" si="207">(AT71/12)</f>
        <v>116089.85636757156</v>
      </c>
      <c r="AU72" s="18">
        <f t="shared" ref="AU72" si="208">(AU71/12)</f>
        <v>10167.591200499999</v>
      </c>
      <c r="AV72" s="18">
        <f t="shared" ca="1" si="207"/>
        <v>105922.26516707154</v>
      </c>
      <c r="AW72" s="35" t="s">
        <v>0</v>
      </c>
      <c r="AX72" s="35" t="s">
        <v>0</v>
      </c>
      <c r="AY72" s="35" t="s">
        <v>0</v>
      </c>
      <c r="AZ72" s="20">
        <f t="shared" ref="AZ72:BA72" ca="1" si="209">(AZ71/12)</f>
        <v>0.23337462737767659</v>
      </c>
      <c r="BA72" s="18">
        <f t="shared" ca="1" si="209"/>
        <v>-25474.011666666669</v>
      </c>
      <c r="BB72" s="18">
        <f t="shared" ref="BB72" ca="1" si="210">(BB71/12)</f>
        <v>-20650.575833333336</v>
      </c>
      <c r="BC72" s="35" t="s">
        <v>0</v>
      </c>
      <c r="BL72" s="17">
        <v>70</v>
      </c>
      <c r="BM72" s="21">
        <v>35</v>
      </c>
      <c r="BN72" s="41" t="s">
        <v>0</v>
      </c>
    </row>
    <row r="73" spans="37:66" ht="39.950000000000003" hidden="1" customHeight="1" x14ac:dyDescent="0.25">
      <c r="BL73" s="17">
        <v>71</v>
      </c>
      <c r="BM73" s="21">
        <v>35.5</v>
      </c>
      <c r="BN73" s="41" t="s">
        <v>0</v>
      </c>
    </row>
    <row r="74" spans="37:66" ht="39.950000000000003" hidden="1" customHeight="1" x14ac:dyDescent="0.25">
      <c r="BL74" s="17">
        <v>72</v>
      </c>
      <c r="BM74" s="21">
        <v>36</v>
      </c>
      <c r="BN74" s="41" t="s">
        <v>0</v>
      </c>
    </row>
    <row r="75" spans="37:66" ht="39.950000000000003" hidden="1" customHeight="1" x14ac:dyDescent="0.25">
      <c r="BL75" s="17">
        <v>73</v>
      </c>
      <c r="BM75" s="21">
        <v>36.5</v>
      </c>
      <c r="BN75" s="41" t="s">
        <v>0</v>
      </c>
    </row>
    <row r="76" spans="37:66" ht="39.950000000000003" hidden="1" customHeight="1" x14ac:dyDescent="0.25">
      <c r="BL76" s="17">
        <v>74</v>
      </c>
      <c r="BM76" s="21">
        <v>37</v>
      </c>
      <c r="BN76" s="41" t="s">
        <v>0</v>
      </c>
    </row>
    <row r="77" spans="37:66" ht="39.950000000000003" hidden="1" customHeight="1" x14ac:dyDescent="0.25">
      <c r="BL77" s="17">
        <v>75</v>
      </c>
      <c r="BM77" s="21">
        <v>37.5</v>
      </c>
      <c r="BN77" s="41" t="s">
        <v>0</v>
      </c>
    </row>
    <row r="78" spans="37:66" ht="39.950000000000003" hidden="1" customHeight="1" x14ac:dyDescent="0.25">
      <c r="BL78" s="17">
        <v>76</v>
      </c>
      <c r="BM78" s="21">
        <v>38</v>
      </c>
      <c r="BN78" s="41" t="s">
        <v>0</v>
      </c>
    </row>
    <row r="79" spans="37:66" ht="39.950000000000003" hidden="1" customHeight="1" x14ac:dyDescent="0.25">
      <c r="BL79" s="17">
        <v>77</v>
      </c>
      <c r="BM79" s="21">
        <v>38.5</v>
      </c>
      <c r="BN79" s="41" t="s">
        <v>0</v>
      </c>
    </row>
    <row r="80" spans="37:66" ht="39.950000000000003" hidden="1" customHeight="1" x14ac:dyDescent="0.25">
      <c r="BL80" s="17">
        <v>78</v>
      </c>
      <c r="BM80" s="21">
        <v>39</v>
      </c>
      <c r="BN80" s="41" t="s">
        <v>0</v>
      </c>
    </row>
    <row r="81" spans="64:66" ht="39.950000000000003" hidden="1" customHeight="1" x14ac:dyDescent="0.25">
      <c r="BL81" s="17">
        <v>79</v>
      </c>
      <c r="BM81" s="21">
        <v>39.5</v>
      </c>
      <c r="BN81" s="41" t="s">
        <v>0</v>
      </c>
    </row>
    <row r="82" spans="64:66" ht="39.950000000000003" hidden="1" customHeight="1" x14ac:dyDescent="0.25">
      <c r="BL82" s="17">
        <v>80</v>
      </c>
      <c r="BM82" s="21">
        <v>40</v>
      </c>
      <c r="BN82" s="41" t="s">
        <v>0</v>
      </c>
    </row>
    <row r="83" spans="64:66" ht="39.950000000000003" hidden="1" customHeight="1" x14ac:dyDescent="0.25">
      <c r="BL83" s="17">
        <v>81</v>
      </c>
      <c r="BM83" s="21">
        <v>40.5</v>
      </c>
      <c r="BN83" s="41" t="s">
        <v>0</v>
      </c>
    </row>
    <row r="84" spans="64:66" ht="39.950000000000003" hidden="1" customHeight="1" x14ac:dyDescent="0.25">
      <c r="BL84" s="17">
        <v>82</v>
      </c>
      <c r="BM84" s="21">
        <v>41</v>
      </c>
      <c r="BN84" s="41" t="s">
        <v>0</v>
      </c>
    </row>
    <row r="85" spans="64:66" ht="39.950000000000003" hidden="1" customHeight="1" x14ac:dyDescent="0.25">
      <c r="BL85" s="17">
        <v>83</v>
      </c>
      <c r="BM85" s="21">
        <v>41.5</v>
      </c>
      <c r="BN85" s="41" t="s">
        <v>0</v>
      </c>
    </row>
    <row r="86" spans="64:66" ht="39.950000000000003" hidden="1" customHeight="1" x14ac:dyDescent="0.25">
      <c r="BL86" s="17">
        <v>84</v>
      </c>
      <c r="BM86" s="21">
        <v>42</v>
      </c>
      <c r="BN86" s="41" t="s">
        <v>0</v>
      </c>
    </row>
    <row r="87" spans="64:66" ht="39.950000000000003" hidden="1" customHeight="1" x14ac:dyDescent="0.25">
      <c r="BL87" s="17">
        <v>85</v>
      </c>
      <c r="BM87" s="21">
        <v>42.5</v>
      </c>
      <c r="BN87" s="41" t="s">
        <v>0</v>
      </c>
    </row>
    <row r="88" spans="64:66" ht="39.950000000000003" hidden="1" customHeight="1" x14ac:dyDescent="0.25">
      <c r="BL88" s="17">
        <v>86</v>
      </c>
      <c r="BM88" s="21">
        <v>43</v>
      </c>
      <c r="BN88" s="41" t="s">
        <v>0</v>
      </c>
    </row>
    <row r="89" spans="64:66" ht="39.950000000000003" hidden="1" customHeight="1" x14ac:dyDescent="0.25">
      <c r="BL89" s="17">
        <v>87</v>
      </c>
      <c r="BM89" s="21">
        <v>43.5</v>
      </c>
      <c r="BN89" s="41" t="s">
        <v>0</v>
      </c>
    </row>
    <row r="90" spans="64:66" ht="39.950000000000003" hidden="1" customHeight="1" x14ac:dyDescent="0.25">
      <c r="BL90" s="17">
        <v>88</v>
      </c>
      <c r="BM90" s="21">
        <v>44</v>
      </c>
      <c r="BN90" s="41" t="s">
        <v>0</v>
      </c>
    </row>
    <row r="91" spans="64:66" ht="39.950000000000003" hidden="1" customHeight="1" x14ac:dyDescent="0.25">
      <c r="BL91" s="17">
        <v>89</v>
      </c>
      <c r="BM91" s="21">
        <v>44.5</v>
      </c>
      <c r="BN91" s="41" t="s">
        <v>0</v>
      </c>
    </row>
    <row r="92" spans="64:66" ht="39.950000000000003" hidden="1" customHeight="1" x14ac:dyDescent="0.25">
      <c r="BL92" s="17">
        <v>90</v>
      </c>
      <c r="BM92" s="21">
        <v>45</v>
      </c>
      <c r="BN92" s="41" t="s">
        <v>0</v>
      </c>
    </row>
    <row r="93" spans="64:66" ht="39.950000000000003" hidden="1" customHeight="1" x14ac:dyDescent="0.25">
      <c r="BL93" s="17">
        <v>91</v>
      </c>
      <c r="BM93" s="21">
        <v>45.5</v>
      </c>
      <c r="BN93" s="41" t="s">
        <v>0</v>
      </c>
    </row>
    <row r="94" spans="64:66" ht="39.950000000000003" hidden="1" customHeight="1" x14ac:dyDescent="0.25">
      <c r="BL94" s="17">
        <v>92</v>
      </c>
      <c r="BM94" s="21">
        <v>46</v>
      </c>
      <c r="BN94" s="41" t="s">
        <v>0</v>
      </c>
    </row>
    <row r="95" spans="64:66" ht="39.950000000000003" hidden="1" customHeight="1" x14ac:dyDescent="0.25">
      <c r="BL95" s="17">
        <v>93</v>
      </c>
      <c r="BM95" s="21">
        <v>46.5</v>
      </c>
      <c r="BN95" s="41" t="s">
        <v>0</v>
      </c>
    </row>
    <row r="96" spans="64:66" ht="39.950000000000003" hidden="1" customHeight="1" x14ac:dyDescent="0.25">
      <c r="BL96" s="17">
        <v>94</v>
      </c>
      <c r="BM96" s="21">
        <v>47</v>
      </c>
      <c r="BN96" s="41" t="s">
        <v>0</v>
      </c>
    </row>
    <row r="97" spans="64:66" ht="39.950000000000003" hidden="1" customHeight="1" x14ac:dyDescent="0.25">
      <c r="BL97" s="17">
        <v>95</v>
      </c>
      <c r="BM97" s="21">
        <v>47.5</v>
      </c>
      <c r="BN97" s="41" t="s">
        <v>0</v>
      </c>
    </row>
    <row r="98" spans="64:66" ht="39.950000000000003" hidden="1" customHeight="1" x14ac:dyDescent="0.25">
      <c r="BL98" s="17">
        <v>96</v>
      </c>
      <c r="BM98" s="21">
        <v>48</v>
      </c>
      <c r="BN98" s="41" t="s">
        <v>0</v>
      </c>
    </row>
    <row r="99" spans="64:66" ht="39.950000000000003" hidden="1" customHeight="1" x14ac:dyDescent="0.25">
      <c r="BL99" s="17">
        <v>97</v>
      </c>
      <c r="BM99" s="21">
        <v>48.5</v>
      </c>
      <c r="BN99" s="41" t="s">
        <v>0</v>
      </c>
    </row>
    <row r="100" spans="64:66" ht="39.950000000000003" hidden="1" customHeight="1" x14ac:dyDescent="0.25">
      <c r="BL100" s="17">
        <v>98</v>
      </c>
      <c r="BM100" s="21">
        <v>49</v>
      </c>
      <c r="BN100" s="41" t="s">
        <v>0</v>
      </c>
    </row>
    <row r="101" spans="64:66" ht="39.950000000000003" hidden="1" customHeight="1" x14ac:dyDescent="0.25">
      <c r="BL101" s="17">
        <v>99</v>
      </c>
      <c r="BM101" s="21">
        <v>49.5</v>
      </c>
      <c r="BN101" s="41" t="s">
        <v>0</v>
      </c>
    </row>
    <row r="102" spans="64:66" ht="39.950000000000003" hidden="1" customHeight="1" x14ac:dyDescent="0.25">
      <c r="BL102" s="17">
        <v>100</v>
      </c>
      <c r="BM102" s="21">
        <v>50</v>
      </c>
      <c r="BN102" s="41" t="s">
        <v>0</v>
      </c>
    </row>
    <row r="103" spans="64:66" ht="39.950000000000003" hidden="1" customHeight="1" x14ac:dyDescent="0.25">
      <c r="BL103" s="17">
        <v>101</v>
      </c>
      <c r="BM103" s="21">
        <v>50.5</v>
      </c>
      <c r="BN103" s="41" t="s">
        <v>0</v>
      </c>
    </row>
    <row r="104" spans="64:66" ht="39.950000000000003" hidden="1" customHeight="1" x14ac:dyDescent="0.25">
      <c r="BL104" s="17">
        <v>102</v>
      </c>
      <c r="BM104" s="21">
        <v>51</v>
      </c>
      <c r="BN104" s="41" t="s">
        <v>0</v>
      </c>
    </row>
    <row r="105" spans="64:66" ht="39.950000000000003" hidden="1" customHeight="1" x14ac:dyDescent="0.25">
      <c r="BL105" s="17">
        <v>103</v>
      </c>
      <c r="BM105" s="21">
        <v>51.5</v>
      </c>
      <c r="BN105" s="41" t="s">
        <v>0</v>
      </c>
    </row>
    <row r="106" spans="64:66" ht="39.950000000000003" hidden="1" customHeight="1" x14ac:dyDescent="0.25">
      <c r="BL106" s="17">
        <v>104</v>
      </c>
      <c r="BM106" s="21">
        <v>52</v>
      </c>
      <c r="BN106" s="41" t="s">
        <v>0</v>
      </c>
    </row>
    <row r="107" spans="64:66" ht="39.950000000000003" hidden="1" customHeight="1" x14ac:dyDescent="0.25">
      <c r="BL107" s="17">
        <v>105</v>
      </c>
      <c r="BM107" s="21">
        <v>52.5</v>
      </c>
      <c r="BN107" s="41" t="s">
        <v>0</v>
      </c>
    </row>
    <row r="108" spans="64:66" ht="39.950000000000003" hidden="1" customHeight="1" x14ac:dyDescent="0.25">
      <c r="BL108" s="17">
        <v>106</v>
      </c>
      <c r="BM108" s="21">
        <v>53</v>
      </c>
      <c r="BN108" s="41" t="s">
        <v>0</v>
      </c>
    </row>
    <row r="109" spans="64:66" ht="39.950000000000003" hidden="1" customHeight="1" x14ac:dyDescent="0.25">
      <c r="BL109" s="17">
        <v>107</v>
      </c>
      <c r="BM109" s="21">
        <v>53.5</v>
      </c>
      <c r="BN109" s="41" t="s">
        <v>0</v>
      </c>
    </row>
    <row r="110" spans="64:66" ht="39.950000000000003" hidden="1" customHeight="1" x14ac:dyDescent="0.25">
      <c r="BL110" s="17">
        <v>108</v>
      </c>
      <c r="BM110" s="21">
        <v>54</v>
      </c>
      <c r="BN110" s="41" t="s">
        <v>0</v>
      </c>
    </row>
    <row r="111" spans="64:66" ht="39.950000000000003" hidden="1" customHeight="1" x14ac:dyDescent="0.25">
      <c r="BL111" s="17">
        <v>109</v>
      </c>
      <c r="BM111" s="21">
        <v>54.5</v>
      </c>
      <c r="BN111" s="41" t="s">
        <v>0</v>
      </c>
    </row>
    <row r="112" spans="64:66" ht="39.950000000000003" hidden="1" customHeight="1" x14ac:dyDescent="0.25">
      <c r="BL112" s="17">
        <v>110</v>
      </c>
      <c r="BM112" s="21">
        <v>55</v>
      </c>
      <c r="BN112" s="41" t="s">
        <v>0</v>
      </c>
    </row>
    <row r="113" spans="64:66" ht="39.950000000000003" hidden="1" customHeight="1" x14ac:dyDescent="0.25">
      <c r="BL113" s="17">
        <v>111</v>
      </c>
      <c r="BM113" s="21">
        <v>55.5</v>
      </c>
      <c r="BN113" s="41" t="s">
        <v>0</v>
      </c>
    </row>
    <row r="114" spans="64:66" ht="39.950000000000003" hidden="1" customHeight="1" x14ac:dyDescent="0.25">
      <c r="BL114" s="17">
        <v>112</v>
      </c>
      <c r="BM114" s="21">
        <v>56</v>
      </c>
      <c r="BN114" s="41" t="s">
        <v>0</v>
      </c>
    </row>
    <row r="115" spans="64:66" ht="39.950000000000003" hidden="1" customHeight="1" x14ac:dyDescent="0.25">
      <c r="BL115" s="17">
        <v>113</v>
      </c>
      <c r="BM115" s="21">
        <v>56.5</v>
      </c>
      <c r="BN115" s="41" t="s">
        <v>0</v>
      </c>
    </row>
    <row r="116" spans="64:66" ht="39.950000000000003" hidden="1" customHeight="1" x14ac:dyDescent="0.25">
      <c r="BL116" s="17">
        <v>114</v>
      </c>
      <c r="BM116" s="21">
        <v>57</v>
      </c>
      <c r="BN116" s="41" t="s">
        <v>0</v>
      </c>
    </row>
    <row r="117" spans="64:66" ht="39.950000000000003" hidden="1" customHeight="1" x14ac:dyDescent="0.25">
      <c r="BL117" s="17">
        <v>115</v>
      </c>
      <c r="BM117" s="21">
        <v>57.5</v>
      </c>
      <c r="BN117" s="41" t="s">
        <v>0</v>
      </c>
    </row>
    <row r="118" spans="64:66" ht="39.950000000000003" hidden="1" customHeight="1" x14ac:dyDescent="0.25">
      <c r="BL118" s="17">
        <v>116</v>
      </c>
      <c r="BM118" s="21">
        <v>58</v>
      </c>
      <c r="BN118" s="41" t="s">
        <v>0</v>
      </c>
    </row>
    <row r="119" spans="64:66" ht="39.950000000000003" hidden="1" customHeight="1" x14ac:dyDescent="0.25">
      <c r="BL119" s="17">
        <v>117</v>
      </c>
      <c r="BM119" s="21">
        <v>58.5</v>
      </c>
      <c r="BN119" s="41" t="s">
        <v>0</v>
      </c>
    </row>
    <row r="120" spans="64:66" ht="39.950000000000003" hidden="1" customHeight="1" x14ac:dyDescent="0.25">
      <c r="BL120" s="17">
        <v>118</v>
      </c>
      <c r="BM120" s="21">
        <v>59</v>
      </c>
      <c r="BN120" s="41" t="s">
        <v>0</v>
      </c>
    </row>
    <row r="121" spans="64:66" ht="39.950000000000003" hidden="1" customHeight="1" x14ac:dyDescent="0.25">
      <c r="BL121" s="17">
        <v>119</v>
      </c>
      <c r="BM121" s="21">
        <v>59.5</v>
      </c>
      <c r="BN121" s="41" t="s">
        <v>0</v>
      </c>
    </row>
    <row r="122" spans="64:66" ht="39.950000000000003" hidden="1" customHeight="1" x14ac:dyDescent="0.25">
      <c r="BL122" s="17">
        <v>120</v>
      </c>
      <c r="BM122" s="21">
        <v>60</v>
      </c>
      <c r="BN122" s="41" t="s">
        <v>0</v>
      </c>
    </row>
    <row r="123" spans="64:66" ht="39.950000000000003" hidden="1" customHeight="1" x14ac:dyDescent="0.25">
      <c r="BL123" s="17">
        <v>121</v>
      </c>
      <c r="BM123" s="21">
        <v>60.5</v>
      </c>
      <c r="BN123" s="41" t="s">
        <v>0</v>
      </c>
    </row>
    <row r="124" spans="64:66" ht="39.950000000000003" hidden="1" customHeight="1" x14ac:dyDescent="0.25">
      <c r="BL124" s="17">
        <v>122</v>
      </c>
      <c r="BM124" s="21">
        <v>61</v>
      </c>
      <c r="BN124" s="41" t="s">
        <v>0</v>
      </c>
    </row>
    <row r="125" spans="64:66" ht="39.950000000000003" hidden="1" customHeight="1" x14ac:dyDescent="0.25">
      <c r="BL125" s="17">
        <v>123</v>
      </c>
      <c r="BM125" s="21">
        <v>61.5</v>
      </c>
      <c r="BN125" s="41" t="s">
        <v>0</v>
      </c>
    </row>
    <row r="126" spans="64:66" ht="39.950000000000003" hidden="1" customHeight="1" x14ac:dyDescent="0.25">
      <c r="BL126" s="17">
        <v>124</v>
      </c>
      <c r="BM126" s="21">
        <v>62</v>
      </c>
      <c r="BN126" s="41" t="s">
        <v>0</v>
      </c>
    </row>
    <row r="127" spans="64:66" ht="39.950000000000003" hidden="1" customHeight="1" x14ac:dyDescent="0.25">
      <c r="BL127" s="17">
        <v>125</v>
      </c>
      <c r="BM127" s="21">
        <v>62.5</v>
      </c>
      <c r="BN127" s="41" t="s">
        <v>0</v>
      </c>
    </row>
    <row r="128" spans="64:66" ht="39.950000000000003" hidden="1" customHeight="1" x14ac:dyDescent="0.25">
      <c r="BL128" s="17">
        <v>126</v>
      </c>
      <c r="BM128" s="21">
        <v>63</v>
      </c>
      <c r="BN128" s="41" t="s">
        <v>0</v>
      </c>
    </row>
    <row r="129" spans="64:66" ht="39.950000000000003" hidden="1" customHeight="1" x14ac:dyDescent="0.25">
      <c r="BL129" s="17">
        <v>127</v>
      </c>
      <c r="BM129" s="21">
        <v>63.5</v>
      </c>
      <c r="BN129" s="41" t="s">
        <v>0</v>
      </c>
    </row>
    <row r="130" spans="64:66" ht="39.950000000000003" hidden="1" customHeight="1" x14ac:dyDescent="0.25">
      <c r="BL130" s="17">
        <v>128</v>
      </c>
      <c r="BM130" s="21">
        <v>64</v>
      </c>
      <c r="BN130" s="41" t="s">
        <v>0</v>
      </c>
    </row>
    <row r="131" spans="64:66" ht="39.950000000000003" hidden="1" customHeight="1" x14ac:dyDescent="0.25">
      <c r="BL131" s="17">
        <v>129</v>
      </c>
      <c r="BM131" s="21">
        <v>64.5</v>
      </c>
      <c r="BN131" s="41" t="s">
        <v>0</v>
      </c>
    </row>
    <row r="132" spans="64:66" ht="39.950000000000003" hidden="1" customHeight="1" x14ac:dyDescent="0.25">
      <c r="BL132" s="17">
        <v>130</v>
      </c>
      <c r="BM132" s="21">
        <v>65</v>
      </c>
      <c r="BN132" s="41" t="s">
        <v>0</v>
      </c>
    </row>
    <row r="133" spans="64:66" ht="39.950000000000003" hidden="1" customHeight="1" x14ac:dyDescent="0.25">
      <c r="BL133" s="17">
        <v>131</v>
      </c>
      <c r="BM133" s="21">
        <v>65.5</v>
      </c>
      <c r="BN133" s="41" t="s">
        <v>0</v>
      </c>
    </row>
    <row r="134" spans="64:66" ht="39.950000000000003" hidden="1" customHeight="1" x14ac:dyDescent="0.25">
      <c r="BL134" s="17">
        <v>132</v>
      </c>
      <c r="BM134" s="21">
        <v>66</v>
      </c>
      <c r="BN134" s="41" t="s">
        <v>0</v>
      </c>
    </row>
    <row r="135" spans="64:66" ht="39.950000000000003" hidden="1" customHeight="1" x14ac:dyDescent="0.25">
      <c r="BL135" s="17">
        <v>133</v>
      </c>
      <c r="BM135" s="21">
        <v>66.5</v>
      </c>
      <c r="BN135" s="41" t="s">
        <v>0</v>
      </c>
    </row>
    <row r="136" spans="64:66" ht="39.950000000000003" hidden="1" customHeight="1" x14ac:dyDescent="0.25">
      <c r="BL136" s="17">
        <v>134</v>
      </c>
      <c r="BM136" s="21">
        <v>67</v>
      </c>
      <c r="BN136" s="41" t="s">
        <v>0</v>
      </c>
    </row>
    <row r="137" spans="64:66" ht="39.950000000000003" hidden="1" customHeight="1" x14ac:dyDescent="0.25">
      <c r="BL137" s="17">
        <v>135</v>
      </c>
      <c r="BM137" s="21">
        <v>67.5</v>
      </c>
      <c r="BN137" s="41" t="s">
        <v>0</v>
      </c>
    </row>
    <row r="138" spans="64:66" ht="39.950000000000003" hidden="1" customHeight="1" x14ac:dyDescent="0.25">
      <c r="BL138" s="17">
        <v>136</v>
      </c>
      <c r="BM138" s="21">
        <v>68</v>
      </c>
      <c r="BN138" s="41" t="s">
        <v>0</v>
      </c>
    </row>
    <row r="139" spans="64:66" ht="39.950000000000003" hidden="1" customHeight="1" x14ac:dyDescent="0.25">
      <c r="BL139" s="17">
        <v>137</v>
      </c>
      <c r="BM139" s="21">
        <v>68.5</v>
      </c>
      <c r="BN139" s="41" t="s">
        <v>0</v>
      </c>
    </row>
    <row r="140" spans="64:66" ht="39.950000000000003" hidden="1" customHeight="1" x14ac:dyDescent="0.25">
      <c r="BL140" s="17">
        <v>138</v>
      </c>
      <c r="BM140" s="21">
        <v>69</v>
      </c>
      <c r="BN140" s="41" t="s">
        <v>0</v>
      </c>
    </row>
    <row r="141" spans="64:66" ht="39.950000000000003" hidden="1" customHeight="1" x14ac:dyDescent="0.25">
      <c r="BL141" s="17">
        <v>139</v>
      </c>
      <c r="BM141" s="21">
        <v>69.5</v>
      </c>
      <c r="BN141" s="41" t="s">
        <v>0</v>
      </c>
    </row>
    <row r="142" spans="64:66" ht="39.950000000000003" hidden="1" customHeight="1" x14ac:dyDescent="0.25">
      <c r="BL142" s="17">
        <v>140</v>
      </c>
      <c r="BM142" s="21">
        <v>70</v>
      </c>
      <c r="BN142" s="41" t="s">
        <v>0</v>
      </c>
    </row>
    <row r="143" spans="64:66" ht="39.950000000000003" hidden="1" customHeight="1" x14ac:dyDescent="0.25">
      <c r="BL143" s="17">
        <v>141</v>
      </c>
      <c r="BM143" s="21">
        <v>70.5</v>
      </c>
      <c r="BN143" s="41" t="s">
        <v>0</v>
      </c>
    </row>
    <row r="144" spans="64:66" ht="39.950000000000003" hidden="1" customHeight="1" x14ac:dyDescent="0.25">
      <c r="BL144" s="17">
        <v>142</v>
      </c>
      <c r="BM144" s="21">
        <v>71</v>
      </c>
      <c r="BN144" s="41" t="s">
        <v>0</v>
      </c>
    </row>
    <row r="145" spans="64:66" ht="39.950000000000003" hidden="1" customHeight="1" x14ac:dyDescent="0.25">
      <c r="BL145" s="17">
        <v>143</v>
      </c>
      <c r="BM145" s="21">
        <v>71.5</v>
      </c>
      <c r="BN145" s="41" t="s">
        <v>0</v>
      </c>
    </row>
    <row r="146" spans="64:66" ht="39.950000000000003" hidden="1" customHeight="1" x14ac:dyDescent="0.25">
      <c r="BL146" s="17">
        <v>144</v>
      </c>
      <c r="BM146" s="21">
        <v>72</v>
      </c>
      <c r="BN146" s="41" t="s">
        <v>0</v>
      </c>
    </row>
    <row r="147" spans="64:66" ht="39.950000000000003" hidden="1" customHeight="1" x14ac:dyDescent="0.25">
      <c r="BL147" s="17">
        <v>145</v>
      </c>
      <c r="BM147" s="21">
        <v>72.5</v>
      </c>
      <c r="BN147" s="41" t="s">
        <v>0</v>
      </c>
    </row>
    <row r="148" spans="64:66" ht="39.950000000000003" hidden="1" customHeight="1" x14ac:dyDescent="0.25">
      <c r="BL148" s="17">
        <v>146</v>
      </c>
      <c r="BM148" s="21">
        <v>73</v>
      </c>
      <c r="BN148" s="41" t="s">
        <v>0</v>
      </c>
    </row>
    <row r="149" spans="64:66" ht="39.950000000000003" hidden="1" customHeight="1" x14ac:dyDescent="0.25">
      <c r="BL149" s="17">
        <v>147</v>
      </c>
      <c r="BM149" s="21">
        <v>73.5</v>
      </c>
      <c r="BN149" s="41" t="s">
        <v>0</v>
      </c>
    </row>
    <row r="150" spans="64:66" ht="39.950000000000003" hidden="1" customHeight="1" x14ac:dyDescent="0.25">
      <c r="BL150" s="17">
        <v>148</v>
      </c>
      <c r="BM150" s="21">
        <v>74</v>
      </c>
      <c r="BN150" s="41" t="s">
        <v>0</v>
      </c>
    </row>
    <row r="151" spans="64:66" ht="39.950000000000003" hidden="1" customHeight="1" x14ac:dyDescent="0.25">
      <c r="BL151" s="17">
        <v>149</v>
      </c>
      <c r="BM151" s="21">
        <v>74.5</v>
      </c>
      <c r="BN151" s="41" t="s">
        <v>0</v>
      </c>
    </row>
    <row r="152" spans="64:66" ht="39.950000000000003" hidden="1" customHeight="1" x14ac:dyDescent="0.25">
      <c r="BL152" s="17">
        <v>150</v>
      </c>
      <c r="BM152" s="21">
        <v>75</v>
      </c>
      <c r="BN152" s="41" t="s">
        <v>0</v>
      </c>
    </row>
    <row r="153" spans="64:66" ht="39.950000000000003" hidden="1" customHeight="1" x14ac:dyDescent="0.25">
      <c r="BL153" s="17">
        <v>151</v>
      </c>
      <c r="BM153" s="21">
        <v>75.5</v>
      </c>
      <c r="BN153" s="41" t="s">
        <v>0</v>
      </c>
    </row>
    <row r="154" spans="64:66" ht="39.950000000000003" hidden="1" customHeight="1" x14ac:dyDescent="0.25">
      <c r="BL154" s="17">
        <v>152</v>
      </c>
      <c r="BM154" s="21">
        <v>76</v>
      </c>
      <c r="BN154" s="41" t="s">
        <v>0</v>
      </c>
    </row>
    <row r="155" spans="64:66" ht="39.950000000000003" hidden="1" customHeight="1" x14ac:dyDescent="0.25">
      <c r="BL155" s="17">
        <v>153</v>
      </c>
      <c r="BM155" s="21">
        <v>76.5</v>
      </c>
      <c r="BN155" s="41" t="s">
        <v>0</v>
      </c>
    </row>
    <row r="156" spans="64:66" ht="39.950000000000003" hidden="1" customHeight="1" x14ac:dyDescent="0.25">
      <c r="BL156" s="17">
        <v>154</v>
      </c>
      <c r="BM156" s="21">
        <v>77</v>
      </c>
      <c r="BN156" s="41" t="s">
        <v>0</v>
      </c>
    </row>
    <row r="157" spans="64:66" ht="39.950000000000003" hidden="1" customHeight="1" x14ac:dyDescent="0.25">
      <c r="BL157" s="17">
        <v>155</v>
      </c>
      <c r="BM157" s="21">
        <v>77.5</v>
      </c>
      <c r="BN157" s="41" t="s">
        <v>0</v>
      </c>
    </row>
    <row r="158" spans="64:66" ht="39.950000000000003" hidden="1" customHeight="1" x14ac:dyDescent="0.25">
      <c r="BL158" s="17">
        <v>156</v>
      </c>
      <c r="BM158" s="21">
        <v>78</v>
      </c>
      <c r="BN158" s="41" t="s">
        <v>0</v>
      </c>
    </row>
    <row r="159" spans="64:66" ht="39.950000000000003" hidden="1" customHeight="1" x14ac:dyDescent="0.25">
      <c r="BL159" s="17">
        <v>157</v>
      </c>
      <c r="BM159" s="21">
        <v>78.5</v>
      </c>
      <c r="BN159" s="41" t="s">
        <v>0</v>
      </c>
    </row>
    <row r="160" spans="64:66" ht="39.950000000000003" hidden="1" customHeight="1" x14ac:dyDescent="0.25">
      <c r="BL160" s="17">
        <v>158</v>
      </c>
      <c r="BM160" s="21">
        <v>79</v>
      </c>
      <c r="BN160" s="41" t="s">
        <v>0</v>
      </c>
    </row>
    <row r="161" spans="64:66" ht="39.950000000000003" hidden="1" customHeight="1" x14ac:dyDescent="0.25">
      <c r="BL161" s="17">
        <v>159</v>
      </c>
      <c r="BM161" s="21">
        <v>79.5</v>
      </c>
      <c r="BN161" s="41" t="s">
        <v>0</v>
      </c>
    </row>
    <row r="162" spans="64:66" ht="39.950000000000003" hidden="1" customHeight="1" x14ac:dyDescent="0.25">
      <c r="BL162" s="17">
        <v>160</v>
      </c>
      <c r="BM162" s="21">
        <v>80</v>
      </c>
      <c r="BN162" s="41" t="s">
        <v>0</v>
      </c>
    </row>
    <row r="163" spans="64:66" ht="39.950000000000003" hidden="1" customHeight="1" x14ac:dyDescent="0.25">
      <c r="BL163" s="17">
        <v>161</v>
      </c>
      <c r="BM163" s="21">
        <v>80.5</v>
      </c>
      <c r="BN163" s="41" t="s">
        <v>0</v>
      </c>
    </row>
    <row r="164" spans="64:66" ht="39.950000000000003" hidden="1" customHeight="1" x14ac:dyDescent="0.25">
      <c r="BL164" s="17">
        <v>162</v>
      </c>
      <c r="BM164" s="21">
        <v>81</v>
      </c>
      <c r="BN164" s="41" t="s">
        <v>0</v>
      </c>
    </row>
    <row r="165" spans="64:66" ht="39.950000000000003" hidden="1" customHeight="1" x14ac:dyDescent="0.25">
      <c r="BL165" s="17">
        <v>163</v>
      </c>
      <c r="BM165" s="21">
        <v>81.5</v>
      </c>
      <c r="BN165" s="41" t="s">
        <v>0</v>
      </c>
    </row>
    <row r="166" spans="64:66" ht="39.950000000000003" hidden="1" customHeight="1" x14ac:dyDescent="0.25">
      <c r="BL166" s="17">
        <v>164</v>
      </c>
      <c r="BM166" s="21">
        <v>82</v>
      </c>
      <c r="BN166" s="41" t="s">
        <v>0</v>
      </c>
    </row>
    <row r="167" spans="64:66" ht="39.950000000000003" hidden="1" customHeight="1" x14ac:dyDescent="0.25">
      <c r="BL167" s="17">
        <v>165</v>
      </c>
      <c r="BM167" s="21">
        <v>82.5</v>
      </c>
      <c r="BN167" s="41" t="s">
        <v>0</v>
      </c>
    </row>
    <row r="168" spans="64:66" ht="39.950000000000003" hidden="1" customHeight="1" x14ac:dyDescent="0.25">
      <c r="BL168" s="17">
        <v>166</v>
      </c>
      <c r="BM168" s="21">
        <v>83</v>
      </c>
      <c r="BN168" s="41" t="s">
        <v>0</v>
      </c>
    </row>
    <row r="169" spans="64:66" ht="39.950000000000003" hidden="1" customHeight="1" x14ac:dyDescent="0.25">
      <c r="BL169" s="17">
        <v>167</v>
      </c>
      <c r="BM169" s="21">
        <v>83.5</v>
      </c>
      <c r="BN169" s="41" t="s">
        <v>0</v>
      </c>
    </row>
    <row r="170" spans="64:66" ht="39.950000000000003" hidden="1" customHeight="1" x14ac:dyDescent="0.25">
      <c r="BL170" s="17">
        <v>168</v>
      </c>
      <c r="BM170" s="21">
        <v>84</v>
      </c>
      <c r="BN170" s="41" t="s">
        <v>0</v>
      </c>
    </row>
    <row r="171" spans="64:66" ht="39.950000000000003" hidden="1" customHeight="1" x14ac:dyDescent="0.25">
      <c r="BL171" s="17">
        <v>169</v>
      </c>
      <c r="BM171" s="21">
        <v>84.5</v>
      </c>
      <c r="BN171" s="41" t="s">
        <v>0</v>
      </c>
    </row>
    <row r="172" spans="64:66" ht="39.950000000000003" hidden="1" customHeight="1" x14ac:dyDescent="0.25">
      <c r="BL172" s="17">
        <v>170</v>
      </c>
      <c r="BM172" s="21">
        <v>85</v>
      </c>
      <c r="BN172" s="41" t="s">
        <v>0</v>
      </c>
    </row>
    <row r="173" spans="64:66" ht="39.950000000000003" hidden="1" customHeight="1" x14ac:dyDescent="0.25">
      <c r="BL173" s="17">
        <v>171</v>
      </c>
      <c r="BM173" s="21">
        <v>85.5</v>
      </c>
      <c r="BN173" s="41" t="s">
        <v>0</v>
      </c>
    </row>
    <row r="174" spans="64:66" ht="39.950000000000003" hidden="1" customHeight="1" x14ac:dyDescent="0.25">
      <c r="BL174" s="17">
        <v>172</v>
      </c>
      <c r="BM174" s="21">
        <v>86</v>
      </c>
      <c r="BN174" s="41" t="s">
        <v>0</v>
      </c>
    </row>
    <row r="175" spans="64:66" ht="39.950000000000003" hidden="1" customHeight="1" x14ac:dyDescent="0.25">
      <c r="BL175" s="17">
        <v>173</v>
      </c>
      <c r="BM175" s="21">
        <v>86.5</v>
      </c>
      <c r="BN175" s="41" t="s">
        <v>0</v>
      </c>
    </row>
    <row r="176" spans="64:66" ht="39.950000000000003" hidden="1" customHeight="1" x14ac:dyDescent="0.25">
      <c r="BL176" s="17">
        <v>174</v>
      </c>
      <c r="BM176" s="21">
        <v>87</v>
      </c>
      <c r="BN176" s="41" t="s">
        <v>0</v>
      </c>
    </row>
    <row r="177" spans="64:66" ht="39.950000000000003" hidden="1" customHeight="1" x14ac:dyDescent="0.25">
      <c r="BL177" s="17">
        <v>175</v>
      </c>
      <c r="BM177" s="21">
        <v>87.5</v>
      </c>
      <c r="BN177" s="41" t="s">
        <v>0</v>
      </c>
    </row>
    <row r="178" spans="64:66" ht="39.950000000000003" hidden="1" customHeight="1" x14ac:dyDescent="0.25">
      <c r="BL178" s="17">
        <v>176</v>
      </c>
      <c r="BM178" s="21">
        <v>88</v>
      </c>
      <c r="BN178" s="41" t="s">
        <v>0</v>
      </c>
    </row>
    <row r="179" spans="64:66" ht="39.950000000000003" hidden="1" customHeight="1" x14ac:dyDescent="0.25">
      <c r="BL179" s="17">
        <v>177</v>
      </c>
      <c r="BM179" s="21">
        <v>88.5</v>
      </c>
      <c r="BN179" s="41" t="s">
        <v>0</v>
      </c>
    </row>
    <row r="180" spans="64:66" ht="39.950000000000003" hidden="1" customHeight="1" x14ac:dyDescent="0.25">
      <c r="BL180" s="17">
        <v>178</v>
      </c>
      <c r="BM180" s="21">
        <v>89</v>
      </c>
      <c r="BN180" s="41" t="s">
        <v>0</v>
      </c>
    </row>
    <row r="181" spans="64:66" ht="39.950000000000003" hidden="1" customHeight="1" x14ac:dyDescent="0.25">
      <c r="BL181" s="17">
        <v>179</v>
      </c>
      <c r="BM181" s="21">
        <v>89.5</v>
      </c>
      <c r="BN181" s="41" t="s">
        <v>0</v>
      </c>
    </row>
    <row r="182" spans="64:66" ht="39.950000000000003" hidden="1" customHeight="1" x14ac:dyDescent="0.25">
      <c r="BL182" s="17">
        <v>180</v>
      </c>
      <c r="BM182" s="21">
        <v>90</v>
      </c>
      <c r="BN182" s="41" t="s">
        <v>0</v>
      </c>
    </row>
    <row r="183" spans="64:66" ht="39.950000000000003" hidden="1" customHeight="1" x14ac:dyDescent="0.25">
      <c r="BL183" s="17">
        <v>181</v>
      </c>
      <c r="BM183" s="21">
        <v>90.5</v>
      </c>
      <c r="BN183" s="41" t="s">
        <v>0</v>
      </c>
    </row>
    <row r="184" spans="64:66" ht="39.950000000000003" hidden="1" customHeight="1" x14ac:dyDescent="0.25">
      <c r="BL184" s="17">
        <v>182</v>
      </c>
      <c r="BM184" s="21">
        <v>91</v>
      </c>
      <c r="BN184" s="41" t="s">
        <v>0</v>
      </c>
    </row>
    <row r="185" spans="64:66" ht="39.950000000000003" hidden="1" customHeight="1" x14ac:dyDescent="0.25">
      <c r="BL185" s="17">
        <v>183</v>
      </c>
      <c r="BM185" s="21">
        <v>91.5</v>
      </c>
      <c r="BN185" s="41" t="s">
        <v>0</v>
      </c>
    </row>
    <row r="186" spans="64:66" ht="39.950000000000003" hidden="1" customHeight="1" x14ac:dyDescent="0.25">
      <c r="BL186" s="17">
        <v>184</v>
      </c>
      <c r="BM186" s="21">
        <v>92</v>
      </c>
      <c r="BN186" s="41" t="s">
        <v>0</v>
      </c>
    </row>
    <row r="187" spans="64:66" ht="39.950000000000003" hidden="1" customHeight="1" x14ac:dyDescent="0.25">
      <c r="BL187" s="17">
        <v>185</v>
      </c>
      <c r="BM187" s="21">
        <v>92.5</v>
      </c>
      <c r="BN187" s="41" t="s">
        <v>0</v>
      </c>
    </row>
    <row r="188" spans="64:66" ht="39.950000000000003" hidden="1" customHeight="1" x14ac:dyDescent="0.25">
      <c r="BL188" s="17">
        <v>186</v>
      </c>
      <c r="BM188" s="21">
        <v>93</v>
      </c>
      <c r="BN188" s="41" t="s">
        <v>0</v>
      </c>
    </row>
    <row r="189" spans="64:66" ht="39.950000000000003" hidden="1" customHeight="1" x14ac:dyDescent="0.25">
      <c r="BL189" s="17">
        <v>187</v>
      </c>
      <c r="BM189" s="21">
        <v>93.5</v>
      </c>
      <c r="BN189" s="41" t="s">
        <v>0</v>
      </c>
    </row>
    <row r="190" spans="64:66" ht="39.950000000000003" hidden="1" customHeight="1" x14ac:dyDescent="0.25">
      <c r="BL190" s="17">
        <v>188</v>
      </c>
      <c r="BM190" s="21">
        <v>94</v>
      </c>
      <c r="BN190" s="41" t="s">
        <v>0</v>
      </c>
    </row>
    <row r="191" spans="64:66" ht="39.950000000000003" hidden="1" customHeight="1" x14ac:dyDescent="0.25">
      <c r="BL191" s="17">
        <v>189</v>
      </c>
      <c r="BM191" s="21">
        <v>94.5</v>
      </c>
      <c r="BN191" s="41" t="s">
        <v>0</v>
      </c>
    </row>
    <row r="192" spans="64:66" ht="39.950000000000003" hidden="1" customHeight="1" x14ac:dyDescent="0.25">
      <c r="BL192" s="17">
        <v>190</v>
      </c>
      <c r="BM192" s="21">
        <v>95</v>
      </c>
      <c r="BN192" s="41" t="s">
        <v>0</v>
      </c>
    </row>
    <row r="193" spans="64:66" ht="39.950000000000003" hidden="1" customHeight="1" x14ac:dyDescent="0.25">
      <c r="BL193" s="17">
        <v>191</v>
      </c>
      <c r="BM193" s="21">
        <v>95.5</v>
      </c>
      <c r="BN193" s="41" t="s">
        <v>0</v>
      </c>
    </row>
    <row r="194" spans="64:66" ht="39.950000000000003" hidden="1" customHeight="1" x14ac:dyDescent="0.25">
      <c r="BL194" s="17">
        <v>192</v>
      </c>
      <c r="BM194" s="21">
        <v>96</v>
      </c>
      <c r="BN194" s="41" t="s">
        <v>0</v>
      </c>
    </row>
    <row r="195" spans="64:66" ht="39.950000000000003" hidden="1" customHeight="1" x14ac:dyDescent="0.25">
      <c r="BL195" s="17">
        <v>193</v>
      </c>
      <c r="BM195" s="21">
        <v>96.5</v>
      </c>
      <c r="BN195" s="41" t="s">
        <v>0</v>
      </c>
    </row>
    <row r="196" spans="64:66" ht="39.950000000000003" hidden="1" customHeight="1" x14ac:dyDescent="0.25">
      <c r="BL196" s="17">
        <v>194</v>
      </c>
      <c r="BM196" s="21">
        <v>97</v>
      </c>
      <c r="BN196" s="41" t="s">
        <v>0</v>
      </c>
    </row>
    <row r="197" spans="64:66" ht="39.950000000000003" hidden="1" customHeight="1" x14ac:dyDescent="0.25">
      <c r="BL197" s="17">
        <v>195</v>
      </c>
      <c r="BM197" s="21">
        <v>97.5</v>
      </c>
      <c r="BN197" s="41" t="s">
        <v>0</v>
      </c>
    </row>
    <row r="198" spans="64:66" ht="39.950000000000003" hidden="1" customHeight="1" x14ac:dyDescent="0.25">
      <c r="BL198" s="17">
        <v>196</v>
      </c>
      <c r="BM198" s="21">
        <v>98</v>
      </c>
      <c r="BN198" s="41" t="s">
        <v>0</v>
      </c>
    </row>
    <row r="199" spans="64:66" ht="39.950000000000003" hidden="1" customHeight="1" x14ac:dyDescent="0.25">
      <c r="BL199" s="17">
        <v>197</v>
      </c>
      <c r="BM199" s="21">
        <v>98.5</v>
      </c>
      <c r="BN199" s="41" t="s">
        <v>0</v>
      </c>
    </row>
    <row r="200" spans="64:66" ht="39.950000000000003" hidden="1" customHeight="1" x14ac:dyDescent="0.25">
      <c r="BL200" s="17">
        <v>198</v>
      </c>
      <c r="BM200" s="21">
        <v>99</v>
      </c>
      <c r="BN200" s="41" t="s">
        <v>0</v>
      </c>
    </row>
    <row r="201" spans="64:66" ht="39.950000000000003" hidden="1" customHeight="1" x14ac:dyDescent="0.25">
      <c r="BL201" s="17">
        <v>199</v>
      </c>
      <c r="BM201" s="21">
        <v>99.5</v>
      </c>
      <c r="BN201" s="41" t="s">
        <v>0</v>
      </c>
    </row>
    <row r="202" spans="64:66" ht="39.950000000000003" hidden="1" customHeight="1" x14ac:dyDescent="0.25">
      <c r="BL202" s="17">
        <v>200</v>
      </c>
      <c r="BM202" s="21">
        <v>100</v>
      </c>
      <c r="BN202" s="41" t="s">
        <v>0</v>
      </c>
    </row>
    <row r="203" spans="64:66" ht="39.950000000000003" hidden="1" customHeight="1" x14ac:dyDescent="0.25">
      <c r="BL203" s="17">
        <v>201</v>
      </c>
      <c r="BM203" s="21">
        <v>100.5</v>
      </c>
      <c r="BN203" s="41" t="s">
        <v>0</v>
      </c>
    </row>
    <row r="204" spans="64:66" ht="39.950000000000003" hidden="1" customHeight="1" x14ac:dyDescent="0.25">
      <c r="BL204" s="17">
        <v>202</v>
      </c>
      <c r="BM204" s="21">
        <v>101</v>
      </c>
      <c r="BN204" s="41" t="s">
        <v>0</v>
      </c>
    </row>
    <row r="205" spans="64:66" ht="39.950000000000003" hidden="1" customHeight="1" x14ac:dyDescent="0.25">
      <c r="BL205" s="17">
        <v>203</v>
      </c>
      <c r="BM205" s="21">
        <v>101.5</v>
      </c>
      <c r="BN205" s="41" t="s">
        <v>0</v>
      </c>
    </row>
    <row r="206" spans="64:66" ht="39.950000000000003" hidden="1" customHeight="1" x14ac:dyDescent="0.25">
      <c r="BL206" s="17">
        <v>204</v>
      </c>
      <c r="BM206" s="21">
        <v>102</v>
      </c>
      <c r="BN206" s="41" t="s">
        <v>0</v>
      </c>
    </row>
    <row r="207" spans="64:66" ht="39.950000000000003" hidden="1" customHeight="1" x14ac:dyDescent="0.25">
      <c r="BL207" s="17">
        <v>205</v>
      </c>
      <c r="BM207" s="21">
        <v>102.5</v>
      </c>
      <c r="BN207" s="41" t="s">
        <v>0</v>
      </c>
    </row>
    <row r="208" spans="64:66" ht="39.950000000000003" hidden="1" customHeight="1" x14ac:dyDescent="0.25">
      <c r="BL208" s="17">
        <v>206</v>
      </c>
      <c r="BM208" s="21">
        <v>103</v>
      </c>
      <c r="BN208" s="41" t="s">
        <v>0</v>
      </c>
    </row>
    <row r="209" spans="64:66" ht="39.950000000000003" hidden="1" customHeight="1" x14ac:dyDescent="0.25">
      <c r="BL209" s="17">
        <v>207</v>
      </c>
      <c r="BM209" s="21">
        <v>103.5</v>
      </c>
      <c r="BN209" s="41" t="s">
        <v>0</v>
      </c>
    </row>
    <row r="210" spans="64:66" ht="39.950000000000003" hidden="1" customHeight="1" x14ac:dyDescent="0.25">
      <c r="BL210" s="17">
        <v>208</v>
      </c>
      <c r="BM210" s="21">
        <v>104</v>
      </c>
      <c r="BN210" s="41" t="s">
        <v>0</v>
      </c>
    </row>
    <row r="211" spans="64:66" ht="39.950000000000003" hidden="1" customHeight="1" x14ac:dyDescent="0.25">
      <c r="BL211" s="17">
        <v>209</v>
      </c>
      <c r="BM211" s="21">
        <v>104.5</v>
      </c>
      <c r="BN211" s="41" t="s">
        <v>0</v>
      </c>
    </row>
    <row r="212" spans="64:66" ht="39.950000000000003" hidden="1" customHeight="1" x14ac:dyDescent="0.25">
      <c r="BL212" s="17">
        <v>210</v>
      </c>
      <c r="BM212" s="21">
        <v>105</v>
      </c>
      <c r="BN212" s="41" t="s">
        <v>0</v>
      </c>
    </row>
    <row r="213" spans="64:66" ht="39.950000000000003" hidden="1" customHeight="1" x14ac:dyDescent="0.25">
      <c r="BL213" s="17">
        <v>211</v>
      </c>
      <c r="BM213" s="21">
        <v>105.5</v>
      </c>
      <c r="BN213" s="41" t="s">
        <v>0</v>
      </c>
    </row>
    <row r="214" spans="64:66" ht="39.950000000000003" hidden="1" customHeight="1" x14ac:dyDescent="0.25">
      <c r="BL214" s="17">
        <v>212</v>
      </c>
      <c r="BM214" s="21">
        <v>106</v>
      </c>
      <c r="BN214" s="41" t="s">
        <v>0</v>
      </c>
    </row>
    <row r="215" spans="64:66" ht="39.950000000000003" hidden="1" customHeight="1" x14ac:dyDescent="0.25">
      <c r="BL215" s="17">
        <v>213</v>
      </c>
      <c r="BM215" s="21">
        <v>106.5</v>
      </c>
      <c r="BN215" s="41" t="s">
        <v>0</v>
      </c>
    </row>
    <row r="216" spans="64:66" ht="39.950000000000003" hidden="1" customHeight="1" x14ac:dyDescent="0.25">
      <c r="BL216" s="17">
        <v>214</v>
      </c>
      <c r="BM216" s="21">
        <v>107</v>
      </c>
      <c r="BN216" s="41" t="s">
        <v>0</v>
      </c>
    </row>
    <row r="217" spans="64:66" ht="39.950000000000003" hidden="1" customHeight="1" x14ac:dyDescent="0.25">
      <c r="BL217" s="17">
        <v>215</v>
      </c>
      <c r="BM217" s="21">
        <v>107.5</v>
      </c>
      <c r="BN217" s="41" t="s">
        <v>0</v>
      </c>
    </row>
    <row r="218" spans="64:66" ht="39.950000000000003" hidden="1" customHeight="1" x14ac:dyDescent="0.25">
      <c r="BL218" s="17">
        <v>216</v>
      </c>
      <c r="BM218" s="21">
        <v>108</v>
      </c>
      <c r="BN218" s="41" t="s">
        <v>0</v>
      </c>
    </row>
    <row r="219" spans="64:66" ht="39.950000000000003" hidden="1" customHeight="1" x14ac:dyDescent="0.25">
      <c r="BL219" s="17">
        <v>217</v>
      </c>
      <c r="BM219" s="21">
        <v>108.5</v>
      </c>
      <c r="BN219" s="41" t="s">
        <v>0</v>
      </c>
    </row>
    <row r="220" spans="64:66" ht="39.950000000000003" hidden="1" customHeight="1" x14ac:dyDescent="0.25">
      <c r="BL220" s="17">
        <v>218</v>
      </c>
      <c r="BM220" s="21">
        <v>109</v>
      </c>
      <c r="BN220" s="41" t="s">
        <v>0</v>
      </c>
    </row>
    <row r="221" spans="64:66" ht="39.950000000000003" hidden="1" customHeight="1" x14ac:dyDescent="0.25">
      <c r="BL221" s="17">
        <v>219</v>
      </c>
      <c r="BM221" s="21">
        <v>109.5</v>
      </c>
      <c r="BN221" s="41" t="s">
        <v>0</v>
      </c>
    </row>
    <row r="222" spans="64:66" ht="39.950000000000003" hidden="1" customHeight="1" x14ac:dyDescent="0.25">
      <c r="BL222" s="17">
        <v>220</v>
      </c>
      <c r="BM222" s="21">
        <v>110</v>
      </c>
      <c r="BN222" s="41" t="s">
        <v>0</v>
      </c>
    </row>
    <row r="223" spans="64:66" ht="39.950000000000003" hidden="1" customHeight="1" x14ac:dyDescent="0.25">
      <c r="BL223" s="17">
        <v>221</v>
      </c>
      <c r="BM223" s="21">
        <v>110.5</v>
      </c>
      <c r="BN223" s="41" t="s">
        <v>0</v>
      </c>
    </row>
    <row r="224" spans="64:66" ht="39.950000000000003" hidden="1" customHeight="1" x14ac:dyDescent="0.25">
      <c r="BL224" s="17">
        <v>222</v>
      </c>
      <c r="BM224" s="21">
        <v>111</v>
      </c>
      <c r="BN224" s="41" t="s">
        <v>0</v>
      </c>
    </row>
    <row r="225" spans="64:66" ht="39.950000000000003" hidden="1" customHeight="1" x14ac:dyDescent="0.25">
      <c r="BL225" s="17">
        <v>223</v>
      </c>
      <c r="BM225" s="21">
        <v>111.5</v>
      </c>
      <c r="BN225" s="41" t="s">
        <v>0</v>
      </c>
    </row>
    <row r="226" spans="64:66" ht="39.950000000000003" hidden="1" customHeight="1" x14ac:dyDescent="0.25">
      <c r="BL226" s="17">
        <v>224</v>
      </c>
      <c r="BM226" s="21">
        <v>112</v>
      </c>
      <c r="BN226" s="41" t="s">
        <v>0</v>
      </c>
    </row>
    <row r="227" spans="64:66" ht="39.950000000000003" hidden="1" customHeight="1" x14ac:dyDescent="0.25">
      <c r="BL227" s="17">
        <v>225</v>
      </c>
      <c r="BM227" s="21">
        <v>112.5</v>
      </c>
      <c r="BN227" s="41" t="s">
        <v>0</v>
      </c>
    </row>
    <row r="228" spans="64:66" ht="39.950000000000003" hidden="1" customHeight="1" x14ac:dyDescent="0.25">
      <c r="BL228" s="17">
        <v>226</v>
      </c>
      <c r="BM228" s="21">
        <v>113</v>
      </c>
      <c r="BN228" s="41" t="s">
        <v>0</v>
      </c>
    </row>
    <row r="229" spans="64:66" ht="39.950000000000003" hidden="1" customHeight="1" x14ac:dyDescent="0.25">
      <c r="BL229" s="17">
        <v>227</v>
      </c>
      <c r="BM229" s="21">
        <v>113.5</v>
      </c>
      <c r="BN229" s="41" t="s">
        <v>0</v>
      </c>
    </row>
    <row r="230" spans="64:66" ht="39.950000000000003" hidden="1" customHeight="1" x14ac:dyDescent="0.25">
      <c r="BL230" s="17">
        <v>228</v>
      </c>
      <c r="BM230" s="21">
        <v>114</v>
      </c>
      <c r="BN230" s="41" t="s">
        <v>0</v>
      </c>
    </row>
    <row r="231" spans="64:66" ht="39.950000000000003" hidden="1" customHeight="1" x14ac:dyDescent="0.25">
      <c r="BL231" s="17">
        <v>229</v>
      </c>
      <c r="BM231" s="21">
        <v>114.5</v>
      </c>
      <c r="BN231" s="41" t="s">
        <v>0</v>
      </c>
    </row>
    <row r="232" spans="64:66" ht="39.950000000000003" hidden="1" customHeight="1" x14ac:dyDescent="0.25">
      <c r="BL232" s="17">
        <v>230</v>
      </c>
      <c r="BM232" s="21">
        <v>115</v>
      </c>
      <c r="BN232" s="41" t="s">
        <v>0</v>
      </c>
    </row>
    <row r="233" spans="64:66" ht="39.950000000000003" hidden="1" customHeight="1" x14ac:dyDescent="0.25">
      <c r="BL233" s="17">
        <v>231</v>
      </c>
      <c r="BM233" s="21">
        <v>115.5</v>
      </c>
      <c r="BN233" s="41" t="s">
        <v>0</v>
      </c>
    </row>
    <row r="234" spans="64:66" ht="39.950000000000003" hidden="1" customHeight="1" x14ac:dyDescent="0.25">
      <c r="BL234" s="17">
        <v>232</v>
      </c>
      <c r="BM234" s="21">
        <v>116</v>
      </c>
      <c r="BN234" s="41" t="s">
        <v>0</v>
      </c>
    </row>
    <row r="235" spans="64:66" ht="39.950000000000003" hidden="1" customHeight="1" x14ac:dyDescent="0.25">
      <c r="BL235" s="17">
        <v>233</v>
      </c>
      <c r="BM235" s="21">
        <v>116.5</v>
      </c>
      <c r="BN235" s="41" t="s">
        <v>0</v>
      </c>
    </row>
    <row r="236" spans="64:66" ht="39.950000000000003" hidden="1" customHeight="1" x14ac:dyDescent="0.25">
      <c r="BL236" s="17">
        <v>234</v>
      </c>
      <c r="BM236" s="21">
        <v>117</v>
      </c>
      <c r="BN236" s="41" t="s">
        <v>0</v>
      </c>
    </row>
    <row r="237" spans="64:66" ht="39.950000000000003" hidden="1" customHeight="1" x14ac:dyDescent="0.25">
      <c r="BL237" s="17">
        <v>235</v>
      </c>
      <c r="BM237" s="21">
        <v>117.5</v>
      </c>
      <c r="BN237" s="41" t="s">
        <v>0</v>
      </c>
    </row>
    <row r="238" spans="64:66" ht="39.950000000000003" hidden="1" customHeight="1" x14ac:dyDescent="0.25">
      <c r="BL238" s="17">
        <v>236</v>
      </c>
      <c r="BM238" s="21">
        <v>118</v>
      </c>
      <c r="BN238" s="41" t="s">
        <v>0</v>
      </c>
    </row>
    <row r="239" spans="64:66" ht="39.950000000000003" hidden="1" customHeight="1" x14ac:dyDescent="0.25">
      <c r="BL239" s="17">
        <v>237</v>
      </c>
      <c r="BM239" s="21">
        <v>118.5</v>
      </c>
      <c r="BN239" s="41" t="s">
        <v>0</v>
      </c>
    </row>
    <row r="240" spans="64:66" ht="39.950000000000003" hidden="1" customHeight="1" x14ac:dyDescent="0.25">
      <c r="BL240" s="17">
        <v>238</v>
      </c>
      <c r="BM240" s="21">
        <v>119</v>
      </c>
      <c r="BN240" s="41" t="s">
        <v>0</v>
      </c>
    </row>
    <row r="241" spans="1:66" ht="39.950000000000003" hidden="1" customHeight="1" x14ac:dyDescent="0.25">
      <c r="BL241" s="17">
        <v>239</v>
      </c>
      <c r="BM241" s="21">
        <v>119.5</v>
      </c>
      <c r="BN241" s="41" t="s">
        <v>0</v>
      </c>
    </row>
    <row r="242" spans="1:66" ht="39.950000000000003" hidden="1" customHeight="1" x14ac:dyDescent="0.25">
      <c r="BL242" s="17">
        <v>240</v>
      </c>
      <c r="BM242" s="21">
        <v>120</v>
      </c>
      <c r="BN242" s="41" t="s">
        <v>0</v>
      </c>
    </row>
    <row r="243" spans="1:66" ht="39.950000000000003" hidden="1" customHeight="1" x14ac:dyDescent="0.25">
      <c r="BL243" s="17">
        <v>241</v>
      </c>
      <c r="BM243" s="21">
        <v>120.5</v>
      </c>
      <c r="BN243" s="41" t="s">
        <v>0</v>
      </c>
    </row>
    <row r="244" spans="1:66" ht="39.950000000000003" hidden="1" customHeight="1" x14ac:dyDescent="0.25">
      <c r="BL244" s="17">
        <v>242</v>
      </c>
      <c r="BM244" s="21">
        <v>121</v>
      </c>
      <c r="BN244" s="41" t="s">
        <v>0</v>
      </c>
    </row>
    <row r="245" spans="1:66" ht="39.950000000000003" hidden="1" customHeight="1" x14ac:dyDescent="0.25">
      <c r="BL245" s="17">
        <v>243</v>
      </c>
      <c r="BM245" s="21">
        <v>121.5</v>
      </c>
      <c r="BN245" s="41" t="s">
        <v>0</v>
      </c>
    </row>
    <row r="246" spans="1:66" ht="39.950000000000003" hidden="1" customHeight="1" x14ac:dyDescent="0.25">
      <c r="BL246" s="17">
        <v>244</v>
      </c>
      <c r="BM246" s="21">
        <v>122</v>
      </c>
      <c r="BN246" s="41" t="s">
        <v>0</v>
      </c>
    </row>
    <row r="247" spans="1:66" ht="39.950000000000003" hidden="1" customHeight="1" x14ac:dyDescent="0.25">
      <c r="BL247" s="17">
        <v>245</v>
      </c>
      <c r="BM247" s="21">
        <v>122.5</v>
      </c>
      <c r="BN247" s="41" t="s">
        <v>0</v>
      </c>
    </row>
    <row r="248" spans="1:66" ht="39.950000000000003" hidden="1" customHeight="1" x14ac:dyDescent="0.25">
      <c r="BL248" s="17">
        <v>246</v>
      </c>
      <c r="BM248" s="21">
        <v>123</v>
      </c>
      <c r="BN248" s="41" t="s">
        <v>0</v>
      </c>
    </row>
    <row r="249" spans="1:66" ht="39.950000000000003" hidden="1" customHeight="1" x14ac:dyDescent="0.25">
      <c r="BL249" s="17">
        <v>247</v>
      </c>
      <c r="BM249" s="21">
        <v>123.5</v>
      </c>
      <c r="BN249" s="41" t="s">
        <v>0</v>
      </c>
    </row>
    <row r="250" spans="1:66" ht="39.950000000000003" hidden="1" customHeight="1" x14ac:dyDescent="0.25">
      <c r="BL250" s="17">
        <v>248</v>
      </c>
      <c r="BM250" s="21">
        <v>124</v>
      </c>
      <c r="BN250" s="41" t="s">
        <v>0</v>
      </c>
    </row>
    <row r="251" spans="1:66" ht="39.950000000000003" hidden="1" customHeight="1" x14ac:dyDescent="0.25">
      <c r="BL251" s="17">
        <v>249</v>
      </c>
      <c r="BM251" s="21">
        <v>124.5</v>
      </c>
      <c r="BN251" s="41" t="s">
        <v>0</v>
      </c>
    </row>
    <row r="252" spans="1:66" ht="39.950000000000003" hidden="1" customHeight="1" x14ac:dyDescent="0.25">
      <c r="BL252" s="17">
        <v>250</v>
      </c>
      <c r="BM252" s="21">
        <v>125</v>
      </c>
      <c r="BN252" s="41" t="s">
        <v>0</v>
      </c>
    </row>
    <row r="253" spans="1:66" ht="39.950000000000003" hidden="1" customHeight="1" x14ac:dyDescent="0.25">
      <c r="BL253" s="17">
        <v>251</v>
      </c>
      <c r="BM253" s="21">
        <v>125.5</v>
      </c>
      <c r="BN253" s="41" t="s">
        <v>0</v>
      </c>
    </row>
    <row r="254" spans="1:66" s="12" customFormat="1" ht="39.950000000000003" hidden="1" customHeight="1" x14ac:dyDescent="0.25">
      <c r="A254" s="2"/>
      <c r="B254" s="2"/>
      <c r="C254" s="2"/>
      <c r="D254" s="2"/>
      <c r="E254" s="2"/>
      <c r="F254" s="2"/>
      <c r="G254" s="2"/>
      <c r="H254" s="2"/>
      <c r="I254" s="2"/>
      <c r="J254" s="2"/>
      <c r="K254" s="2"/>
      <c r="L254" s="2"/>
      <c r="M254" s="2"/>
      <c r="N254" s="2"/>
      <c r="O254" s="2"/>
      <c r="P254" s="2"/>
      <c r="Q254" s="2"/>
      <c r="R254" s="2"/>
      <c r="S254" s="2"/>
      <c r="T254" s="2"/>
      <c r="U254" s="2"/>
      <c r="V254" s="2"/>
      <c r="W254" s="2"/>
      <c r="X254" s="2"/>
      <c r="Y254" s="2"/>
      <c r="Z254" s="17"/>
      <c r="AA254" s="17"/>
      <c r="AB254" s="17"/>
      <c r="AC254" s="17"/>
      <c r="AD254" s="17"/>
      <c r="AE254" s="17"/>
      <c r="AF254" s="17"/>
      <c r="AG254" s="17"/>
      <c r="AH254" s="17"/>
      <c r="AI254" s="17"/>
      <c r="AJ254" s="17"/>
      <c r="AK254" s="17"/>
      <c r="AL254" s="17"/>
      <c r="AM254" s="17"/>
      <c r="AN254" s="17"/>
      <c r="AO254" s="17"/>
      <c r="AP254" s="17"/>
      <c r="AQ254" s="17"/>
      <c r="AR254" s="17"/>
      <c r="AS254" s="17"/>
      <c r="AT254" s="17"/>
      <c r="AU254" s="17"/>
      <c r="AV254" s="17"/>
      <c r="AW254" s="17"/>
      <c r="AX254" s="17"/>
      <c r="AY254" s="17"/>
      <c r="AZ254" s="17"/>
      <c r="BA254" s="17"/>
      <c r="BB254" s="17"/>
      <c r="BC254" s="17"/>
      <c r="BD254" s="17"/>
      <c r="BE254" s="17"/>
      <c r="BF254" s="17"/>
      <c r="BG254" s="17"/>
      <c r="BH254" s="17"/>
      <c r="BI254" s="17"/>
      <c r="BJ254" s="17"/>
      <c r="BK254" s="17"/>
      <c r="BL254" s="17">
        <v>252</v>
      </c>
      <c r="BM254" s="21">
        <v>126</v>
      </c>
      <c r="BN254" s="41" t="s">
        <v>0</v>
      </c>
    </row>
    <row r="255" spans="1:66" s="12" customFormat="1" ht="39.950000000000003" hidden="1" customHeight="1" x14ac:dyDescent="0.25">
      <c r="A255" s="2"/>
      <c r="B255" s="2"/>
      <c r="C255" s="2"/>
      <c r="D255" s="2"/>
      <c r="E255" s="2"/>
      <c r="F255" s="2"/>
      <c r="G255" s="2"/>
      <c r="H255" s="2"/>
      <c r="I255" s="2"/>
      <c r="J255" s="2"/>
      <c r="K255" s="2"/>
      <c r="L255" s="2"/>
      <c r="M255" s="2"/>
      <c r="N255" s="2"/>
      <c r="O255" s="2"/>
      <c r="P255" s="2"/>
      <c r="Q255" s="2"/>
      <c r="R255" s="2"/>
      <c r="S255" s="2"/>
      <c r="T255" s="2"/>
      <c r="U255" s="2"/>
      <c r="V255" s="2"/>
      <c r="W255" s="2"/>
      <c r="X255" s="2"/>
      <c r="Y255" s="2"/>
      <c r="Z255" s="17"/>
      <c r="AA255" s="17"/>
      <c r="AB255" s="17"/>
      <c r="AC255" s="17"/>
      <c r="AD255" s="17"/>
      <c r="AE255" s="17"/>
      <c r="AF255" s="17"/>
      <c r="AG255" s="17"/>
      <c r="AH255" s="17"/>
      <c r="AI255" s="17"/>
      <c r="AJ255" s="17"/>
      <c r="AK255" s="17"/>
      <c r="AL255" s="17"/>
      <c r="AM255" s="17"/>
      <c r="AN255" s="17"/>
      <c r="AO255" s="17"/>
      <c r="AP255" s="17"/>
      <c r="AQ255" s="17"/>
      <c r="AR255" s="17"/>
      <c r="AS255" s="17"/>
      <c r="AT255" s="17"/>
      <c r="AU255" s="17"/>
      <c r="AV255" s="17"/>
      <c r="AW255" s="17"/>
      <c r="AX255" s="17"/>
      <c r="AY255" s="17"/>
      <c r="AZ255" s="17"/>
      <c r="BA255" s="17"/>
      <c r="BB255" s="17"/>
      <c r="BC255" s="17"/>
      <c r="BD255" s="17"/>
      <c r="BE255" s="17"/>
      <c r="BF255" s="17"/>
      <c r="BG255" s="17"/>
      <c r="BH255" s="17"/>
      <c r="BI255" s="17"/>
      <c r="BJ255" s="17"/>
      <c r="BK255" s="17"/>
      <c r="BL255" s="17">
        <v>253</v>
      </c>
      <c r="BM255" s="21">
        <v>126.5</v>
      </c>
      <c r="BN255" s="41" t="s">
        <v>0</v>
      </c>
    </row>
    <row r="256" spans="1:66" s="12" customFormat="1" ht="39.950000000000003" hidden="1" customHeight="1" x14ac:dyDescent="0.25">
      <c r="A256" s="2"/>
      <c r="B256" s="2"/>
      <c r="C256" s="2"/>
      <c r="D256" s="2"/>
      <c r="E256" s="2"/>
      <c r="F256" s="2"/>
      <c r="G256" s="2"/>
      <c r="H256" s="2"/>
      <c r="I256" s="2"/>
      <c r="J256" s="2"/>
      <c r="K256" s="2"/>
      <c r="L256" s="2"/>
      <c r="M256" s="2"/>
      <c r="N256" s="2"/>
      <c r="O256" s="2"/>
      <c r="P256" s="2"/>
      <c r="Q256" s="2"/>
      <c r="R256" s="2"/>
      <c r="S256" s="2"/>
      <c r="T256" s="2"/>
      <c r="U256" s="2"/>
      <c r="V256" s="2"/>
      <c r="W256" s="2"/>
      <c r="X256" s="2"/>
      <c r="Y256" s="2"/>
      <c r="Z256" s="17"/>
      <c r="AA256" s="17"/>
      <c r="AB256" s="17"/>
      <c r="AC256" s="17"/>
      <c r="AD256" s="17"/>
      <c r="AE256" s="17"/>
      <c r="AF256" s="17"/>
      <c r="AG256" s="17"/>
      <c r="AH256" s="17"/>
      <c r="AI256" s="17"/>
      <c r="AJ256" s="17"/>
      <c r="AK256" s="17"/>
      <c r="AL256" s="17"/>
      <c r="AM256" s="17"/>
      <c r="AN256" s="17"/>
      <c r="AO256" s="17"/>
      <c r="AP256" s="17"/>
      <c r="AQ256" s="17"/>
      <c r="AR256" s="17"/>
      <c r="AS256" s="17"/>
      <c r="AT256" s="17"/>
      <c r="AU256" s="17"/>
      <c r="AV256" s="17"/>
      <c r="AW256" s="17"/>
      <c r="AX256" s="17"/>
      <c r="AY256" s="17"/>
      <c r="AZ256" s="17"/>
      <c r="BA256" s="17"/>
      <c r="BB256" s="17"/>
      <c r="BC256" s="17"/>
      <c r="BD256" s="17"/>
      <c r="BE256" s="17"/>
      <c r="BF256" s="17"/>
      <c r="BG256" s="17"/>
      <c r="BH256" s="17"/>
      <c r="BI256" s="17"/>
      <c r="BJ256" s="17"/>
      <c r="BK256" s="17"/>
      <c r="BL256" s="17">
        <v>254</v>
      </c>
      <c r="BM256" s="21">
        <v>127</v>
      </c>
      <c r="BN256" s="41" t="s">
        <v>0</v>
      </c>
    </row>
    <row r="257" spans="1:66" s="12" customFormat="1" ht="39.950000000000003" hidden="1" customHeight="1" x14ac:dyDescent="0.25">
      <c r="A257" s="2"/>
      <c r="B257" s="2"/>
      <c r="C257" s="2"/>
      <c r="D257" s="2"/>
      <c r="E257" s="2"/>
      <c r="F257" s="2"/>
      <c r="G257" s="2"/>
      <c r="H257" s="2"/>
      <c r="I257" s="2"/>
      <c r="J257" s="2"/>
      <c r="K257" s="2"/>
      <c r="L257" s="2"/>
      <c r="M257" s="2"/>
      <c r="N257" s="2"/>
      <c r="O257" s="2"/>
      <c r="P257" s="2"/>
      <c r="Q257" s="2"/>
      <c r="R257" s="2"/>
      <c r="S257" s="2"/>
      <c r="T257" s="2"/>
      <c r="U257" s="2"/>
      <c r="V257" s="2"/>
      <c r="W257" s="2"/>
      <c r="X257" s="2"/>
      <c r="Y257" s="2"/>
      <c r="Z257" s="17"/>
      <c r="AA257" s="17"/>
      <c r="AB257" s="17"/>
      <c r="AC257" s="17"/>
      <c r="AD257" s="17"/>
      <c r="AE257" s="17"/>
      <c r="AF257" s="17"/>
      <c r="AG257" s="17"/>
      <c r="AH257" s="17"/>
      <c r="AI257" s="17"/>
      <c r="AJ257" s="17"/>
      <c r="AK257" s="17"/>
      <c r="AL257" s="17"/>
      <c r="AM257" s="17"/>
      <c r="AN257" s="17"/>
      <c r="AO257" s="17"/>
      <c r="AP257" s="17"/>
      <c r="AQ257" s="17"/>
      <c r="AR257" s="17"/>
      <c r="AS257" s="17"/>
      <c r="AT257" s="17"/>
      <c r="AU257" s="17"/>
      <c r="AV257" s="17"/>
      <c r="AW257" s="17"/>
      <c r="AX257" s="17"/>
      <c r="AY257" s="17"/>
      <c r="AZ257" s="17"/>
      <c r="BA257" s="17"/>
      <c r="BB257" s="17"/>
      <c r="BC257" s="17"/>
      <c r="BD257" s="17"/>
      <c r="BE257" s="17"/>
      <c r="BF257" s="17"/>
      <c r="BG257" s="17"/>
      <c r="BH257" s="17"/>
      <c r="BI257" s="17"/>
      <c r="BJ257" s="17"/>
      <c r="BK257" s="17"/>
      <c r="BL257" s="17">
        <v>255</v>
      </c>
      <c r="BM257" s="21">
        <v>127.5</v>
      </c>
      <c r="BN257" s="41" t="s">
        <v>0</v>
      </c>
    </row>
    <row r="258" spans="1:66" s="12" customFormat="1" ht="39.950000000000003" hidden="1" customHeight="1" x14ac:dyDescent="0.25">
      <c r="A258" s="2"/>
      <c r="B258" s="2"/>
      <c r="C258" s="2"/>
      <c r="D258" s="2"/>
      <c r="E258" s="2"/>
      <c r="F258" s="2"/>
      <c r="G258" s="2"/>
      <c r="H258" s="2"/>
      <c r="I258" s="2"/>
      <c r="J258" s="2"/>
      <c r="K258" s="2"/>
      <c r="L258" s="2"/>
      <c r="M258" s="2"/>
      <c r="N258" s="2"/>
      <c r="O258" s="2"/>
      <c r="P258" s="2"/>
      <c r="Q258" s="2"/>
      <c r="R258" s="2"/>
      <c r="S258" s="2"/>
      <c r="T258" s="2"/>
      <c r="U258" s="2"/>
      <c r="V258" s="2"/>
      <c r="W258" s="2"/>
      <c r="X258" s="2"/>
      <c r="Y258" s="2"/>
      <c r="Z258" s="17"/>
      <c r="AA258" s="17"/>
      <c r="AB258" s="17"/>
      <c r="AC258" s="17"/>
      <c r="AD258" s="17"/>
      <c r="AE258" s="17"/>
      <c r="AF258" s="17"/>
      <c r="AG258" s="17"/>
      <c r="AH258" s="17"/>
      <c r="AI258" s="17"/>
      <c r="AJ258" s="17"/>
      <c r="AK258" s="17"/>
      <c r="AL258" s="17"/>
      <c r="AM258" s="17"/>
      <c r="AN258" s="17"/>
      <c r="AO258" s="17"/>
      <c r="AP258" s="17"/>
      <c r="AQ258" s="17"/>
      <c r="AR258" s="17"/>
      <c r="AS258" s="17"/>
      <c r="AT258" s="17"/>
      <c r="AU258" s="17"/>
      <c r="AV258" s="17"/>
      <c r="AW258" s="17"/>
      <c r="AX258" s="17"/>
      <c r="AY258" s="17"/>
      <c r="AZ258" s="17"/>
      <c r="BA258" s="17"/>
      <c r="BB258" s="17"/>
      <c r="BC258" s="17"/>
      <c r="BD258" s="17"/>
      <c r="BE258" s="17"/>
      <c r="BF258" s="17"/>
      <c r="BG258" s="17"/>
      <c r="BH258" s="17"/>
      <c r="BI258" s="17"/>
      <c r="BJ258" s="17"/>
      <c r="BK258" s="17"/>
      <c r="BL258" s="17">
        <v>256</v>
      </c>
      <c r="BM258" s="21">
        <v>128</v>
      </c>
      <c r="BN258" s="41" t="s">
        <v>0</v>
      </c>
    </row>
    <row r="259" spans="1:66" s="12" customFormat="1" ht="39.950000000000003" hidden="1" customHeight="1" x14ac:dyDescent="0.25">
      <c r="A259" s="2"/>
      <c r="B259" s="2"/>
      <c r="C259" s="2"/>
      <c r="D259" s="2"/>
      <c r="E259" s="2"/>
      <c r="F259" s="2"/>
      <c r="G259" s="2"/>
      <c r="H259" s="2"/>
      <c r="I259" s="2"/>
      <c r="J259" s="2"/>
      <c r="K259" s="2"/>
      <c r="L259" s="2"/>
      <c r="M259" s="2"/>
      <c r="N259" s="2"/>
      <c r="O259" s="2"/>
      <c r="P259" s="2"/>
      <c r="Q259" s="2"/>
      <c r="R259" s="2"/>
      <c r="S259" s="2"/>
      <c r="T259" s="2"/>
      <c r="U259" s="2"/>
      <c r="V259" s="2"/>
      <c r="W259" s="2"/>
      <c r="X259" s="2"/>
      <c r="Y259" s="2"/>
      <c r="Z259" s="17"/>
      <c r="AA259" s="17"/>
      <c r="AB259" s="17"/>
      <c r="AC259" s="17"/>
      <c r="AD259" s="17"/>
      <c r="AE259" s="17"/>
      <c r="AF259" s="17"/>
      <c r="AG259" s="17"/>
      <c r="AH259" s="17"/>
      <c r="AI259" s="17"/>
      <c r="AJ259" s="17"/>
      <c r="AK259" s="17"/>
      <c r="AL259" s="17"/>
      <c r="AM259" s="17"/>
      <c r="AN259" s="17"/>
      <c r="AO259" s="17"/>
      <c r="AP259" s="17"/>
      <c r="AQ259" s="17"/>
      <c r="AR259" s="17"/>
      <c r="AS259" s="17"/>
      <c r="AT259" s="17"/>
      <c r="AU259" s="17"/>
      <c r="AV259" s="17"/>
      <c r="AW259" s="17"/>
      <c r="AX259" s="17"/>
      <c r="AY259" s="17"/>
      <c r="AZ259" s="17"/>
      <c r="BA259" s="17"/>
      <c r="BB259" s="17"/>
      <c r="BC259" s="17"/>
      <c r="BD259" s="17"/>
      <c r="BE259" s="17"/>
      <c r="BF259" s="17"/>
      <c r="BG259" s="17"/>
      <c r="BH259" s="17"/>
      <c r="BI259" s="17"/>
      <c r="BJ259" s="17"/>
      <c r="BK259" s="17"/>
      <c r="BL259" s="17">
        <v>257</v>
      </c>
      <c r="BM259" s="21">
        <v>128.5</v>
      </c>
      <c r="BN259" s="41" t="s">
        <v>0</v>
      </c>
    </row>
    <row r="260" spans="1:66" s="12" customFormat="1" ht="39.950000000000003" hidden="1" customHeight="1" x14ac:dyDescent="0.25">
      <c r="A260" s="2"/>
      <c r="B260" s="2"/>
      <c r="C260" s="2"/>
      <c r="D260" s="2"/>
      <c r="E260" s="2"/>
      <c r="F260" s="2"/>
      <c r="G260" s="2"/>
      <c r="H260" s="2"/>
      <c r="I260" s="2"/>
      <c r="J260" s="2"/>
      <c r="K260" s="2"/>
      <c r="L260" s="2"/>
      <c r="M260" s="2"/>
      <c r="N260" s="2"/>
      <c r="O260" s="2"/>
      <c r="P260" s="2"/>
      <c r="Q260" s="2"/>
      <c r="R260" s="2"/>
      <c r="S260" s="2"/>
      <c r="T260" s="2"/>
      <c r="U260" s="2"/>
      <c r="V260" s="2"/>
      <c r="W260" s="2"/>
      <c r="X260" s="2"/>
      <c r="Y260" s="2"/>
      <c r="Z260" s="17"/>
      <c r="AA260" s="17"/>
      <c r="AB260" s="17"/>
      <c r="AC260" s="17"/>
      <c r="AD260" s="17"/>
      <c r="AE260" s="17"/>
      <c r="AF260" s="17"/>
      <c r="AG260" s="17"/>
      <c r="AH260" s="17"/>
      <c r="AI260" s="17"/>
      <c r="AJ260" s="17"/>
      <c r="AK260" s="17"/>
      <c r="AL260" s="17"/>
      <c r="AM260" s="17"/>
      <c r="AN260" s="17"/>
      <c r="AO260" s="17"/>
      <c r="AP260" s="17"/>
      <c r="AQ260" s="17"/>
      <c r="AR260" s="17"/>
      <c r="AS260" s="17"/>
      <c r="AT260" s="17"/>
      <c r="AU260" s="17"/>
      <c r="AV260" s="17"/>
      <c r="AW260" s="17"/>
      <c r="AX260" s="17"/>
      <c r="AY260" s="17"/>
      <c r="AZ260" s="17"/>
      <c r="BA260" s="17"/>
      <c r="BB260" s="17"/>
      <c r="BC260" s="17"/>
      <c r="BD260" s="17"/>
      <c r="BE260" s="17"/>
      <c r="BF260" s="17"/>
      <c r="BG260" s="17"/>
      <c r="BH260" s="17"/>
      <c r="BI260" s="17"/>
      <c r="BJ260" s="17"/>
      <c r="BK260" s="17"/>
      <c r="BL260" s="17">
        <v>258</v>
      </c>
      <c r="BM260" s="21">
        <v>129</v>
      </c>
      <c r="BN260" s="41" t="s">
        <v>0</v>
      </c>
    </row>
    <row r="261" spans="1:66" s="12" customFormat="1" ht="39.950000000000003" hidden="1" customHeight="1" x14ac:dyDescent="0.25">
      <c r="A261" s="2"/>
      <c r="B261" s="2"/>
      <c r="C261" s="2"/>
      <c r="D261" s="2"/>
      <c r="E261" s="2"/>
      <c r="F261" s="2"/>
      <c r="G261" s="2"/>
      <c r="H261" s="2"/>
      <c r="I261" s="2"/>
      <c r="J261" s="2"/>
      <c r="K261" s="2"/>
      <c r="L261" s="2"/>
      <c r="M261" s="2"/>
      <c r="N261" s="2"/>
      <c r="O261" s="2"/>
      <c r="P261" s="2"/>
      <c r="Q261" s="2"/>
      <c r="R261" s="2"/>
      <c r="S261" s="2"/>
      <c r="T261" s="2"/>
      <c r="U261" s="2"/>
      <c r="V261" s="2"/>
      <c r="W261" s="2"/>
      <c r="X261" s="2"/>
      <c r="Y261" s="2"/>
      <c r="Z261" s="17"/>
      <c r="AA261" s="17"/>
      <c r="AB261" s="17"/>
      <c r="AC261" s="17"/>
      <c r="AD261" s="17"/>
      <c r="AE261" s="17"/>
      <c r="AF261" s="17"/>
      <c r="AG261" s="17"/>
      <c r="AH261" s="17"/>
      <c r="AI261" s="17"/>
      <c r="AJ261" s="17"/>
      <c r="AK261" s="17"/>
      <c r="AL261" s="17"/>
      <c r="AM261" s="17"/>
      <c r="AN261" s="17"/>
      <c r="AO261" s="17"/>
      <c r="AP261" s="17"/>
      <c r="AQ261" s="17"/>
      <c r="AR261" s="17"/>
      <c r="AS261" s="17"/>
      <c r="AT261" s="17"/>
      <c r="AU261" s="17"/>
      <c r="AV261" s="17"/>
      <c r="AW261" s="17"/>
      <c r="AX261" s="17"/>
      <c r="AY261" s="17"/>
      <c r="AZ261" s="17"/>
      <c r="BA261" s="17"/>
      <c r="BB261" s="17"/>
      <c r="BC261" s="17"/>
      <c r="BD261" s="17"/>
      <c r="BE261" s="17"/>
      <c r="BF261" s="17"/>
      <c r="BG261" s="17"/>
      <c r="BH261" s="17"/>
      <c r="BI261" s="17"/>
      <c r="BJ261" s="17"/>
      <c r="BK261" s="17"/>
      <c r="BL261" s="17">
        <v>259</v>
      </c>
      <c r="BM261" s="21">
        <v>129.5</v>
      </c>
      <c r="BN261" s="41" t="s">
        <v>0</v>
      </c>
    </row>
    <row r="262" spans="1:66" s="12" customFormat="1" ht="39.950000000000003" hidden="1" customHeight="1" x14ac:dyDescent="0.25">
      <c r="A262" s="2"/>
      <c r="B262" s="2"/>
      <c r="C262" s="2"/>
      <c r="D262" s="2"/>
      <c r="E262" s="2"/>
      <c r="F262" s="2"/>
      <c r="G262" s="2"/>
      <c r="H262" s="2"/>
      <c r="I262" s="2"/>
      <c r="J262" s="2"/>
      <c r="K262" s="2"/>
      <c r="L262" s="2"/>
      <c r="M262" s="2"/>
      <c r="N262" s="2"/>
      <c r="O262" s="2"/>
      <c r="P262" s="2"/>
      <c r="Q262" s="2"/>
      <c r="R262" s="2"/>
      <c r="S262" s="2"/>
      <c r="T262" s="2"/>
      <c r="U262" s="2"/>
      <c r="V262" s="2"/>
      <c r="W262" s="2"/>
      <c r="X262" s="2"/>
      <c r="Y262" s="2"/>
      <c r="Z262" s="17"/>
      <c r="AA262" s="17"/>
      <c r="AB262" s="17"/>
      <c r="AC262" s="17"/>
      <c r="AD262" s="17"/>
      <c r="AE262" s="17"/>
      <c r="AF262" s="17"/>
      <c r="AG262" s="17"/>
      <c r="AH262" s="17"/>
      <c r="AI262" s="17"/>
      <c r="AJ262" s="17"/>
      <c r="AK262" s="17"/>
      <c r="AL262" s="17"/>
      <c r="AM262" s="17"/>
      <c r="AN262" s="17"/>
      <c r="AO262" s="17"/>
      <c r="AP262" s="17"/>
      <c r="AQ262" s="17"/>
      <c r="AR262" s="17"/>
      <c r="AS262" s="17"/>
      <c r="AT262" s="17"/>
      <c r="AU262" s="17"/>
      <c r="AV262" s="17"/>
      <c r="AW262" s="17"/>
      <c r="AX262" s="17"/>
      <c r="AY262" s="17"/>
      <c r="AZ262" s="17"/>
      <c r="BA262" s="17"/>
      <c r="BB262" s="17"/>
      <c r="BC262" s="17"/>
      <c r="BD262" s="17"/>
      <c r="BE262" s="17"/>
      <c r="BF262" s="17"/>
      <c r="BG262" s="17"/>
      <c r="BH262" s="17"/>
      <c r="BI262" s="17"/>
      <c r="BJ262" s="17"/>
      <c r="BK262" s="17"/>
      <c r="BL262" s="17">
        <v>260</v>
      </c>
      <c r="BM262" s="21">
        <v>130</v>
      </c>
      <c r="BN262" s="41" t="s">
        <v>0</v>
      </c>
    </row>
    <row r="263" spans="1:66" s="12" customFormat="1" ht="39.950000000000003" hidden="1" customHeight="1" x14ac:dyDescent="0.25">
      <c r="A263" s="2"/>
      <c r="B263" s="2"/>
      <c r="C263" s="2"/>
      <c r="D263" s="2"/>
      <c r="E263" s="2"/>
      <c r="F263" s="2"/>
      <c r="G263" s="2"/>
      <c r="H263" s="2"/>
      <c r="I263" s="2"/>
      <c r="J263" s="2"/>
      <c r="K263" s="2"/>
      <c r="L263" s="2"/>
      <c r="M263" s="2"/>
      <c r="N263" s="2"/>
      <c r="O263" s="2"/>
      <c r="P263" s="2"/>
      <c r="Q263" s="2"/>
      <c r="R263" s="2"/>
      <c r="S263" s="2"/>
      <c r="T263" s="2"/>
      <c r="U263" s="2"/>
      <c r="V263" s="2"/>
      <c r="W263" s="2"/>
      <c r="X263" s="2"/>
      <c r="Y263" s="2"/>
      <c r="Z263" s="17"/>
      <c r="AA263" s="17"/>
      <c r="AB263" s="17"/>
      <c r="AC263" s="17"/>
      <c r="AD263" s="17"/>
      <c r="AE263" s="17"/>
      <c r="AF263" s="17"/>
      <c r="AG263" s="17"/>
      <c r="AH263" s="17"/>
      <c r="AI263" s="17"/>
      <c r="AJ263" s="17"/>
      <c r="AK263" s="17"/>
      <c r="AL263" s="17"/>
      <c r="AM263" s="17"/>
      <c r="AN263" s="17"/>
      <c r="AO263" s="17"/>
      <c r="AP263" s="17"/>
      <c r="AQ263" s="17"/>
      <c r="AR263" s="17"/>
      <c r="AS263" s="17"/>
      <c r="AT263" s="17"/>
      <c r="AU263" s="17"/>
      <c r="AV263" s="17"/>
      <c r="AW263" s="17"/>
      <c r="AX263" s="17"/>
      <c r="AY263" s="17"/>
      <c r="AZ263" s="17"/>
      <c r="BA263" s="17"/>
      <c r="BB263" s="17"/>
      <c r="BC263" s="17"/>
      <c r="BD263" s="17"/>
      <c r="BE263" s="17"/>
      <c r="BF263" s="17"/>
      <c r="BG263" s="17"/>
      <c r="BH263" s="17"/>
      <c r="BI263" s="17"/>
      <c r="BJ263" s="17"/>
      <c r="BK263" s="17"/>
      <c r="BL263" s="17">
        <v>261</v>
      </c>
      <c r="BM263" s="21">
        <v>130.5</v>
      </c>
      <c r="BN263" s="41" t="s">
        <v>0</v>
      </c>
    </row>
    <row r="264" spans="1:66" s="12" customFormat="1" ht="39.950000000000003" hidden="1" customHeight="1" x14ac:dyDescent="0.25">
      <c r="A264" s="2"/>
      <c r="B264" s="2"/>
      <c r="C264" s="2"/>
      <c r="D264" s="2"/>
      <c r="E264" s="2"/>
      <c r="F264" s="2"/>
      <c r="G264" s="2"/>
      <c r="H264" s="2"/>
      <c r="I264" s="2"/>
      <c r="J264" s="2"/>
      <c r="K264" s="2"/>
      <c r="L264" s="2"/>
      <c r="M264" s="2"/>
      <c r="N264" s="2"/>
      <c r="O264" s="2"/>
      <c r="P264" s="2"/>
      <c r="Q264" s="2"/>
      <c r="R264" s="2"/>
      <c r="S264" s="2"/>
      <c r="T264" s="2"/>
      <c r="U264" s="2"/>
      <c r="V264" s="2"/>
      <c r="W264" s="2"/>
      <c r="X264" s="2"/>
      <c r="Y264" s="2"/>
      <c r="Z264" s="17"/>
      <c r="AA264" s="17"/>
      <c r="AB264" s="17"/>
      <c r="AC264" s="17"/>
      <c r="AD264" s="17"/>
      <c r="AE264" s="17"/>
      <c r="AF264" s="17"/>
      <c r="AG264" s="17"/>
      <c r="AH264" s="17"/>
      <c r="AI264" s="17"/>
      <c r="AJ264" s="17"/>
      <c r="AK264" s="17"/>
      <c r="AL264" s="17"/>
      <c r="AM264" s="17"/>
      <c r="AN264" s="17"/>
      <c r="AO264" s="17"/>
      <c r="AP264" s="17"/>
      <c r="AQ264" s="17"/>
      <c r="AR264" s="17"/>
      <c r="AS264" s="17"/>
      <c r="AT264" s="17"/>
      <c r="AU264" s="17"/>
      <c r="AV264" s="17"/>
      <c r="AW264" s="17"/>
      <c r="AX264" s="17"/>
      <c r="AY264" s="17"/>
      <c r="AZ264" s="17"/>
      <c r="BA264" s="17"/>
      <c r="BB264" s="17"/>
      <c r="BC264" s="17"/>
      <c r="BD264" s="17"/>
      <c r="BE264" s="17"/>
      <c r="BF264" s="17"/>
      <c r="BG264" s="17"/>
      <c r="BH264" s="17"/>
      <c r="BI264" s="17"/>
      <c r="BJ264" s="17"/>
      <c r="BK264" s="17"/>
      <c r="BL264" s="17">
        <v>262</v>
      </c>
      <c r="BM264" s="21">
        <v>131</v>
      </c>
      <c r="BN264" s="41" t="s">
        <v>0</v>
      </c>
    </row>
    <row r="265" spans="1:66" s="12" customFormat="1" ht="39.950000000000003" hidden="1" customHeight="1" x14ac:dyDescent="0.25">
      <c r="A265" s="2"/>
      <c r="B265" s="2"/>
      <c r="C265" s="2"/>
      <c r="D265" s="2"/>
      <c r="E265" s="2"/>
      <c r="F265" s="2"/>
      <c r="G265" s="2"/>
      <c r="H265" s="2"/>
      <c r="I265" s="2"/>
      <c r="J265" s="2"/>
      <c r="K265" s="2"/>
      <c r="L265" s="2"/>
      <c r="M265" s="2"/>
      <c r="N265" s="2"/>
      <c r="O265" s="2"/>
      <c r="P265" s="2"/>
      <c r="Q265" s="2"/>
      <c r="R265" s="2"/>
      <c r="S265" s="2"/>
      <c r="T265" s="2"/>
      <c r="U265" s="2"/>
      <c r="V265" s="2"/>
      <c r="W265" s="2"/>
      <c r="X265" s="2"/>
      <c r="Y265" s="2"/>
      <c r="Z265" s="17"/>
      <c r="AA265" s="17"/>
      <c r="AB265" s="17"/>
      <c r="AC265" s="17"/>
      <c r="AD265" s="17"/>
      <c r="AE265" s="17"/>
      <c r="AF265" s="17"/>
      <c r="AG265" s="17"/>
      <c r="AH265" s="17"/>
      <c r="AI265" s="17"/>
      <c r="AJ265" s="17"/>
      <c r="AK265" s="17"/>
      <c r="AL265" s="17"/>
      <c r="AM265" s="17"/>
      <c r="AN265" s="17"/>
      <c r="AO265" s="17"/>
      <c r="AP265" s="17"/>
      <c r="AQ265" s="17"/>
      <c r="AR265" s="17"/>
      <c r="AS265" s="17"/>
      <c r="AT265" s="17"/>
      <c r="AU265" s="17"/>
      <c r="AV265" s="17"/>
      <c r="AW265" s="17"/>
      <c r="AX265" s="17"/>
      <c r="AY265" s="17"/>
      <c r="AZ265" s="17"/>
      <c r="BA265" s="17"/>
      <c r="BB265" s="17"/>
      <c r="BC265" s="17"/>
      <c r="BD265" s="17"/>
      <c r="BE265" s="17"/>
      <c r="BF265" s="17"/>
      <c r="BG265" s="17"/>
      <c r="BH265" s="17"/>
      <c r="BI265" s="17"/>
      <c r="BJ265" s="17"/>
      <c r="BK265" s="17"/>
      <c r="BL265" s="17">
        <v>263</v>
      </c>
      <c r="BM265" s="21">
        <v>131.5</v>
      </c>
      <c r="BN265" s="41" t="s">
        <v>0</v>
      </c>
    </row>
    <row r="266" spans="1:66" s="12" customFormat="1" ht="39.950000000000003" hidden="1" customHeight="1" x14ac:dyDescent="0.25">
      <c r="A266" s="2"/>
      <c r="B266" s="2"/>
      <c r="C266" s="2"/>
      <c r="D266" s="2"/>
      <c r="E266" s="2"/>
      <c r="F266" s="2"/>
      <c r="G266" s="2"/>
      <c r="H266" s="2"/>
      <c r="I266" s="2"/>
      <c r="J266" s="2"/>
      <c r="K266" s="2"/>
      <c r="L266" s="2"/>
      <c r="M266" s="2"/>
      <c r="N266" s="2"/>
      <c r="O266" s="2"/>
      <c r="P266" s="2"/>
      <c r="Q266" s="2"/>
      <c r="R266" s="2"/>
      <c r="S266" s="2"/>
      <c r="T266" s="2"/>
      <c r="U266" s="2"/>
      <c r="V266" s="2"/>
      <c r="W266" s="2"/>
      <c r="X266" s="2"/>
      <c r="Y266" s="2"/>
      <c r="Z266" s="17"/>
      <c r="AA266" s="17"/>
      <c r="AB266" s="17"/>
      <c r="AC266" s="17"/>
      <c r="AD266" s="17"/>
      <c r="AE266" s="17"/>
      <c r="AF266" s="17"/>
      <c r="AG266" s="17"/>
      <c r="AH266" s="17"/>
      <c r="AI266" s="17"/>
      <c r="AJ266" s="17"/>
      <c r="AK266" s="17"/>
      <c r="AL266" s="17"/>
      <c r="AM266" s="17"/>
      <c r="AN266" s="17"/>
      <c r="AO266" s="17"/>
      <c r="AP266" s="17"/>
      <c r="AQ266" s="17"/>
      <c r="AR266" s="17"/>
      <c r="AS266" s="17"/>
      <c r="AT266" s="17"/>
      <c r="AU266" s="17"/>
      <c r="AV266" s="17"/>
      <c r="AW266" s="17"/>
      <c r="AX266" s="17"/>
      <c r="AY266" s="17"/>
      <c r="AZ266" s="17"/>
      <c r="BA266" s="17"/>
      <c r="BB266" s="17"/>
      <c r="BC266" s="17"/>
      <c r="BD266" s="17"/>
      <c r="BE266" s="17"/>
      <c r="BF266" s="17"/>
      <c r="BG266" s="17"/>
      <c r="BH266" s="17"/>
      <c r="BI266" s="17"/>
      <c r="BJ266" s="17"/>
      <c r="BK266" s="17"/>
      <c r="BL266" s="17">
        <v>264</v>
      </c>
      <c r="BM266" s="21">
        <v>132</v>
      </c>
      <c r="BN266" s="41" t="s">
        <v>0</v>
      </c>
    </row>
    <row r="267" spans="1:66" s="12" customFormat="1" ht="39.950000000000003" hidden="1" customHeight="1" x14ac:dyDescent="0.25">
      <c r="A267" s="2"/>
      <c r="B267" s="2"/>
      <c r="C267" s="2"/>
      <c r="D267" s="2"/>
      <c r="E267" s="2"/>
      <c r="F267" s="2"/>
      <c r="G267" s="2"/>
      <c r="H267" s="2"/>
      <c r="I267" s="2"/>
      <c r="J267" s="2"/>
      <c r="K267" s="2"/>
      <c r="L267" s="2"/>
      <c r="M267" s="2"/>
      <c r="N267" s="2"/>
      <c r="O267" s="2"/>
      <c r="P267" s="2"/>
      <c r="Q267" s="2"/>
      <c r="R267" s="2"/>
      <c r="S267" s="2"/>
      <c r="T267" s="2"/>
      <c r="U267" s="2"/>
      <c r="V267" s="2"/>
      <c r="W267" s="2"/>
      <c r="X267" s="2"/>
      <c r="Y267" s="2"/>
      <c r="Z267" s="17"/>
      <c r="AA267" s="17"/>
      <c r="AB267" s="17"/>
      <c r="AC267" s="17"/>
      <c r="AD267" s="17"/>
      <c r="AE267" s="17"/>
      <c r="AF267" s="17"/>
      <c r="AG267" s="17"/>
      <c r="AH267" s="17"/>
      <c r="AI267" s="17"/>
      <c r="AJ267" s="17"/>
      <c r="AK267" s="17"/>
      <c r="AL267" s="17"/>
      <c r="AM267" s="17"/>
      <c r="AN267" s="17"/>
      <c r="AO267" s="17"/>
      <c r="AP267" s="17"/>
      <c r="AQ267" s="17"/>
      <c r="AR267" s="17"/>
      <c r="AS267" s="17"/>
      <c r="AT267" s="17"/>
      <c r="AU267" s="17"/>
      <c r="AV267" s="17"/>
      <c r="AW267" s="17"/>
      <c r="AX267" s="17"/>
      <c r="AY267" s="17"/>
      <c r="AZ267" s="17"/>
      <c r="BA267" s="17"/>
      <c r="BB267" s="17"/>
      <c r="BC267" s="17"/>
      <c r="BD267" s="17"/>
      <c r="BE267" s="17"/>
      <c r="BF267" s="17"/>
      <c r="BG267" s="17"/>
      <c r="BH267" s="17"/>
      <c r="BI267" s="17"/>
      <c r="BJ267" s="17"/>
      <c r="BK267" s="17"/>
      <c r="BL267" s="17">
        <v>265</v>
      </c>
      <c r="BM267" s="21">
        <v>132.5</v>
      </c>
      <c r="BN267" s="41" t="s">
        <v>0</v>
      </c>
    </row>
    <row r="268" spans="1:66" s="12" customFormat="1" ht="39.950000000000003" hidden="1" customHeight="1" x14ac:dyDescent="0.25">
      <c r="A268" s="2"/>
      <c r="B268" s="2"/>
      <c r="C268" s="2"/>
      <c r="D268" s="2"/>
      <c r="E268" s="2"/>
      <c r="F268" s="2"/>
      <c r="G268" s="2"/>
      <c r="H268" s="2"/>
      <c r="I268" s="2"/>
      <c r="J268" s="2"/>
      <c r="K268" s="2"/>
      <c r="L268" s="2"/>
      <c r="M268" s="2"/>
      <c r="N268" s="2"/>
      <c r="O268" s="2"/>
      <c r="P268" s="2"/>
      <c r="Q268" s="2"/>
      <c r="R268" s="2"/>
      <c r="S268" s="2"/>
      <c r="T268" s="2"/>
      <c r="U268" s="2"/>
      <c r="V268" s="2"/>
      <c r="W268" s="2"/>
      <c r="X268" s="2"/>
      <c r="Y268" s="2"/>
      <c r="Z268" s="17"/>
      <c r="AA268" s="17"/>
      <c r="AB268" s="17"/>
      <c r="AC268" s="17"/>
      <c r="AD268" s="17"/>
      <c r="AE268" s="17"/>
      <c r="AF268" s="17"/>
      <c r="AG268" s="17"/>
      <c r="AH268" s="17"/>
      <c r="AI268" s="17"/>
      <c r="AJ268" s="17"/>
      <c r="AK268" s="17"/>
      <c r="AL268" s="17"/>
      <c r="AM268" s="17"/>
      <c r="AN268" s="17"/>
      <c r="AO268" s="17"/>
      <c r="AP268" s="17"/>
      <c r="AQ268" s="17"/>
      <c r="AR268" s="17"/>
      <c r="AS268" s="17"/>
      <c r="AT268" s="17"/>
      <c r="AU268" s="17"/>
      <c r="AV268" s="17"/>
      <c r="AW268" s="17"/>
      <c r="AX268" s="17"/>
      <c r="AY268" s="17"/>
      <c r="AZ268" s="17"/>
      <c r="BA268" s="17"/>
      <c r="BB268" s="17"/>
      <c r="BC268" s="17"/>
      <c r="BD268" s="17"/>
      <c r="BE268" s="17"/>
      <c r="BF268" s="17"/>
      <c r="BG268" s="17"/>
      <c r="BH268" s="17"/>
      <c r="BI268" s="17"/>
      <c r="BJ268" s="17"/>
      <c r="BK268" s="17"/>
      <c r="BL268" s="17">
        <v>266</v>
      </c>
      <c r="BM268" s="21">
        <v>133</v>
      </c>
      <c r="BN268" s="41" t="s">
        <v>0</v>
      </c>
    </row>
    <row r="269" spans="1:66" s="12" customFormat="1" ht="39.950000000000003" hidden="1" customHeight="1" x14ac:dyDescent="0.25">
      <c r="A269" s="2"/>
      <c r="B269" s="2"/>
      <c r="C269" s="2"/>
      <c r="D269" s="2"/>
      <c r="E269" s="2"/>
      <c r="F269" s="2"/>
      <c r="G269" s="2"/>
      <c r="H269" s="2"/>
      <c r="I269" s="2"/>
      <c r="J269" s="2"/>
      <c r="K269" s="2"/>
      <c r="L269" s="2"/>
      <c r="M269" s="2"/>
      <c r="N269" s="2"/>
      <c r="O269" s="2"/>
      <c r="P269" s="2"/>
      <c r="Q269" s="2"/>
      <c r="R269" s="2"/>
      <c r="S269" s="2"/>
      <c r="T269" s="2"/>
      <c r="U269" s="2"/>
      <c r="V269" s="2"/>
      <c r="W269" s="2"/>
      <c r="X269" s="2"/>
      <c r="Y269" s="2"/>
      <c r="Z269" s="17"/>
      <c r="AA269" s="17"/>
      <c r="AB269" s="17"/>
      <c r="AC269" s="17"/>
      <c r="AD269" s="17"/>
      <c r="AE269" s="17"/>
      <c r="AF269" s="17"/>
      <c r="AG269" s="17"/>
      <c r="AH269" s="17"/>
      <c r="AI269" s="17"/>
      <c r="AJ269" s="17"/>
      <c r="AK269" s="17"/>
      <c r="AL269" s="17"/>
      <c r="AM269" s="17"/>
      <c r="AN269" s="17"/>
      <c r="AO269" s="17"/>
      <c r="AP269" s="17"/>
      <c r="AQ269" s="17"/>
      <c r="AR269" s="17"/>
      <c r="AS269" s="17"/>
      <c r="AT269" s="17"/>
      <c r="AU269" s="17"/>
      <c r="AV269" s="17"/>
      <c r="AW269" s="17"/>
      <c r="AX269" s="17"/>
      <c r="AY269" s="17"/>
      <c r="AZ269" s="17"/>
      <c r="BA269" s="17"/>
      <c r="BB269" s="17"/>
      <c r="BC269" s="17"/>
      <c r="BD269" s="17"/>
      <c r="BE269" s="17"/>
      <c r="BF269" s="17"/>
      <c r="BG269" s="17"/>
      <c r="BH269" s="17"/>
      <c r="BI269" s="17"/>
      <c r="BJ269" s="17"/>
      <c r="BK269" s="17"/>
      <c r="BL269" s="17">
        <v>267</v>
      </c>
      <c r="BM269" s="21">
        <v>133.5</v>
      </c>
      <c r="BN269" s="41" t="s">
        <v>0</v>
      </c>
    </row>
    <row r="270" spans="1:66" ht="39.950000000000003" hidden="1" customHeight="1" x14ac:dyDescent="0.25">
      <c r="BL270" s="17">
        <v>268</v>
      </c>
      <c r="BM270" s="21">
        <v>134</v>
      </c>
      <c r="BN270" s="41" t="s">
        <v>0</v>
      </c>
    </row>
    <row r="271" spans="1:66" ht="39.950000000000003" hidden="1" customHeight="1" x14ac:dyDescent="0.25">
      <c r="BL271" s="17">
        <v>269</v>
      </c>
      <c r="BM271" s="21">
        <v>134.5</v>
      </c>
      <c r="BN271" s="41" t="s">
        <v>0</v>
      </c>
    </row>
    <row r="272" spans="1:66" ht="39.950000000000003" hidden="1" customHeight="1" x14ac:dyDescent="0.25">
      <c r="BL272" s="17">
        <v>270</v>
      </c>
      <c r="BM272" s="21">
        <v>135</v>
      </c>
      <c r="BN272" s="41" t="s">
        <v>0</v>
      </c>
    </row>
    <row r="273" spans="64:66" ht="39.950000000000003" hidden="1" customHeight="1" x14ac:dyDescent="0.25">
      <c r="BL273" s="17">
        <v>271</v>
      </c>
      <c r="BM273" s="21">
        <v>135.5</v>
      </c>
      <c r="BN273" s="41" t="s">
        <v>0</v>
      </c>
    </row>
    <row r="274" spans="64:66" ht="39.950000000000003" hidden="1" customHeight="1" x14ac:dyDescent="0.25">
      <c r="BL274" s="17">
        <v>272</v>
      </c>
      <c r="BM274" s="21">
        <v>136</v>
      </c>
      <c r="BN274" s="41" t="s">
        <v>0</v>
      </c>
    </row>
    <row r="275" spans="64:66" ht="39.950000000000003" hidden="1" customHeight="1" x14ac:dyDescent="0.25">
      <c r="BL275" s="17">
        <v>273</v>
      </c>
      <c r="BM275" s="21">
        <v>136.5</v>
      </c>
      <c r="BN275" s="41" t="s">
        <v>0</v>
      </c>
    </row>
    <row r="276" spans="64:66" ht="39.950000000000003" hidden="1" customHeight="1" x14ac:dyDescent="0.25">
      <c r="BL276" s="17">
        <v>274</v>
      </c>
      <c r="BM276" s="21">
        <v>137</v>
      </c>
      <c r="BN276" s="41" t="s">
        <v>0</v>
      </c>
    </row>
    <row r="277" spans="64:66" ht="39.950000000000003" hidden="1" customHeight="1" x14ac:dyDescent="0.25">
      <c r="BL277" s="17">
        <v>275</v>
      </c>
      <c r="BM277" s="21">
        <v>137.5</v>
      </c>
      <c r="BN277" s="41" t="s">
        <v>0</v>
      </c>
    </row>
    <row r="278" spans="64:66" ht="39.950000000000003" hidden="1" customHeight="1" x14ac:dyDescent="0.25">
      <c r="BL278" s="17">
        <v>276</v>
      </c>
      <c r="BM278" s="21">
        <v>138</v>
      </c>
      <c r="BN278" s="41" t="s">
        <v>0</v>
      </c>
    </row>
    <row r="279" spans="64:66" ht="39.950000000000003" hidden="1" customHeight="1" x14ac:dyDescent="0.25">
      <c r="BL279" s="17">
        <v>277</v>
      </c>
      <c r="BM279" s="21">
        <v>138.5</v>
      </c>
      <c r="BN279" s="41" t="s">
        <v>0</v>
      </c>
    </row>
    <row r="280" spans="64:66" ht="39.950000000000003" hidden="1" customHeight="1" x14ac:dyDescent="0.25">
      <c r="BL280" s="17">
        <v>278</v>
      </c>
      <c r="BM280" s="21">
        <v>139</v>
      </c>
      <c r="BN280" s="41" t="s">
        <v>0</v>
      </c>
    </row>
    <row r="281" spans="64:66" ht="39.950000000000003" hidden="1" customHeight="1" x14ac:dyDescent="0.25">
      <c r="BL281" s="17">
        <v>279</v>
      </c>
      <c r="BM281" s="21">
        <v>139.5</v>
      </c>
      <c r="BN281" s="41" t="s">
        <v>0</v>
      </c>
    </row>
    <row r="282" spans="64:66" ht="39.950000000000003" hidden="1" customHeight="1" x14ac:dyDescent="0.25">
      <c r="BL282" s="17">
        <v>280</v>
      </c>
      <c r="BM282" s="21">
        <v>140</v>
      </c>
      <c r="BN282" s="41" t="s">
        <v>0</v>
      </c>
    </row>
    <row r="283" spans="64:66" ht="39.950000000000003" hidden="1" customHeight="1" x14ac:dyDescent="0.25">
      <c r="BL283" s="17">
        <v>281</v>
      </c>
      <c r="BM283" s="21">
        <v>140.5</v>
      </c>
      <c r="BN283" s="41" t="s">
        <v>0</v>
      </c>
    </row>
    <row r="284" spans="64:66" ht="39.950000000000003" hidden="1" customHeight="1" x14ac:dyDescent="0.25">
      <c r="BL284" s="17">
        <v>282</v>
      </c>
      <c r="BM284" s="21">
        <v>141</v>
      </c>
      <c r="BN284" s="41" t="s">
        <v>0</v>
      </c>
    </row>
    <row r="285" spans="64:66" ht="39.950000000000003" hidden="1" customHeight="1" x14ac:dyDescent="0.25">
      <c r="BL285" s="17">
        <v>283</v>
      </c>
      <c r="BM285" s="21">
        <v>141.5</v>
      </c>
      <c r="BN285" s="41" t="s">
        <v>0</v>
      </c>
    </row>
    <row r="286" spans="64:66" ht="39.950000000000003" hidden="1" customHeight="1" x14ac:dyDescent="0.25">
      <c r="BL286" s="17">
        <v>284</v>
      </c>
      <c r="BM286" s="21">
        <v>142</v>
      </c>
      <c r="BN286" s="41" t="s">
        <v>0</v>
      </c>
    </row>
    <row r="287" spans="64:66" ht="39.950000000000003" hidden="1" customHeight="1" x14ac:dyDescent="0.25">
      <c r="BL287" s="17">
        <v>285</v>
      </c>
      <c r="BM287" s="21">
        <v>142.5</v>
      </c>
      <c r="BN287" s="41" t="s">
        <v>0</v>
      </c>
    </row>
    <row r="288" spans="64:66" ht="39.950000000000003" hidden="1" customHeight="1" x14ac:dyDescent="0.25">
      <c r="BL288" s="17">
        <v>286</v>
      </c>
      <c r="BM288" s="21">
        <v>143</v>
      </c>
      <c r="BN288" s="41" t="s">
        <v>0</v>
      </c>
    </row>
    <row r="289" spans="64:66" ht="39.950000000000003" hidden="1" customHeight="1" x14ac:dyDescent="0.25">
      <c r="BL289" s="17">
        <v>287</v>
      </c>
      <c r="BM289" s="21">
        <v>143.5</v>
      </c>
      <c r="BN289" s="41" t="s">
        <v>0</v>
      </c>
    </row>
    <row r="290" spans="64:66" ht="39.950000000000003" hidden="1" customHeight="1" x14ac:dyDescent="0.25">
      <c r="BL290" s="17">
        <v>288</v>
      </c>
      <c r="BM290" s="21">
        <v>144</v>
      </c>
      <c r="BN290" s="41" t="s">
        <v>0</v>
      </c>
    </row>
    <row r="291" spans="64:66" ht="39.950000000000003" hidden="1" customHeight="1" x14ac:dyDescent="0.25">
      <c r="BL291" s="17">
        <v>289</v>
      </c>
      <c r="BM291" s="21">
        <v>144.5</v>
      </c>
      <c r="BN291" s="41" t="s">
        <v>0</v>
      </c>
    </row>
    <row r="292" spans="64:66" ht="39.950000000000003" hidden="1" customHeight="1" x14ac:dyDescent="0.25">
      <c r="BL292" s="17">
        <v>290</v>
      </c>
      <c r="BM292" s="21">
        <v>145</v>
      </c>
      <c r="BN292" s="41" t="s">
        <v>0</v>
      </c>
    </row>
    <row r="293" spans="64:66" ht="39.950000000000003" hidden="1" customHeight="1" x14ac:dyDescent="0.25">
      <c r="BL293" s="17">
        <v>291</v>
      </c>
      <c r="BM293" s="21">
        <v>145.5</v>
      </c>
      <c r="BN293" s="41" t="s">
        <v>0</v>
      </c>
    </row>
    <row r="294" spans="64:66" ht="39.950000000000003" hidden="1" customHeight="1" x14ac:dyDescent="0.25">
      <c r="BL294" s="17">
        <v>292</v>
      </c>
      <c r="BM294" s="21">
        <v>146</v>
      </c>
      <c r="BN294" s="41" t="s">
        <v>0</v>
      </c>
    </row>
    <row r="295" spans="64:66" ht="39.950000000000003" hidden="1" customHeight="1" x14ac:dyDescent="0.25">
      <c r="BL295" s="17">
        <v>293</v>
      </c>
      <c r="BM295" s="21">
        <v>146.5</v>
      </c>
      <c r="BN295" s="41" t="s">
        <v>0</v>
      </c>
    </row>
    <row r="296" spans="64:66" ht="39.950000000000003" hidden="1" customHeight="1" x14ac:dyDescent="0.25">
      <c r="BL296" s="17">
        <v>294</v>
      </c>
      <c r="BM296" s="21">
        <v>147</v>
      </c>
      <c r="BN296" s="41" t="s">
        <v>0</v>
      </c>
    </row>
    <row r="297" spans="64:66" ht="39.950000000000003" hidden="1" customHeight="1" x14ac:dyDescent="0.25">
      <c r="BL297" s="17">
        <v>295</v>
      </c>
      <c r="BM297" s="21">
        <v>147.5</v>
      </c>
      <c r="BN297" s="41" t="s">
        <v>0</v>
      </c>
    </row>
    <row r="298" spans="64:66" ht="39.950000000000003" hidden="1" customHeight="1" x14ac:dyDescent="0.25">
      <c r="BL298" s="17">
        <v>296</v>
      </c>
      <c r="BM298" s="21">
        <v>148</v>
      </c>
      <c r="BN298" s="41" t="s">
        <v>0</v>
      </c>
    </row>
    <row r="299" spans="64:66" ht="39.950000000000003" hidden="1" customHeight="1" x14ac:dyDescent="0.25">
      <c r="BL299" s="17">
        <v>297</v>
      </c>
      <c r="BM299" s="21">
        <v>148.5</v>
      </c>
      <c r="BN299" s="41" t="s">
        <v>0</v>
      </c>
    </row>
    <row r="300" spans="64:66" ht="39.950000000000003" hidden="1" customHeight="1" x14ac:dyDescent="0.25">
      <c r="BL300" s="17">
        <v>298</v>
      </c>
      <c r="BM300" s="21">
        <v>149</v>
      </c>
      <c r="BN300" s="41" t="s">
        <v>0</v>
      </c>
    </row>
    <row r="301" spans="64:66" ht="39.950000000000003" hidden="1" customHeight="1" x14ac:dyDescent="0.25">
      <c r="BL301" s="17">
        <v>299</v>
      </c>
      <c r="BM301" s="21">
        <v>149.5</v>
      </c>
      <c r="BN301" s="41" t="s">
        <v>0</v>
      </c>
    </row>
    <row r="302" spans="64:66" ht="39.950000000000003" hidden="1" customHeight="1" x14ac:dyDescent="0.25">
      <c r="BL302" s="17">
        <v>300</v>
      </c>
      <c r="BM302" s="21">
        <v>150</v>
      </c>
      <c r="BN302" s="41" t="s">
        <v>0</v>
      </c>
    </row>
    <row r="303" spans="64:66" ht="39.950000000000003" hidden="1" customHeight="1" x14ac:dyDescent="0.25">
      <c r="BL303" s="17">
        <v>301</v>
      </c>
      <c r="BM303" s="21">
        <v>150.5</v>
      </c>
      <c r="BN303" s="41" t="s">
        <v>0</v>
      </c>
    </row>
    <row r="304" spans="64:66" ht="39.950000000000003" hidden="1" customHeight="1" x14ac:dyDescent="0.25">
      <c r="BL304" s="17">
        <v>302</v>
      </c>
      <c r="BM304" s="21">
        <v>151</v>
      </c>
      <c r="BN304" s="41" t="s">
        <v>0</v>
      </c>
    </row>
    <row r="305" spans="64:66" ht="39.950000000000003" hidden="1" customHeight="1" x14ac:dyDescent="0.25">
      <c r="BL305" s="17">
        <v>303</v>
      </c>
      <c r="BM305" s="21">
        <v>151.5</v>
      </c>
      <c r="BN305" s="41" t="s">
        <v>0</v>
      </c>
    </row>
    <row r="306" spans="64:66" ht="39.950000000000003" hidden="1" customHeight="1" x14ac:dyDescent="0.25">
      <c r="BL306" s="17">
        <v>304</v>
      </c>
      <c r="BM306" s="21">
        <v>152</v>
      </c>
      <c r="BN306" s="41" t="s">
        <v>0</v>
      </c>
    </row>
    <row r="307" spans="64:66" ht="39.950000000000003" hidden="1" customHeight="1" x14ac:dyDescent="0.25">
      <c r="BL307" s="17">
        <v>305</v>
      </c>
      <c r="BM307" s="21">
        <v>152.5</v>
      </c>
      <c r="BN307" s="41" t="s">
        <v>0</v>
      </c>
    </row>
    <row r="308" spans="64:66" ht="39.950000000000003" hidden="1" customHeight="1" x14ac:dyDescent="0.25">
      <c r="BL308" s="17">
        <v>306</v>
      </c>
      <c r="BM308" s="21">
        <v>153</v>
      </c>
      <c r="BN308" s="41" t="s">
        <v>0</v>
      </c>
    </row>
    <row r="309" spans="64:66" ht="39.950000000000003" hidden="1" customHeight="1" x14ac:dyDescent="0.25">
      <c r="BL309" s="17">
        <v>307</v>
      </c>
      <c r="BM309" s="21">
        <v>153.5</v>
      </c>
      <c r="BN309" s="41" t="s">
        <v>0</v>
      </c>
    </row>
    <row r="310" spans="64:66" ht="39.950000000000003" hidden="1" customHeight="1" x14ac:dyDescent="0.25">
      <c r="BL310" s="17">
        <v>308</v>
      </c>
      <c r="BM310" s="21">
        <v>154</v>
      </c>
      <c r="BN310" s="41" t="s">
        <v>0</v>
      </c>
    </row>
    <row r="311" spans="64:66" ht="39.950000000000003" hidden="1" customHeight="1" x14ac:dyDescent="0.25">
      <c r="BL311" s="17">
        <v>309</v>
      </c>
      <c r="BM311" s="21">
        <v>154.5</v>
      </c>
      <c r="BN311" s="41" t="s">
        <v>0</v>
      </c>
    </row>
    <row r="312" spans="64:66" ht="39.950000000000003" hidden="1" customHeight="1" x14ac:dyDescent="0.25">
      <c r="BL312" s="17">
        <v>310</v>
      </c>
      <c r="BM312" s="21">
        <v>155</v>
      </c>
      <c r="BN312" s="41" t="s">
        <v>0</v>
      </c>
    </row>
    <row r="313" spans="64:66" ht="39.950000000000003" hidden="1" customHeight="1" x14ac:dyDescent="0.25">
      <c r="BL313" s="17">
        <v>311</v>
      </c>
      <c r="BM313" s="21">
        <v>155.5</v>
      </c>
      <c r="BN313" s="41" t="s">
        <v>0</v>
      </c>
    </row>
    <row r="314" spans="64:66" ht="39.950000000000003" hidden="1" customHeight="1" x14ac:dyDescent="0.25">
      <c r="BL314" s="17">
        <v>312</v>
      </c>
      <c r="BM314" s="21">
        <v>156</v>
      </c>
      <c r="BN314" s="41" t="s">
        <v>0</v>
      </c>
    </row>
    <row r="315" spans="64:66" ht="39.950000000000003" hidden="1" customHeight="1" x14ac:dyDescent="0.25">
      <c r="BL315" s="17">
        <v>313</v>
      </c>
      <c r="BM315" s="21">
        <v>156.5</v>
      </c>
      <c r="BN315" s="41" t="s">
        <v>0</v>
      </c>
    </row>
    <row r="316" spans="64:66" ht="39.950000000000003" hidden="1" customHeight="1" x14ac:dyDescent="0.25">
      <c r="BL316" s="17">
        <v>314</v>
      </c>
      <c r="BM316" s="21">
        <v>157</v>
      </c>
      <c r="BN316" s="41" t="s">
        <v>0</v>
      </c>
    </row>
    <row r="317" spans="64:66" ht="39.950000000000003" hidden="1" customHeight="1" x14ac:dyDescent="0.25">
      <c r="BL317" s="17">
        <v>315</v>
      </c>
      <c r="BM317" s="21">
        <v>157.5</v>
      </c>
      <c r="BN317" s="41" t="s">
        <v>0</v>
      </c>
    </row>
    <row r="318" spans="64:66" ht="39.950000000000003" hidden="1" customHeight="1" x14ac:dyDescent="0.25">
      <c r="BL318" s="17">
        <v>316</v>
      </c>
      <c r="BM318" s="21">
        <v>158</v>
      </c>
      <c r="BN318" s="41" t="s">
        <v>0</v>
      </c>
    </row>
    <row r="319" spans="64:66" ht="39.950000000000003" hidden="1" customHeight="1" x14ac:dyDescent="0.25">
      <c r="BL319" s="17">
        <v>317</v>
      </c>
      <c r="BM319" s="21">
        <v>158.5</v>
      </c>
      <c r="BN319" s="41" t="s">
        <v>0</v>
      </c>
    </row>
    <row r="320" spans="64:66" ht="39.950000000000003" hidden="1" customHeight="1" x14ac:dyDescent="0.25">
      <c r="BL320" s="17">
        <v>318</v>
      </c>
      <c r="BM320" s="21">
        <v>159</v>
      </c>
      <c r="BN320" s="41" t="s">
        <v>0</v>
      </c>
    </row>
    <row r="321" spans="64:66" ht="39.950000000000003" hidden="1" customHeight="1" x14ac:dyDescent="0.25">
      <c r="BL321" s="17">
        <v>319</v>
      </c>
      <c r="BM321" s="21">
        <v>159.5</v>
      </c>
      <c r="BN321" s="41" t="s">
        <v>0</v>
      </c>
    </row>
    <row r="322" spans="64:66" ht="39.950000000000003" hidden="1" customHeight="1" x14ac:dyDescent="0.25">
      <c r="BL322" s="17">
        <v>320</v>
      </c>
      <c r="BM322" s="21">
        <v>160</v>
      </c>
      <c r="BN322" s="41" t="s">
        <v>0</v>
      </c>
    </row>
    <row r="323" spans="64:66" ht="39.950000000000003" hidden="1" customHeight="1" x14ac:dyDescent="0.25">
      <c r="BL323" s="17">
        <v>321</v>
      </c>
      <c r="BM323" s="21">
        <v>160.5</v>
      </c>
      <c r="BN323" s="41" t="s">
        <v>0</v>
      </c>
    </row>
    <row r="324" spans="64:66" ht="39.950000000000003" hidden="1" customHeight="1" x14ac:dyDescent="0.25">
      <c r="BL324" s="17">
        <v>322</v>
      </c>
      <c r="BM324" s="21">
        <v>161</v>
      </c>
      <c r="BN324" s="41" t="s">
        <v>0</v>
      </c>
    </row>
    <row r="325" spans="64:66" ht="39.950000000000003" hidden="1" customHeight="1" x14ac:dyDescent="0.25">
      <c r="BL325" s="17">
        <v>323</v>
      </c>
      <c r="BM325" s="21">
        <v>161.5</v>
      </c>
      <c r="BN325" s="41" t="s">
        <v>0</v>
      </c>
    </row>
    <row r="326" spans="64:66" ht="39.950000000000003" hidden="1" customHeight="1" x14ac:dyDescent="0.25">
      <c r="BL326" s="17">
        <v>324</v>
      </c>
      <c r="BM326" s="21">
        <v>162</v>
      </c>
      <c r="BN326" s="41" t="s">
        <v>0</v>
      </c>
    </row>
    <row r="327" spans="64:66" ht="39.950000000000003" hidden="1" customHeight="1" x14ac:dyDescent="0.25">
      <c r="BL327" s="17">
        <v>325</v>
      </c>
      <c r="BM327" s="21">
        <v>162.5</v>
      </c>
      <c r="BN327" s="41" t="s">
        <v>0</v>
      </c>
    </row>
    <row r="328" spans="64:66" ht="39.950000000000003" hidden="1" customHeight="1" x14ac:dyDescent="0.25">
      <c r="BL328" s="17">
        <v>326</v>
      </c>
      <c r="BM328" s="21">
        <v>163</v>
      </c>
      <c r="BN328" s="41" t="s">
        <v>0</v>
      </c>
    </row>
    <row r="329" spans="64:66" ht="39.950000000000003" hidden="1" customHeight="1" x14ac:dyDescent="0.25">
      <c r="BL329" s="17">
        <v>327</v>
      </c>
      <c r="BM329" s="21">
        <v>163.5</v>
      </c>
      <c r="BN329" s="41" t="s">
        <v>0</v>
      </c>
    </row>
    <row r="330" spans="64:66" ht="39.950000000000003" hidden="1" customHeight="1" x14ac:dyDescent="0.25">
      <c r="BL330" s="17">
        <v>328</v>
      </c>
      <c r="BM330" s="21">
        <v>164</v>
      </c>
      <c r="BN330" s="41" t="s">
        <v>0</v>
      </c>
    </row>
    <row r="331" spans="64:66" ht="39.950000000000003" hidden="1" customHeight="1" x14ac:dyDescent="0.25">
      <c r="BL331" s="17">
        <v>329</v>
      </c>
      <c r="BM331" s="21">
        <v>164.5</v>
      </c>
      <c r="BN331" s="41" t="s">
        <v>0</v>
      </c>
    </row>
    <row r="332" spans="64:66" ht="39.950000000000003" hidden="1" customHeight="1" x14ac:dyDescent="0.25">
      <c r="BL332" s="17">
        <v>330</v>
      </c>
      <c r="BM332" s="21">
        <v>165</v>
      </c>
      <c r="BN332" s="41" t="s">
        <v>0</v>
      </c>
    </row>
    <row r="333" spans="64:66" ht="39.950000000000003" hidden="1" customHeight="1" x14ac:dyDescent="0.25">
      <c r="BL333" s="17">
        <v>331</v>
      </c>
      <c r="BM333" s="21">
        <v>165.5</v>
      </c>
      <c r="BN333" s="41" t="s">
        <v>0</v>
      </c>
    </row>
    <row r="334" spans="64:66" ht="39.950000000000003" hidden="1" customHeight="1" x14ac:dyDescent="0.25">
      <c r="BL334" s="17">
        <v>332</v>
      </c>
      <c r="BM334" s="21">
        <v>166</v>
      </c>
      <c r="BN334" s="41" t="s">
        <v>0</v>
      </c>
    </row>
    <row r="335" spans="64:66" ht="39.950000000000003" hidden="1" customHeight="1" x14ac:dyDescent="0.25">
      <c r="BL335" s="17">
        <v>333</v>
      </c>
      <c r="BM335" s="21">
        <v>166.5</v>
      </c>
      <c r="BN335" s="41" t="s">
        <v>0</v>
      </c>
    </row>
    <row r="336" spans="64:66" ht="39.950000000000003" hidden="1" customHeight="1" x14ac:dyDescent="0.25">
      <c r="BL336" s="17">
        <v>334</v>
      </c>
      <c r="BM336" s="21">
        <v>167</v>
      </c>
      <c r="BN336" s="41" t="s">
        <v>0</v>
      </c>
    </row>
    <row r="337" spans="64:66" ht="39.950000000000003" hidden="1" customHeight="1" x14ac:dyDescent="0.25">
      <c r="BL337" s="17">
        <v>335</v>
      </c>
      <c r="BM337" s="21">
        <v>167.5</v>
      </c>
      <c r="BN337" s="41" t="s">
        <v>0</v>
      </c>
    </row>
    <row r="338" spans="64:66" ht="39.950000000000003" hidden="1" customHeight="1" x14ac:dyDescent="0.25">
      <c r="BL338" s="17">
        <v>336</v>
      </c>
      <c r="BM338" s="21">
        <v>168</v>
      </c>
      <c r="BN338" s="41" t="s">
        <v>0</v>
      </c>
    </row>
    <row r="339" spans="64:66" ht="39.950000000000003" hidden="1" customHeight="1" x14ac:dyDescent="0.25">
      <c r="BL339" s="17">
        <v>337</v>
      </c>
      <c r="BM339" s="21">
        <v>168.5</v>
      </c>
      <c r="BN339" s="41" t="s">
        <v>0</v>
      </c>
    </row>
    <row r="340" spans="64:66" ht="39.950000000000003" hidden="1" customHeight="1" x14ac:dyDescent="0.25">
      <c r="BL340" s="17">
        <v>338</v>
      </c>
      <c r="BM340" s="21">
        <v>169</v>
      </c>
      <c r="BN340" s="41" t="s">
        <v>0</v>
      </c>
    </row>
    <row r="341" spans="64:66" ht="39.950000000000003" hidden="1" customHeight="1" x14ac:dyDescent="0.25">
      <c r="BL341" s="17">
        <v>339</v>
      </c>
      <c r="BM341" s="21">
        <v>169.5</v>
      </c>
      <c r="BN341" s="41" t="s">
        <v>0</v>
      </c>
    </row>
    <row r="342" spans="64:66" ht="39.950000000000003" hidden="1" customHeight="1" x14ac:dyDescent="0.25">
      <c r="BL342" s="17">
        <v>340</v>
      </c>
      <c r="BM342" s="21">
        <v>170</v>
      </c>
      <c r="BN342" s="41" t="s">
        <v>0</v>
      </c>
    </row>
    <row r="343" spans="64:66" ht="39.950000000000003" hidden="1" customHeight="1" x14ac:dyDescent="0.25">
      <c r="BL343" s="17">
        <v>341</v>
      </c>
      <c r="BM343" s="21">
        <v>170.5</v>
      </c>
      <c r="BN343" s="41" t="s">
        <v>0</v>
      </c>
    </row>
    <row r="344" spans="64:66" ht="39.950000000000003" hidden="1" customHeight="1" x14ac:dyDescent="0.25">
      <c r="BL344" s="17">
        <v>342</v>
      </c>
      <c r="BM344" s="21">
        <v>171</v>
      </c>
      <c r="BN344" s="41" t="s">
        <v>0</v>
      </c>
    </row>
    <row r="345" spans="64:66" ht="39.950000000000003" hidden="1" customHeight="1" x14ac:dyDescent="0.25">
      <c r="BL345" s="17">
        <v>343</v>
      </c>
      <c r="BM345" s="21">
        <v>171.5</v>
      </c>
      <c r="BN345" s="41" t="s">
        <v>0</v>
      </c>
    </row>
    <row r="346" spans="64:66" ht="39.950000000000003" hidden="1" customHeight="1" x14ac:dyDescent="0.25">
      <c r="BL346" s="17">
        <v>344</v>
      </c>
      <c r="BM346" s="21">
        <v>172</v>
      </c>
      <c r="BN346" s="41" t="s">
        <v>0</v>
      </c>
    </row>
    <row r="347" spans="64:66" ht="39.950000000000003" hidden="1" customHeight="1" x14ac:dyDescent="0.25">
      <c r="BL347" s="17">
        <v>345</v>
      </c>
      <c r="BM347" s="21">
        <v>172.5</v>
      </c>
      <c r="BN347" s="41" t="s">
        <v>0</v>
      </c>
    </row>
    <row r="348" spans="64:66" ht="39.950000000000003" hidden="1" customHeight="1" x14ac:dyDescent="0.25">
      <c r="BL348" s="17">
        <v>346</v>
      </c>
      <c r="BM348" s="21">
        <v>173</v>
      </c>
      <c r="BN348" s="41" t="s">
        <v>0</v>
      </c>
    </row>
    <row r="349" spans="64:66" ht="39.950000000000003" hidden="1" customHeight="1" x14ac:dyDescent="0.25">
      <c r="BL349" s="17">
        <v>347</v>
      </c>
      <c r="BM349" s="21">
        <v>173.5</v>
      </c>
      <c r="BN349" s="41" t="s">
        <v>0</v>
      </c>
    </row>
    <row r="350" spans="64:66" ht="39.950000000000003" hidden="1" customHeight="1" x14ac:dyDescent="0.25">
      <c r="BL350" s="17">
        <v>348</v>
      </c>
      <c r="BM350" s="21">
        <v>174</v>
      </c>
      <c r="BN350" s="41" t="s">
        <v>0</v>
      </c>
    </row>
    <row r="351" spans="64:66" ht="39.950000000000003" hidden="1" customHeight="1" x14ac:dyDescent="0.25">
      <c r="BL351" s="17">
        <v>349</v>
      </c>
      <c r="BM351" s="21">
        <v>174.5</v>
      </c>
      <c r="BN351" s="41" t="s">
        <v>0</v>
      </c>
    </row>
    <row r="352" spans="64:66" ht="39.950000000000003" hidden="1" customHeight="1" x14ac:dyDescent="0.25">
      <c r="BL352" s="17">
        <v>350</v>
      </c>
      <c r="BM352" s="21">
        <v>175</v>
      </c>
      <c r="BN352" s="41" t="s">
        <v>0</v>
      </c>
    </row>
    <row r="353" spans="64:66" ht="39.950000000000003" hidden="1" customHeight="1" x14ac:dyDescent="0.25">
      <c r="BL353" s="17">
        <v>351</v>
      </c>
      <c r="BM353" s="21">
        <v>175.5</v>
      </c>
      <c r="BN353" s="41" t="s">
        <v>0</v>
      </c>
    </row>
    <row r="354" spans="64:66" ht="39.950000000000003" hidden="1" customHeight="1" x14ac:dyDescent="0.25">
      <c r="BL354" s="17">
        <v>352</v>
      </c>
      <c r="BM354" s="21">
        <v>176</v>
      </c>
      <c r="BN354" s="41" t="s">
        <v>0</v>
      </c>
    </row>
    <row r="355" spans="64:66" ht="39.950000000000003" hidden="1" customHeight="1" x14ac:dyDescent="0.25">
      <c r="BL355" s="17">
        <v>353</v>
      </c>
      <c r="BM355" s="21">
        <v>176.5</v>
      </c>
      <c r="BN355" s="41" t="s">
        <v>0</v>
      </c>
    </row>
    <row r="356" spans="64:66" ht="39.950000000000003" hidden="1" customHeight="1" x14ac:dyDescent="0.25">
      <c r="BL356" s="17">
        <v>354</v>
      </c>
      <c r="BM356" s="21">
        <v>177</v>
      </c>
      <c r="BN356" s="41" t="s">
        <v>0</v>
      </c>
    </row>
    <row r="357" spans="64:66" ht="39.950000000000003" hidden="1" customHeight="1" x14ac:dyDescent="0.25">
      <c r="BL357" s="17">
        <v>355</v>
      </c>
      <c r="BM357" s="21">
        <v>177.5</v>
      </c>
      <c r="BN357" s="41" t="s">
        <v>0</v>
      </c>
    </row>
    <row r="358" spans="64:66" ht="39.950000000000003" hidden="1" customHeight="1" x14ac:dyDescent="0.25">
      <c r="BL358" s="17">
        <v>356</v>
      </c>
      <c r="BM358" s="21">
        <v>178</v>
      </c>
      <c r="BN358" s="41" t="s">
        <v>0</v>
      </c>
    </row>
    <row r="359" spans="64:66" ht="39.950000000000003" hidden="1" customHeight="1" x14ac:dyDescent="0.25">
      <c r="BL359" s="17">
        <v>357</v>
      </c>
      <c r="BM359" s="21">
        <v>178.5</v>
      </c>
      <c r="BN359" s="41" t="s">
        <v>0</v>
      </c>
    </row>
    <row r="360" spans="64:66" ht="39.950000000000003" hidden="1" customHeight="1" x14ac:dyDescent="0.25">
      <c r="BL360" s="17">
        <v>358</v>
      </c>
      <c r="BM360" s="21">
        <v>179</v>
      </c>
      <c r="BN360" s="41" t="s">
        <v>0</v>
      </c>
    </row>
    <row r="361" spans="64:66" ht="39.950000000000003" hidden="1" customHeight="1" x14ac:dyDescent="0.25">
      <c r="BL361" s="17">
        <v>359</v>
      </c>
      <c r="BM361" s="21">
        <v>179.5</v>
      </c>
      <c r="BN361" s="41" t="s">
        <v>0</v>
      </c>
    </row>
    <row r="362" spans="64:66" ht="39.950000000000003" hidden="1" customHeight="1" x14ac:dyDescent="0.25">
      <c r="BL362" s="17">
        <v>360</v>
      </c>
      <c r="BM362" s="21">
        <v>180</v>
      </c>
      <c r="BN362" s="41" t="s">
        <v>0</v>
      </c>
    </row>
    <row r="363" spans="64:66" ht="9.9499999999999993" hidden="1" customHeight="1" x14ac:dyDescent="0.25"/>
  </sheetData>
  <sheetProtection algorithmName="SHA-512" hashValue="SKZsIARmcO3PpEJzzkE6Kl47MIro7ZrtnJRgtJ2jyseQYS3nEJmjjwLUHpqjeZhTA68eI+rG2wpV8s18K4QSEA==" saltValue="UOuKTcUflfthcD84u+APcg==" spinCount="100000" sheet="1" objects="1" scenarios="1" selectLockedCells="1"/>
  <mergeCells count="43">
    <mergeCell ref="Y1:Y28"/>
    <mergeCell ref="A1:A14"/>
    <mergeCell ref="E1:E14"/>
    <mergeCell ref="I1:I14"/>
    <mergeCell ref="H1:H14"/>
    <mergeCell ref="G1:G14"/>
    <mergeCell ref="D1:D14"/>
    <mergeCell ref="F1:F14"/>
    <mergeCell ref="V1:X1"/>
    <mergeCell ref="S1:S28"/>
    <mergeCell ref="V28:X28"/>
    <mergeCell ref="T1:T28"/>
    <mergeCell ref="R1:R14"/>
    <mergeCell ref="V2:V27"/>
    <mergeCell ref="U1:U28"/>
    <mergeCell ref="B24:C24"/>
    <mergeCell ref="B10:B14"/>
    <mergeCell ref="C10:C14"/>
    <mergeCell ref="B15:C15"/>
    <mergeCell ref="X2:X27"/>
    <mergeCell ref="W2:W27"/>
    <mergeCell ref="Q1:Q14"/>
    <mergeCell ref="P1:P14"/>
    <mergeCell ref="N1:N14"/>
    <mergeCell ref="O1:O14"/>
    <mergeCell ref="J1:J14"/>
    <mergeCell ref="K1:M14"/>
    <mergeCell ref="B25:C25"/>
    <mergeCell ref="B26:C26"/>
    <mergeCell ref="B27:C27"/>
    <mergeCell ref="B28:C28"/>
    <mergeCell ref="C1:C4"/>
    <mergeCell ref="B1:B4"/>
    <mergeCell ref="B5:B9"/>
    <mergeCell ref="C5:C9"/>
    <mergeCell ref="B16:C16"/>
    <mergeCell ref="B17:C17"/>
    <mergeCell ref="B18:C18"/>
    <mergeCell ref="B19:C19"/>
    <mergeCell ref="B20:C20"/>
    <mergeCell ref="B21:C21"/>
    <mergeCell ref="B22:C22"/>
    <mergeCell ref="B23:C23"/>
  </mergeCells>
  <phoneticPr fontId="4" type="noConversion"/>
  <dataValidations count="10">
    <dataValidation type="list" allowBlank="1" showInputMessage="1" showErrorMessage="1" sqref="AN29:AN40" xr:uid="{20F10BB2-A164-41CB-BF37-5B92258AC821}">
      <formula1>"Yok, Var"</formula1>
    </dataValidation>
    <dataValidation type="list" allowBlank="1" showInputMessage="1" showErrorMessage="1" sqref="N15:N26" xr:uid="{D6DB34B5-9590-4803-9833-F0079B9818CB}">
      <formula1>$BN$2:$BN$50</formula1>
    </dataValidation>
    <dataValidation type="list" allowBlank="1" showInputMessage="1" showErrorMessage="1" sqref="S1:S28" xr:uid="{00000000-0002-0000-0000-000002000000}">
      <formula1>"Ocak, Şubat, Mart, Nisan, Mayıs, Haziran, Temmuz, Ağustos, Eylül, Ekim, Kasım, Aralık, Yıllık Toplam, Yıllık Ortalama"</formula1>
    </dataValidation>
    <dataValidation type="list" allowBlank="1" showInputMessage="1" showErrorMessage="1" sqref="AL18" xr:uid="{00000000-0002-0000-0000-000003000000}">
      <formula1>#REF!</formula1>
    </dataValidation>
    <dataValidation type="list" allowBlank="1" showInputMessage="1" showErrorMessage="1" sqref="E15:H26" xr:uid="{00000000-0002-0000-0000-000005000000}">
      <formula1>$BM$2:$BM$362</formula1>
    </dataValidation>
    <dataValidation type="list" allowBlank="1" showInputMessage="1" showErrorMessage="1" sqref="AS29:AS40 D15:D26 BH15:BH26 I15:J26" xr:uid="{00000000-0002-0000-0000-000006000000}">
      <formula1>$BL$2:$BL$362</formula1>
    </dataValidation>
    <dataValidation type="list" allowBlank="1" showInputMessage="1" showErrorMessage="1" sqref="O15:O26" xr:uid="{7325020B-39D5-44BD-BE83-E1F4896C42EB}">
      <formula1>"Yok,1. Derece,2. Derece,3. Derece"</formula1>
    </dataValidation>
    <dataValidation type="list" allowBlank="1" showInputMessage="1" showErrorMessage="1" sqref="U1" xr:uid="{00000000-0002-0000-0000-000007000000}">
      <formula1>$Z$21:$Z$34</formula1>
    </dataValidation>
    <dataValidation type="list" allowBlank="1" showInputMessage="1" showErrorMessage="1" sqref="A1:A14" xr:uid="{ED3E3646-9B85-4FC6-81EA-D4ECEE5C785A}">
      <formula1>$AC$1:$AC$13</formula1>
    </dataValidation>
    <dataValidation type="list" allowBlank="1" showInputMessage="1" showErrorMessage="1" sqref="K15:M26" xr:uid="{8D39B2D0-F4D0-45BF-964A-23D3EE799D8B}">
      <formula1>$AE$14:$AE$29</formula1>
    </dataValidation>
  </dataValidations>
  <printOptions horizontalCentered="1" verticalCentered="1"/>
  <pageMargins left="0" right="0" top="0" bottom="0" header="0" footer="0"/>
  <pageSetup paperSize="8" fitToHeight="0" orientation="landscape" r:id="rId1"/>
  <headerFooter alignWithMargins="0"/>
  <drawing r:id="rId2"/>
</worksheet>
</file>

<file path=docProps/app.xml><?xml version="1.0" encoding="utf-8"?>
<Properties xmlns="http://schemas.openxmlformats.org/officeDocument/2006/extended-properties" xmlns:vt="http://schemas.openxmlformats.org/officeDocument/2006/docPropsVTypes">
  <Template/>
  <TotalTime>17</TotalTime>
  <Application>Microsoft Excel</Application>
  <DocSecurity>0</DocSecurity>
  <ScaleCrop>false</ScaleCrop>
  <HeadingPairs>
    <vt:vector size="2" baseType="variant">
      <vt:variant>
        <vt:lpstr>Çalışma Sayfaları</vt:lpstr>
      </vt:variant>
      <vt:variant>
        <vt:i4>1</vt:i4>
      </vt:variant>
    </vt:vector>
  </HeadingPairs>
  <TitlesOfParts>
    <vt:vector size="1" baseType="lpstr">
      <vt:lpstr>Özet Tablo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x</dc:creator>
  <dc:description/>
  <cp:lastModifiedBy>½</cp:lastModifiedBy>
  <cp:lastPrinted>2021-01-27T16:23:43Z</cp:lastPrinted>
  <dcterms:created xsi:type="dcterms:W3CDTF">2015-06-05T18:19:34Z</dcterms:created>
  <dcterms:modified xsi:type="dcterms:W3CDTF">2026-09-08T17:43:06Z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