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99ED273E-4792-4F82-838F-E2C09217AAF2}" xr6:coauthVersionLast="47" xr6:coauthVersionMax="47" xr10:uidLastSave="{00000000-0000-0000-0000-000000000000}"/>
  <workbookProtection workbookAlgorithmName="SHA-512" workbookHashValue="SdqRESr70tbzXBFlfLqfD0DYTMeQDND8lytgD0J38jgiPsquiFy5Bex0BijKP/z/pBhMogrzIFt7s8GDeLYs1A==" workbookSaltValue="sKDGPNYW4UwIuQ1J3C+Wug==" workbookSpinCount="100000" lockStructure="1"/>
  <bookViews>
    <workbookView xWindow="-120" yWindow="-120" windowWidth="29040" windowHeight="15840"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46" i="130" l="1"/>
  <c r="AP47" i="130"/>
  <c r="AP48" i="130"/>
  <c r="AP49" i="130"/>
  <c r="AP50" i="130"/>
  <c r="AP51" i="130"/>
  <c r="AP52" i="130"/>
  <c r="AP53" i="130"/>
  <c r="AP54" i="130"/>
  <c r="AP45" i="130"/>
  <c r="AP43" i="130"/>
  <c r="AP44" i="130"/>
  <c r="AL46" i="130"/>
  <c r="AL47" i="130"/>
  <c r="AL48" i="130"/>
  <c r="AL49" i="130"/>
  <c r="AL50" i="130"/>
  <c r="AL51" i="130"/>
  <c r="AL52" i="130"/>
  <c r="AL53" i="130"/>
  <c r="AL54" i="130"/>
  <c r="AL45" i="130"/>
  <c r="AL44" i="130"/>
  <c r="AL43" i="130"/>
  <c r="AP4" i="130"/>
  <c r="AP5" i="130"/>
  <c r="AP6" i="130"/>
  <c r="AP7" i="130"/>
  <c r="AP8" i="130"/>
  <c r="AP9" i="130"/>
  <c r="AP10" i="130"/>
  <c r="AP11" i="130"/>
  <c r="AP12" i="130"/>
  <c r="AP3" i="130"/>
  <c r="AC40" i="130"/>
  <c r="AD40" i="130" s="1"/>
  <c r="AC39" i="130"/>
  <c r="AD39" i="130" s="1"/>
  <c r="AE46" i="130"/>
  <c r="AE47" i="130"/>
  <c r="AE48" i="130"/>
  <c r="AE49" i="130"/>
  <c r="AE50" i="130"/>
  <c r="AE51" i="130"/>
  <c r="AE52" i="130"/>
  <c r="AE53" i="130"/>
  <c r="AE54" i="130"/>
  <c r="AE45" i="130"/>
  <c r="AE44" i="130"/>
  <c r="AE43" i="130"/>
  <c r="AP2" i="130"/>
  <c r="AP1" i="130"/>
  <c r="C1" i="130"/>
  <c r="AH53" i="130"/>
  <c r="AG53" i="130"/>
  <c r="AH52" i="130"/>
  <c r="AG52" i="130"/>
  <c r="AH50" i="130"/>
  <c r="AG50" i="130"/>
  <c r="AH49" i="130"/>
  <c r="AG49" i="130"/>
  <c r="AH47" i="130"/>
  <c r="AG47" i="130"/>
  <c r="AH46" i="130"/>
  <c r="AG46" i="130"/>
  <c r="AH44" i="130"/>
  <c r="AG44" i="130"/>
  <c r="AH43" i="130"/>
  <c r="AG43" i="130"/>
  <c r="AM18" i="130" l="1"/>
  <c r="AM17" i="130"/>
  <c r="AM20" i="130"/>
  <c r="AK17" i="130"/>
  <c r="AK18" i="130"/>
  <c r="AK19" i="130"/>
  <c r="AK20" i="130"/>
  <c r="C5" i="130"/>
  <c r="AM19" i="130"/>
  <c r="AG68" i="130"/>
  <c r="AF68" i="130"/>
  <c r="AG67" i="130"/>
  <c r="AF67" i="130"/>
  <c r="AG66" i="130"/>
  <c r="AF66" i="130"/>
  <c r="AG65" i="130"/>
  <c r="AF65" i="130"/>
  <c r="AG64" i="130"/>
  <c r="AF64" i="130"/>
  <c r="AG63" i="130"/>
  <c r="AF63" i="130"/>
  <c r="AG62" i="130"/>
  <c r="AF62" i="130"/>
  <c r="AG61" i="130"/>
  <c r="AF61" i="130"/>
  <c r="AG60" i="130"/>
  <c r="AF60" i="130"/>
  <c r="AG59" i="130"/>
  <c r="AF59" i="130"/>
  <c r="AG58" i="130"/>
  <c r="AF58" i="130"/>
  <c r="AG57" i="130"/>
  <c r="AF57" i="130"/>
  <c r="AJ2" i="130"/>
  <c r="AJ3" i="130"/>
  <c r="AJ4" i="130"/>
  <c r="AJ5" i="130"/>
  <c r="AJ6" i="130"/>
  <c r="AJ7" i="130"/>
  <c r="AJ8" i="130"/>
  <c r="AJ9" i="130"/>
  <c r="AJ10" i="130"/>
  <c r="AJ11" i="130"/>
  <c r="AJ12" i="130"/>
  <c r="AJ1" i="130"/>
  <c r="AM22" i="130"/>
  <c r="AM21" i="130"/>
  <c r="AM16" i="130"/>
  <c r="AM15" i="130"/>
  <c r="AK22" i="130"/>
  <c r="AK21" i="130"/>
  <c r="AK16" i="130"/>
  <c r="AK15" i="130"/>
  <c r="AA34" i="130"/>
  <c r="AD34" i="130" s="1"/>
  <c r="AB26" i="130"/>
  <c r="AA25" i="130"/>
  <c r="AC25" i="130" s="1"/>
  <c r="AA24" i="130"/>
  <c r="AC24" i="130" s="1"/>
  <c r="AA23" i="130"/>
  <c r="AD23" i="130" s="1"/>
  <c r="AA22" i="130"/>
  <c r="AA26" i="130" s="1"/>
  <c r="AA19" i="130"/>
  <c r="AA17" i="130"/>
  <c r="AD17" i="130" s="1"/>
  <c r="AA16" i="130"/>
  <c r="AD16" i="130" s="1"/>
  <c r="AD5" i="130" s="1"/>
  <c r="AA13" i="130"/>
  <c r="AA4" i="130"/>
  <c r="AD4" i="130" s="1"/>
  <c r="AA3" i="130"/>
  <c r="AC3" i="130" s="1"/>
  <c r="AA2" i="130"/>
  <c r="AC2" i="130" s="1"/>
  <c r="AN55" i="130"/>
  <c r="C10" i="130" l="1"/>
  <c r="AM25" i="130"/>
  <c r="AK25" i="130"/>
  <c r="AK26" i="130"/>
  <c r="AK23" i="130"/>
  <c r="AM26" i="130"/>
  <c r="AM24" i="130"/>
  <c r="AM23" i="130"/>
  <c r="AK24" i="130"/>
  <c r="AD2" i="130"/>
  <c r="AD24" i="130"/>
  <c r="AD3" i="130"/>
  <c r="AD25" i="130"/>
  <c r="AC16" i="130"/>
  <c r="AC5" i="130" s="1"/>
  <c r="AD19" i="130"/>
  <c r="AD20" i="130" s="1"/>
  <c r="AD6" i="130"/>
  <c r="AC26" i="130"/>
  <c r="AD26" i="130"/>
  <c r="AC22" i="130"/>
  <c r="AC17" i="130"/>
  <c r="AA18" i="130"/>
  <c r="AC23" i="130"/>
  <c r="AD22" i="130"/>
  <c r="AA33" i="130"/>
  <c r="AC4" i="130"/>
  <c r="AC34" i="130"/>
  <c r="AP55" i="130"/>
  <c r="AP56" i="130" s="1"/>
  <c r="X9" i="130" l="1"/>
  <c r="W9" i="130" s="1"/>
  <c r="AD27" i="130"/>
  <c r="AC19" i="130"/>
  <c r="AC20" i="130" s="1"/>
  <c r="AC6" i="130"/>
  <c r="AD33" i="130"/>
  <c r="AC33" i="130"/>
  <c r="AD18" i="130"/>
  <c r="AD7" i="130" s="1"/>
  <c r="AC18" i="130"/>
  <c r="AC7" i="130" s="1"/>
  <c r="AC27" i="130"/>
  <c r="AZ16" i="130"/>
  <c r="AZ17" i="130"/>
  <c r="AZ18" i="130"/>
  <c r="AZ19" i="130"/>
  <c r="AZ20" i="130"/>
  <c r="AZ21" i="130"/>
  <c r="AZ22" i="130"/>
  <c r="AZ23" i="130"/>
  <c r="AZ24" i="130"/>
  <c r="AZ25" i="130"/>
  <c r="AZ26" i="130"/>
  <c r="AZ15" i="130"/>
  <c r="AU16" i="130"/>
  <c r="AU17" i="130"/>
  <c r="AU18" i="130"/>
  <c r="AU19" i="130"/>
  <c r="AU20" i="130"/>
  <c r="AU21" i="130"/>
  <c r="AU22" i="130"/>
  <c r="AU23" i="130"/>
  <c r="AU24" i="130"/>
  <c r="AU25" i="130"/>
  <c r="AU26" i="130"/>
  <c r="AU15" i="130"/>
  <c r="AJ13" i="130" l="1"/>
  <c r="AJ14" i="130" s="1"/>
  <c r="AP13" i="130"/>
  <c r="AZ27" i="130"/>
  <c r="AZ28" i="130" s="1"/>
  <c r="AU27" i="130"/>
  <c r="AU28" i="130" s="1"/>
  <c r="AE83" i="130"/>
  <c r="AE82" i="130"/>
  <c r="AI82" i="130" s="1"/>
  <c r="AE81" i="130"/>
  <c r="AI81" i="130" s="1"/>
  <c r="AE80" i="130"/>
  <c r="AI80" i="130" s="1"/>
  <c r="AE79" i="130"/>
  <c r="AJ79" i="130" s="1"/>
  <c r="AE78" i="130"/>
  <c r="AJ78" i="130" s="1"/>
  <c r="AE77" i="130"/>
  <c r="AE76" i="130"/>
  <c r="AJ76" i="130" s="1"/>
  <c r="AE75" i="130"/>
  <c r="AE74" i="130"/>
  <c r="AE73" i="130"/>
  <c r="AE72" i="130"/>
  <c r="AN5" i="130"/>
  <c r="AN2" i="130"/>
  <c r="AN8" i="130"/>
  <c r="AN9" i="130"/>
  <c r="AN10" i="130"/>
  <c r="AL11" i="130"/>
  <c r="AL12" i="130"/>
  <c r="AN7" i="130"/>
  <c r="AN3" i="130"/>
  <c r="AL3" i="130"/>
  <c r="AJ45" i="130"/>
  <c r="AJ46" i="130"/>
  <c r="AN4" i="130"/>
  <c r="AL4" i="130"/>
  <c r="AJ50" i="130"/>
  <c r="AL8" i="130"/>
  <c r="AL6" i="130"/>
  <c r="AN6" i="130"/>
  <c r="AJ48" i="130"/>
  <c r="AL1" i="130"/>
  <c r="AJ43" i="130"/>
  <c r="AN1" i="130"/>
  <c r="AL2" i="130"/>
  <c r="AJ44" i="130"/>
  <c r="AW71" i="130"/>
  <c r="AV71" i="130"/>
  <c r="S2" i="130"/>
  <c r="AY88" i="130"/>
  <c r="AY89" i="130"/>
  <c r="AY90" i="130"/>
  <c r="AY91" i="130"/>
  <c r="AY92" i="130"/>
  <c r="AY93" i="130"/>
  <c r="AY94" i="130"/>
  <c r="AY95" i="130"/>
  <c r="AY96" i="130"/>
  <c r="AY97" i="130"/>
  <c r="AY98" i="130"/>
  <c r="AY87" i="130"/>
  <c r="AS86" i="130"/>
  <c r="AR86" i="130"/>
  <c r="F27" i="130"/>
  <c r="E27" i="130"/>
  <c r="AK55" i="130"/>
  <c r="AP41" i="130"/>
  <c r="G27" i="130"/>
  <c r="AT73" i="130"/>
  <c r="AT74" i="130"/>
  <c r="AT75" i="130"/>
  <c r="AT76" i="130"/>
  <c r="AT77" i="130"/>
  <c r="AT78" i="130"/>
  <c r="AT79" i="130"/>
  <c r="AT80" i="130"/>
  <c r="AT81" i="130"/>
  <c r="AT82" i="130"/>
  <c r="AT83" i="130"/>
  <c r="AT72" i="130"/>
  <c r="AK73" i="130"/>
  <c r="AK74" i="130"/>
  <c r="AK75" i="130"/>
  <c r="AK76" i="130"/>
  <c r="AK77" i="130"/>
  <c r="AK78" i="130"/>
  <c r="AK79" i="130"/>
  <c r="AK80" i="130"/>
  <c r="AK81" i="130"/>
  <c r="AK82" i="130"/>
  <c r="AK83" i="130"/>
  <c r="AK72" i="130"/>
  <c r="AP73" i="130"/>
  <c r="AF15" i="130"/>
  <c r="AG15" i="130" s="1"/>
  <c r="AO15" i="130" s="1"/>
  <c r="AP76" i="130"/>
  <c r="AP75" i="130"/>
  <c r="AP74" i="130"/>
  <c r="AR73" i="130"/>
  <c r="AE55" i="130"/>
  <c r="AE56" i="130" s="1"/>
  <c r="AI77" i="130" l="1"/>
  <c r="BB77" i="130"/>
  <c r="AL83" i="130"/>
  <c r="AI83" i="130"/>
  <c r="BB83" i="130"/>
  <c r="AI74" i="130"/>
  <c r="BB74" i="130"/>
  <c r="AJ73" i="130"/>
  <c r="BB73" i="130"/>
  <c r="AI72" i="130"/>
  <c r="BB72" i="130"/>
  <c r="AL77" i="130"/>
  <c r="AL73" i="130"/>
  <c r="AL74" i="130"/>
  <c r="AL75" i="130"/>
  <c r="AI75" i="130"/>
  <c r="BB75" i="130"/>
  <c r="AH45" i="130"/>
  <c r="BB76" i="130"/>
  <c r="AL78" i="130"/>
  <c r="BB78" i="130"/>
  <c r="AL76" i="130"/>
  <c r="AF81" i="130"/>
  <c r="BB80" i="130"/>
  <c r="AL80" i="130"/>
  <c r="AL82" i="130"/>
  <c r="AN82" i="130" s="1"/>
  <c r="BB82" i="130"/>
  <c r="AL81" i="130"/>
  <c r="BB81" i="130"/>
  <c r="AF72" i="130"/>
  <c r="BB79" i="130"/>
  <c r="AL79" i="130"/>
  <c r="AJ72" i="130"/>
  <c r="AE84" i="130"/>
  <c r="AE85" i="130" s="1"/>
  <c r="AJ81" i="130"/>
  <c r="AF69" i="130"/>
  <c r="AF70" i="130" s="1"/>
  <c r="AT84" i="130"/>
  <c r="AT85" i="130" s="1"/>
  <c r="AP14" i="130"/>
  <c r="X5" i="130" s="1"/>
  <c r="W5" i="130" s="1"/>
  <c r="AH15" i="130"/>
  <c r="AI15" i="130" s="1"/>
  <c r="AE16" i="130"/>
  <c r="AF16" i="130" s="1"/>
  <c r="AN11" i="130"/>
  <c r="AL5" i="130"/>
  <c r="AJ47" i="130"/>
  <c r="AH48" i="130" s="1"/>
  <c r="AJ53" i="130"/>
  <c r="AL7" i="130"/>
  <c r="AK27" i="130"/>
  <c r="AK28" i="130" s="1"/>
  <c r="AJ49" i="130"/>
  <c r="AL9" i="130"/>
  <c r="AJ77" i="130"/>
  <c r="AF75" i="130"/>
  <c r="AQ18" i="130" s="1"/>
  <c r="AJ51" i="130"/>
  <c r="AJ75" i="130"/>
  <c r="AF76" i="130"/>
  <c r="AQ19" i="130" s="1"/>
  <c r="AL10" i="130"/>
  <c r="AJ52" i="130"/>
  <c r="AK84" i="130"/>
  <c r="AK85" i="130" s="1"/>
  <c r="AL72" i="130"/>
  <c r="X2" i="130"/>
  <c r="W2" i="130" s="1"/>
  <c r="AR74" i="130"/>
  <c r="AR75" i="130" s="1"/>
  <c r="AR76" i="130" s="1"/>
  <c r="X6" i="130"/>
  <c r="W6" i="130" s="1"/>
  <c r="AF74" i="130"/>
  <c r="AQ17" i="130" s="1"/>
  <c r="AI78" i="130"/>
  <c r="AF80" i="130"/>
  <c r="AQ23" i="130" s="1"/>
  <c r="AJ74" i="130"/>
  <c r="AJ80" i="130"/>
  <c r="AI73" i="130"/>
  <c r="AI79" i="130"/>
  <c r="AF83" i="130"/>
  <c r="AQ26" i="130" s="1"/>
  <c r="AF79" i="130"/>
  <c r="AQ22" i="130" s="1"/>
  <c r="AM27" i="130"/>
  <c r="AM28" i="130" s="1"/>
  <c r="AN12" i="130"/>
  <c r="AJ83" i="130"/>
  <c r="AJ54" i="130"/>
  <c r="AF78" i="130"/>
  <c r="AQ21" i="130" s="1"/>
  <c r="AF82" i="130"/>
  <c r="AQ25" i="130" s="1"/>
  <c r="AF73" i="130"/>
  <c r="AQ16" i="130" s="1"/>
  <c r="AJ82" i="130"/>
  <c r="AI76" i="130"/>
  <c r="AF77" i="130"/>
  <c r="AQ20" i="130" s="1"/>
  <c r="AN81" i="130" l="1"/>
  <c r="AM81" i="130"/>
  <c r="AM73" i="130"/>
  <c r="AN73" i="130"/>
  <c r="AN75" i="130"/>
  <c r="AM75" i="130"/>
  <c r="AM79" i="130"/>
  <c r="AN79" i="130"/>
  <c r="AM83" i="130"/>
  <c r="AN83" i="130"/>
  <c r="AN80" i="130"/>
  <c r="AM80" i="130"/>
  <c r="AN77" i="130"/>
  <c r="AM77" i="130"/>
  <c r="AM74" i="130"/>
  <c r="AN74" i="130"/>
  <c r="AM78" i="130"/>
  <c r="AN78" i="130"/>
  <c r="AM76" i="130"/>
  <c r="AN76" i="130"/>
  <c r="AH51" i="130"/>
  <c r="AH54" i="130"/>
  <c r="AM82" i="130"/>
  <c r="BB84" i="130"/>
  <c r="BB85" i="130" s="1"/>
  <c r="AQ24" i="130"/>
  <c r="AG81" i="130"/>
  <c r="AH81" i="130" s="1"/>
  <c r="AQ15" i="130"/>
  <c r="AG72" i="130"/>
  <c r="AH72" i="130" s="1"/>
  <c r="AL13" i="130"/>
  <c r="AL14" i="130" s="1"/>
  <c r="X3" i="130" s="1"/>
  <c r="W3" i="130" s="1"/>
  <c r="AJ55" i="130"/>
  <c r="AJ56" i="130" s="1"/>
  <c r="AG76" i="130"/>
  <c r="AH76" i="130" s="1"/>
  <c r="AG75" i="130"/>
  <c r="AH75" i="130" s="1"/>
  <c r="AJ84" i="130"/>
  <c r="AJ85" i="130" s="1"/>
  <c r="AG74" i="130"/>
  <c r="AH74" i="130" s="1"/>
  <c r="AN13" i="130"/>
  <c r="AG83" i="130"/>
  <c r="AH83" i="130" s="1"/>
  <c r="AG79" i="130"/>
  <c r="AH79" i="130" s="1"/>
  <c r="AG82" i="130"/>
  <c r="AH82" i="130" s="1"/>
  <c r="AG78" i="130"/>
  <c r="AH78" i="130" s="1"/>
  <c r="AG80" i="130"/>
  <c r="AH80" i="130" s="1"/>
  <c r="AG77" i="130"/>
  <c r="AH77" i="130" s="1"/>
  <c r="AG16" i="130"/>
  <c r="AO16" i="130" s="1"/>
  <c r="AE17" i="130"/>
  <c r="AN72" i="130"/>
  <c r="AL84" i="130"/>
  <c r="AL85" i="130" s="1"/>
  <c r="AM72" i="130"/>
  <c r="AH16" i="130"/>
  <c r="AI84" i="130"/>
  <c r="AI85" i="130" s="1"/>
  <c r="AG73" i="130"/>
  <c r="AF84" i="130"/>
  <c r="AF85" i="130" s="1"/>
  <c r="BC81" i="130" l="1"/>
  <c r="BC83" i="130"/>
  <c r="BC79" i="130"/>
  <c r="AS81" i="130"/>
  <c r="AU81" i="130"/>
  <c r="AU79" i="130"/>
  <c r="AS79" i="130"/>
  <c r="AH55" i="130"/>
  <c r="AH56" i="130" s="1"/>
  <c r="AU73" i="130"/>
  <c r="AS73" i="130"/>
  <c r="AS75" i="130"/>
  <c r="AU75" i="130"/>
  <c r="AU76" i="130"/>
  <c r="AS76" i="130"/>
  <c r="BC75" i="130"/>
  <c r="BC76" i="130"/>
  <c r="BC80" i="130"/>
  <c r="AU83" i="130"/>
  <c r="AS83" i="130"/>
  <c r="AS80" i="130"/>
  <c r="AU80" i="130"/>
  <c r="AU77" i="130"/>
  <c r="AS77" i="130"/>
  <c r="BC74" i="130"/>
  <c r="BC78" i="130"/>
  <c r="BC77" i="130"/>
  <c r="AN84" i="130"/>
  <c r="AN85" i="130" s="1"/>
  <c r="AS74" i="130"/>
  <c r="AU74" i="130"/>
  <c r="AS78" i="130"/>
  <c r="AU78" i="130"/>
  <c r="BC82" i="130"/>
  <c r="AU82" i="130"/>
  <c r="AS82" i="130"/>
  <c r="X7" i="130"/>
  <c r="W7" i="130" s="1"/>
  <c r="AF17" i="130"/>
  <c r="AH17" i="130" s="1"/>
  <c r="AG84" i="130"/>
  <c r="AG85" i="130" s="1"/>
  <c r="AH73" i="130"/>
  <c r="AN14" i="130"/>
  <c r="X4" i="130"/>
  <c r="W4" i="130" s="1"/>
  <c r="AI16" i="130"/>
  <c r="AS72" i="130"/>
  <c r="AU72" i="130"/>
  <c r="BC72" i="130"/>
  <c r="AM84" i="130"/>
  <c r="AM85" i="130" s="1"/>
  <c r="AQ27" i="130"/>
  <c r="AQ28" i="130" s="1"/>
  <c r="AS84" i="130" l="1"/>
  <c r="AS85" i="130" s="1"/>
  <c r="BC73" i="130"/>
  <c r="BC84" i="130" s="1"/>
  <c r="BC85" i="130" s="1"/>
  <c r="AH84" i="130"/>
  <c r="AH85" i="130" s="1"/>
  <c r="AV78" i="130"/>
  <c r="AW78" i="130" s="1"/>
  <c r="AV82" i="130"/>
  <c r="AW82" i="130" s="1"/>
  <c r="AV77" i="130"/>
  <c r="AW77" i="130" s="1"/>
  <c r="AV81" i="130"/>
  <c r="AW81" i="130" s="1"/>
  <c r="AV83" i="130"/>
  <c r="AW83" i="130" s="1"/>
  <c r="AV79" i="130"/>
  <c r="AW79" i="130" s="1"/>
  <c r="AV73" i="130"/>
  <c r="AW73" i="130" s="1"/>
  <c r="AU84" i="130"/>
  <c r="AU85" i="130" s="1"/>
  <c r="AV75" i="130"/>
  <c r="AW75" i="130" s="1"/>
  <c r="AV76" i="130"/>
  <c r="AW76" i="130" s="1"/>
  <c r="AV74" i="130"/>
  <c r="AW74" i="130" s="1"/>
  <c r="AV80" i="130"/>
  <c r="AW80" i="130" s="1"/>
  <c r="AV72" i="130"/>
  <c r="AW72" i="130" s="1"/>
  <c r="AX72" i="130" s="1"/>
  <c r="AY72" i="130" s="1"/>
  <c r="BA72" i="130" s="1"/>
  <c r="AG17" i="130"/>
  <c r="AO17" i="130" s="1"/>
  <c r="AE18" i="130"/>
  <c r="AX77" i="130" l="1"/>
  <c r="AY77" i="130" s="1"/>
  <c r="AX82" i="130"/>
  <c r="AY82" i="130" s="1"/>
  <c r="BA82" i="130" s="1"/>
  <c r="AX78" i="130"/>
  <c r="AY78" i="130" s="1"/>
  <c r="BA78" i="130" s="1"/>
  <c r="AX74" i="130"/>
  <c r="AY74" i="130" s="1"/>
  <c r="BA74" i="130" s="1"/>
  <c r="AX80" i="130"/>
  <c r="AY80" i="130" s="1"/>
  <c r="BA80" i="130" s="1"/>
  <c r="AX76" i="130"/>
  <c r="AY76" i="130" s="1"/>
  <c r="AZ76" i="130" s="1"/>
  <c r="AG5" i="130" s="1"/>
  <c r="AI17" i="130"/>
  <c r="AZ72" i="130"/>
  <c r="AG1" i="130" s="1"/>
  <c r="AX73" i="130"/>
  <c r="AY73" i="130" s="1"/>
  <c r="AX83" i="130"/>
  <c r="AY83" i="130" s="1"/>
  <c r="AX75" i="130"/>
  <c r="AY75" i="130" s="1"/>
  <c r="AX79" i="130"/>
  <c r="AY79" i="130" s="1"/>
  <c r="AF18" i="130"/>
  <c r="AX81" i="130"/>
  <c r="AY81" i="130" s="1"/>
  <c r="BA77" i="130" l="1"/>
  <c r="AZ77" i="130"/>
  <c r="AG6" i="130" s="1"/>
  <c r="AZ74" i="130"/>
  <c r="AG3" i="130" s="1"/>
  <c r="AZ82" i="130"/>
  <c r="AG11" i="130" s="1"/>
  <c r="AZ80" i="130"/>
  <c r="AG9" i="130" s="1"/>
  <c r="AZ78" i="130"/>
  <c r="AG7" i="130" s="1"/>
  <c r="BA76" i="130"/>
  <c r="BA73" i="130"/>
  <c r="AZ73" i="130"/>
  <c r="AG2" i="130" s="1"/>
  <c r="AG18" i="130"/>
  <c r="AO18" i="130" s="1"/>
  <c r="AE19" i="130"/>
  <c r="BA83" i="130"/>
  <c r="AZ83" i="130"/>
  <c r="AG12" i="130" s="1"/>
  <c r="BA79" i="130"/>
  <c r="AZ79" i="130"/>
  <c r="AG8" i="130" s="1"/>
  <c r="AH18" i="130"/>
  <c r="BA75" i="130"/>
  <c r="AZ75" i="130"/>
  <c r="AG4" i="130" s="1"/>
  <c r="BA81" i="130"/>
  <c r="AZ81" i="130"/>
  <c r="AG10" i="130" s="1"/>
  <c r="AI18" i="130" l="1"/>
  <c r="AG13" i="130"/>
  <c r="AG14" i="130" s="1"/>
  <c r="AZ84" i="130"/>
  <c r="AZ85" i="130" s="1"/>
  <c r="AF19" i="130"/>
  <c r="AG19" i="130" l="1"/>
  <c r="AO19" i="130" s="1"/>
  <c r="AE20" i="130"/>
  <c r="AH19" i="130"/>
  <c r="AF20" i="130" l="1"/>
  <c r="AH20" i="130" s="1"/>
  <c r="AI19" i="130"/>
  <c r="AG20" i="130" l="1"/>
  <c r="AO20" i="130" s="1"/>
  <c r="AE21" i="130"/>
  <c r="AI20" i="130" l="1"/>
  <c r="AF21" i="130"/>
  <c r="AE22" i="130" l="1"/>
  <c r="AG21" i="130"/>
  <c r="AO21" i="130" s="1"/>
  <c r="AH21" i="130"/>
  <c r="AI21" i="130" l="1"/>
  <c r="AF22" i="130"/>
  <c r="AG22" i="130" l="1"/>
  <c r="AO22" i="130" s="1"/>
  <c r="AE23" i="130"/>
  <c r="AH22" i="130"/>
  <c r="AF23" i="130" l="1"/>
  <c r="AH23" i="130" s="1"/>
  <c r="AI22" i="130"/>
  <c r="AG23" i="130" l="1"/>
  <c r="AO23" i="130" s="1"/>
  <c r="AE24" i="130"/>
  <c r="AF24" i="130" l="1"/>
  <c r="AH24" i="130" s="1"/>
  <c r="AI23" i="130"/>
  <c r="AG24" i="130" l="1"/>
  <c r="AO24" i="130" s="1"/>
  <c r="AE25" i="130"/>
  <c r="AF25" i="130" l="1"/>
  <c r="AI24" i="130"/>
  <c r="AG25" i="130" l="1"/>
  <c r="AO25" i="130" s="1"/>
  <c r="AE26" i="130"/>
  <c r="AH25" i="130"/>
  <c r="AF26" i="130" l="1"/>
  <c r="AG26" i="130" s="1"/>
  <c r="AO26" i="130" s="1"/>
  <c r="AI25" i="130"/>
  <c r="AG27" i="130" l="1"/>
  <c r="AH26" i="130"/>
  <c r="AH27" i="130" s="1"/>
  <c r="AI26" i="130" l="1"/>
  <c r="AI27" i="130" s="1"/>
  <c r="AO27" i="130"/>
  <c r="AO28" i="130" s="1"/>
  <c r="X1" i="130" l="1"/>
  <c r="W1" i="130" s="1"/>
  <c r="AL55" i="130" l="1"/>
  <c r="AL56" i="130" s="1"/>
  <c r="AG69" i="130"/>
  <c r="AG70" i="130" s="1"/>
  <c r="X10" i="130" l="1"/>
  <c r="W10" i="130" s="1"/>
  <c r="AE1" i="130" l="1"/>
  <c r="AF1" i="130"/>
  <c r="AH1" i="130"/>
  <c r="AI1" i="130"/>
  <c r="AK1" i="130"/>
  <c r="AM1" i="130"/>
  <c r="AO1" i="130"/>
  <c r="AQ1" i="130"/>
  <c r="AR1" i="130"/>
  <c r="AE2" i="130"/>
  <c r="AF2" i="130"/>
  <c r="AH2" i="130"/>
  <c r="AI2" i="130"/>
  <c r="AK2" i="130"/>
  <c r="AM2" i="130"/>
  <c r="AO2" i="130"/>
  <c r="AQ2" i="130"/>
  <c r="AR2" i="130"/>
  <c r="AE3" i="130"/>
  <c r="AF3" i="130"/>
  <c r="AH3" i="130"/>
  <c r="AI3" i="130"/>
  <c r="AK3" i="130"/>
  <c r="AM3" i="130"/>
  <c r="AO3" i="130"/>
  <c r="AQ3" i="130"/>
  <c r="AR3" i="130"/>
  <c r="AE4" i="130"/>
  <c r="AF4" i="130"/>
  <c r="AH4" i="130"/>
  <c r="AI4" i="130"/>
  <c r="AK4" i="130"/>
  <c r="AM4" i="130"/>
  <c r="AO4" i="130"/>
  <c r="AQ4" i="130"/>
  <c r="AR4" i="130"/>
  <c r="AE5" i="130"/>
  <c r="AF5" i="130"/>
  <c r="AH5" i="130"/>
  <c r="AI5" i="130"/>
  <c r="AK5" i="130"/>
  <c r="AM5" i="130"/>
  <c r="AO5" i="130"/>
  <c r="AQ5" i="130"/>
  <c r="AR5" i="130"/>
  <c r="AE6" i="130"/>
  <c r="AF6" i="130"/>
  <c r="AH6" i="130"/>
  <c r="AI6" i="130"/>
  <c r="AK6" i="130"/>
  <c r="AM6" i="130"/>
  <c r="AO6" i="130"/>
  <c r="AQ6" i="130"/>
  <c r="AR6" i="130"/>
  <c r="AE7" i="130"/>
  <c r="AF7" i="130"/>
  <c r="AH7" i="130"/>
  <c r="AI7" i="130"/>
  <c r="AK7" i="130"/>
  <c r="AM7" i="130"/>
  <c r="AO7" i="130"/>
  <c r="AQ7" i="130"/>
  <c r="AR7" i="130"/>
  <c r="W8" i="130"/>
  <c r="X8" i="130"/>
  <c r="AE8" i="130"/>
  <c r="AF8" i="130"/>
  <c r="AH8" i="130"/>
  <c r="AI8" i="130"/>
  <c r="AK8" i="130"/>
  <c r="AM8" i="130"/>
  <c r="AO8" i="130"/>
  <c r="AQ8" i="130"/>
  <c r="AR8" i="130"/>
  <c r="AE9" i="130"/>
  <c r="AF9" i="130"/>
  <c r="AH9" i="130"/>
  <c r="AI9" i="130"/>
  <c r="AK9" i="130"/>
  <c r="AM9" i="130"/>
  <c r="AO9" i="130"/>
  <c r="AQ9" i="130"/>
  <c r="AR9" i="130"/>
  <c r="AE10" i="130"/>
  <c r="AF10" i="130"/>
  <c r="AH10" i="130"/>
  <c r="AI10" i="130"/>
  <c r="AK10" i="130"/>
  <c r="AM10" i="130"/>
  <c r="AO10" i="130"/>
  <c r="AQ10" i="130"/>
  <c r="AR10" i="130"/>
  <c r="W11" i="130"/>
  <c r="X11" i="130"/>
  <c r="AE11" i="130"/>
  <c r="AF11" i="130"/>
  <c r="AH11" i="130"/>
  <c r="AI11" i="130"/>
  <c r="AK11" i="130"/>
  <c r="AM11" i="130"/>
  <c r="AO11" i="130"/>
  <c r="AQ11" i="130"/>
  <c r="AR11" i="130"/>
  <c r="W12" i="130"/>
  <c r="X12" i="130"/>
  <c r="AE12" i="130"/>
  <c r="AF12" i="130"/>
  <c r="AH12" i="130"/>
  <c r="AI12" i="130"/>
  <c r="AK12" i="130"/>
  <c r="AM12" i="130"/>
  <c r="AO12" i="130"/>
  <c r="AQ12" i="130"/>
  <c r="AR12" i="130"/>
  <c r="W13" i="130"/>
  <c r="X13" i="130"/>
  <c r="AE13" i="130"/>
  <c r="AF13" i="130"/>
  <c r="AH13" i="130"/>
  <c r="AI13" i="130"/>
  <c r="AK13" i="130"/>
  <c r="AM13" i="130"/>
  <c r="AO13" i="130"/>
  <c r="AQ13" i="130"/>
  <c r="AR13" i="130"/>
  <c r="W14" i="130"/>
  <c r="X14" i="130"/>
  <c r="AE14" i="130"/>
  <c r="AF14" i="130"/>
  <c r="AH14" i="130"/>
  <c r="AI14" i="130"/>
  <c r="AK14" i="130"/>
  <c r="AM14" i="130"/>
  <c r="AO14" i="130"/>
  <c r="AQ14" i="130"/>
  <c r="AR14" i="130"/>
  <c r="A15" i="130"/>
  <c r="L15" i="130"/>
  <c r="M15" i="130"/>
  <c r="N15" i="130"/>
  <c r="W15" i="130"/>
  <c r="X15" i="130"/>
  <c r="AJ15" i="130"/>
  <c r="AL15" i="130"/>
  <c r="AN15" i="130"/>
  <c r="AP15" i="130"/>
  <c r="AR15" i="130"/>
  <c r="AS15" i="130"/>
  <c r="AT15" i="130"/>
  <c r="AV15" i="130"/>
  <c r="AW15" i="130"/>
  <c r="AX15" i="130"/>
  <c r="AY15" i="130"/>
  <c r="BA15" i="130"/>
  <c r="BB15" i="130"/>
  <c r="BC15" i="130"/>
  <c r="A16" i="130"/>
  <c r="L16" i="130"/>
  <c r="M16" i="130"/>
  <c r="N16" i="130"/>
  <c r="W16" i="130"/>
  <c r="X16" i="130"/>
  <c r="AJ16" i="130"/>
  <c r="AL16" i="130"/>
  <c r="AN16" i="130"/>
  <c r="AP16" i="130"/>
  <c r="AR16" i="130"/>
  <c r="AS16" i="130"/>
  <c r="AT16" i="130"/>
  <c r="AV16" i="130"/>
  <c r="AW16" i="130"/>
  <c r="AX16" i="130"/>
  <c r="AY16" i="130"/>
  <c r="BA16" i="130"/>
  <c r="BB16" i="130"/>
  <c r="BC16" i="130"/>
  <c r="A17" i="130"/>
  <c r="L17" i="130"/>
  <c r="M17" i="130"/>
  <c r="N17" i="130"/>
  <c r="W17" i="130"/>
  <c r="X17" i="130"/>
  <c r="AJ17" i="130"/>
  <c r="AL17" i="130"/>
  <c r="AN17" i="130"/>
  <c r="AP17" i="130"/>
  <c r="AR17" i="130"/>
  <c r="AS17" i="130"/>
  <c r="AT17" i="130"/>
  <c r="AV17" i="130"/>
  <c r="AW17" i="130"/>
  <c r="AX17" i="130"/>
  <c r="AY17" i="130"/>
  <c r="BA17" i="130"/>
  <c r="BB17" i="130"/>
  <c r="BC17" i="130"/>
  <c r="A18" i="130"/>
  <c r="L18" i="130"/>
  <c r="M18" i="130"/>
  <c r="N18" i="130"/>
  <c r="W18" i="130"/>
  <c r="X18" i="130"/>
  <c r="AJ18" i="130"/>
  <c r="AL18" i="130"/>
  <c r="AN18" i="130"/>
  <c r="AP18" i="130"/>
  <c r="AR18" i="130"/>
  <c r="AS18" i="130"/>
  <c r="AT18" i="130"/>
  <c r="AV18" i="130"/>
  <c r="AW18" i="130"/>
  <c r="AX18" i="130"/>
  <c r="AY18" i="130"/>
  <c r="BA18" i="130"/>
  <c r="BB18" i="130"/>
  <c r="BC18" i="130"/>
  <c r="A19" i="130"/>
  <c r="L19" i="130"/>
  <c r="M19" i="130"/>
  <c r="N19" i="130"/>
  <c r="W19" i="130"/>
  <c r="X19" i="130"/>
  <c r="AJ19" i="130"/>
  <c r="AL19" i="130"/>
  <c r="AN19" i="130"/>
  <c r="AP19" i="130"/>
  <c r="AR19" i="130"/>
  <c r="AS19" i="130"/>
  <c r="AT19" i="130"/>
  <c r="AV19" i="130"/>
  <c r="AW19" i="130"/>
  <c r="AX19" i="130"/>
  <c r="AY19" i="130"/>
  <c r="BA19" i="130"/>
  <c r="BB19" i="130"/>
  <c r="BC19" i="130"/>
  <c r="A20" i="130"/>
  <c r="L20" i="130"/>
  <c r="M20" i="130"/>
  <c r="N20" i="130"/>
  <c r="AJ20" i="130"/>
  <c r="AL20" i="130"/>
  <c r="AN20" i="130"/>
  <c r="AP20" i="130"/>
  <c r="AR20" i="130"/>
  <c r="AS20" i="130"/>
  <c r="AT20" i="130"/>
  <c r="AV20" i="130"/>
  <c r="AW20" i="130"/>
  <c r="AX20" i="130"/>
  <c r="AY20" i="130"/>
  <c r="BA20" i="130"/>
  <c r="BB20" i="130"/>
  <c r="BC20" i="130"/>
  <c r="A21" i="130"/>
  <c r="L21" i="130"/>
  <c r="M21" i="130"/>
  <c r="N21" i="130"/>
  <c r="AJ21" i="130"/>
  <c r="AL21" i="130"/>
  <c r="AN21" i="130"/>
  <c r="AP21" i="130"/>
  <c r="AR21" i="130"/>
  <c r="AS21" i="130"/>
  <c r="AT21" i="130"/>
  <c r="AV21" i="130"/>
  <c r="AW21" i="130"/>
  <c r="AX21" i="130"/>
  <c r="AY21" i="130"/>
  <c r="BA21" i="130"/>
  <c r="BB21" i="130"/>
  <c r="BC21" i="130"/>
  <c r="A22" i="130"/>
  <c r="L22" i="130"/>
  <c r="M22" i="130"/>
  <c r="N22" i="130"/>
  <c r="AJ22" i="130"/>
  <c r="AL22" i="130"/>
  <c r="AN22" i="130"/>
  <c r="AP22" i="130"/>
  <c r="AR22" i="130"/>
  <c r="AS22" i="130"/>
  <c r="AT22" i="130"/>
  <c r="AV22" i="130"/>
  <c r="AW22" i="130"/>
  <c r="AX22" i="130"/>
  <c r="AY22" i="130"/>
  <c r="BA22" i="130"/>
  <c r="BB22" i="130"/>
  <c r="BC22" i="130"/>
  <c r="A23" i="130"/>
  <c r="L23" i="130"/>
  <c r="M23" i="130"/>
  <c r="N23" i="130"/>
  <c r="AJ23" i="130"/>
  <c r="AL23" i="130"/>
  <c r="AN23" i="130"/>
  <c r="AP23" i="130"/>
  <c r="AR23" i="130"/>
  <c r="AS23" i="130"/>
  <c r="AT23" i="130"/>
  <c r="AV23" i="130"/>
  <c r="AW23" i="130"/>
  <c r="AX23" i="130"/>
  <c r="AY23" i="130"/>
  <c r="BA23" i="130"/>
  <c r="BB23" i="130"/>
  <c r="BC23" i="130"/>
  <c r="A24" i="130"/>
  <c r="L24" i="130"/>
  <c r="M24" i="130"/>
  <c r="N24" i="130"/>
  <c r="AJ24" i="130"/>
  <c r="AL24" i="130"/>
  <c r="AN24" i="130"/>
  <c r="AP24" i="130"/>
  <c r="AR24" i="130"/>
  <c r="AS24" i="130"/>
  <c r="AT24" i="130"/>
  <c r="AV24" i="130"/>
  <c r="AW24" i="130"/>
  <c r="AX24" i="130"/>
  <c r="AY24" i="130"/>
  <c r="BA24" i="130"/>
  <c r="BB24" i="130"/>
  <c r="BC24" i="130"/>
  <c r="A25" i="130"/>
  <c r="L25" i="130"/>
  <c r="M25" i="130"/>
  <c r="N25" i="130"/>
  <c r="AJ25" i="130"/>
  <c r="AL25" i="130"/>
  <c r="AN25" i="130"/>
  <c r="AP25" i="130"/>
  <c r="AR25" i="130"/>
  <c r="AS25" i="130"/>
  <c r="AT25" i="130"/>
  <c r="AV25" i="130"/>
  <c r="AW25" i="130"/>
  <c r="AX25" i="130"/>
  <c r="AY25" i="130"/>
  <c r="BA25" i="130"/>
  <c r="BB25" i="130"/>
  <c r="BC25" i="130"/>
  <c r="A26" i="130"/>
  <c r="L26" i="130"/>
  <c r="M26" i="130"/>
  <c r="N26" i="130"/>
  <c r="AJ26" i="130"/>
  <c r="AL26" i="130"/>
  <c r="AN26" i="130"/>
  <c r="AP26" i="130"/>
  <c r="AR26" i="130"/>
  <c r="AS26" i="130"/>
  <c r="AT26" i="130"/>
  <c r="AV26" i="130"/>
  <c r="AW26" i="130"/>
  <c r="AX26" i="130"/>
  <c r="AY26" i="130"/>
  <c r="BA26" i="130"/>
  <c r="BB26" i="130"/>
  <c r="BC26" i="130"/>
  <c r="L27" i="130"/>
  <c r="M27" i="130"/>
  <c r="N27" i="130"/>
  <c r="AJ27" i="130"/>
  <c r="AL27" i="130"/>
  <c r="AN27" i="130"/>
  <c r="AP27" i="130"/>
  <c r="AR27" i="130"/>
  <c r="AS27" i="130"/>
  <c r="AT27" i="130"/>
  <c r="AV27" i="130"/>
  <c r="AW27" i="130"/>
  <c r="AX27" i="130"/>
  <c r="AY27" i="130"/>
  <c r="BA27" i="130"/>
  <c r="BB27" i="130"/>
  <c r="BC27" i="130"/>
  <c r="A28" i="130"/>
  <c r="L28" i="130"/>
  <c r="M28" i="130"/>
  <c r="N28" i="130"/>
  <c r="AJ28" i="130"/>
  <c r="AL28" i="130"/>
  <c r="AN28" i="130"/>
  <c r="AP28" i="130"/>
  <c r="AR28" i="130"/>
  <c r="AS28" i="130"/>
  <c r="AT28" i="130"/>
  <c r="AV28" i="130"/>
  <c r="AW28" i="130"/>
  <c r="AX28" i="130"/>
  <c r="AY28" i="130"/>
  <c r="BA28" i="130"/>
  <c r="BB28" i="130"/>
  <c r="BC28" i="130"/>
  <c r="AE29" i="130"/>
  <c r="AF29" i="130"/>
  <c r="AG29" i="130"/>
  <c r="AH29" i="130"/>
  <c r="AI29" i="130"/>
  <c r="AJ29" i="130"/>
  <c r="AK29" i="130"/>
  <c r="AL29" i="130"/>
  <c r="AM29" i="130"/>
  <c r="AN29" i="130"/>
  <c r="AO29" i="130"/>
  <c r="AQ29" i="130"/>
  <c r="AE30" i="130"/>
  <c r="AF30" i="130"/>
  <c r="AG30" i="130"/>
  <c r="AH30" i="130"/>
  <c r="AI30" i="130"/>
  <c r="AJ30" i="130"/>
  <c r="AK30" i="130"/>
  <c r="AL30" i="130"/>
  <c r="AM30" i="130"/>
  <c r="AN30" i="130"/>
  <c r="AO30" i="130"/>
  <c r="AQ30" i="130"/>
  <c r="AE31" i="130"/>
  <c r="AF31" i="130"/>
  <c r="AG31" i="130"/>
  <c r="AH31" i="130"/>
  <c r="AI31" i="130"/>
  <c r="AJ31" i="130"/>
  <c r="AK31" i="130"/>
  <c r="AL31" i="130"/>
  <c r="AM31" i="130"/>
  <c r="AN31" i="130"/>
  <c r="AO31" i="130"/>
  <c r="AQ31" i="130"/>
  <c r="AE32" i="130"/>
  <c r="AF32" i="130"/>
  <c r="AG32" i="130"/>
  <c r="AH32" i="130"/>
  <c r="AI32" i="130"/>
  <c r="AJ32" i="130"/>
  <c r="AK32" i="130"/>
  <c r="AL32" i="130"/>
  <c r="AM32" i="130"/>
  <c r="AN32" i="130"/>
  <c r="AO32" i="130"/>
  <c r="AQ32" i="130"/>
  <c r="AE33" i="130"/>
  <c r="AF33" i="130"/>
  <c r="AG33" i="130"/>
  <c r="AH33" i="130"/>
  <c r="AI33" i="130"/>
  <c r="AJ33" i="130"/>
  <c r="AK33" i="130"/>
  <c r="AL33" i="130"/>
  <c r="AM33" i="130"/>
  <c r="AN33" i="130"/>
  <c r="AO33" i="130"/>
  <c r="AQ33" i="130"/>
  <c r="AE34" i="130"/>
  <c r="AF34" i="130"/>
  <c r="AG34" i="130"/>
  <c r="AH34" i="130"/>
  <c r="AI34" i="130"/>
  <c r="AJ34" i="130"/>
  <c r="AK34" i="130"/>
  <c r="AL34" i="130"/>
  <c r="AM34" i="130"/>
  <c r="AN34" i="130"/>
  <c r="AO34" i="130"/>
  <c r="AQ34" i="130"/>
  <c r="AE35" i="130"/>
  <c r="AF35" i="130"/>
  <c r="AG35" i="130"/>
  <c r="AH35" i="130"/>
  <c r="AI35" i="130"/>
  <c r="AJ35" i="130"/>
  <c r="AK35" i="130"/>
  <c r="AL35" i="130"/>
  <c r="AM35" i="130"/>
  <c r="AN35" i="130"/>
  <c r="AO35" i="130"/>
  <c r="AQ35" i="130"/>
  <c r="AE36" i="130"/>
  <c r="AF36" i="130"/>
  <c r="AG36" i="130"/>
  <c r="AH36" i="130"/>
  <c r="AI36" i="130"/>
  <c r="AJ36" i="130"/>
  <c r="AK36" i="130"/>
  <c r="AL36" i="130"/>
  <c r="AM36" i="130"/>
  <c r="AN36" i="130"/>
  <c r="AO36" i="130"/>
  <c r="AQ36" i="130"/>
  <c r="AE37" i="130"/>
  <c r="AF37" i="130"/>
  <c r="AG37" i="130"/>
  <c r="AH37" i="130"/>
  <c r="AI37" i="130"/>
  <c r="AJ37" i="130"/>
  <c r="AK37" i="130"/>
  <c r="AL37" i="130"/>
  <c r="AM37" i="130"/>
  <c r="AN37" i="130"/>
  <c r="AO37" i="130"/>
  <c r="AQ37" i="130"/>
  <c r="AE38" i="130"/>
  <c r="AF38" i="130"/>
  <c r="AG38" i="130"/>
  <c r="AH38" i="130"/>
  <c r="AI38" i="130"/>
  <c r="AJ38" i="130"/>
  <c r="AK38" i="130"/>
  <c r="AL38" i="130"/>
  <c r="AM38" i="130"/>
  <c r="AN38" i="130"/>
  <c r="AO38" i="130"/>
  <c r="AQ38" i="130"/>
  <c r="AE39" i="130"/>
  <c r="AF39" i="130"/>
  <c r="AG39" i="130"/>
  <c r="AH39" i="130"/>
  <c r="AI39" i="130"/>
  <c r="AJ39" i="130"/>
  <c r="AK39" i="130"/>
  <c r="AL39" i="130"/>
  <c r="AM39" i="130"/>
  <c r="AN39" i="130"/>
  <c r="AO39" i="130"/>
  <c r="AQ39" i="130"/>
  <c r="AE40" i="130"/>
  <c r="AF40" i="130"/>
  <c r="AG40" i="130"/>
  <c r="AH40" i="130"/>
  <c r="AI40" i="130"/>
  <c r="AJ40" i="130"/>
  <c r="AK40" i="130"/>
  <c r="AL40" i="130"/>
  <c r="AM40" i="130"/>
  <c r="AN40" i="130"/>
  <c r="AO40" i="130"/>
  <c r="AQ40" i="130"/>
  <c r="AE41" i="130"/>
  <c r="AF41" i="130"/>
  <c r="AG41" i="130"/>
  <c r="AH41" i="130"/>
  <c r="AI41" i="130"/>
  <c r="AJ41" i="130"/>
  <c r="AK41" i="130"/>
  <c r="AL41" i="130"/>
  <c r="AM41" i="130"/>
  <c r="AN41" i="130"/>
  <c r="AO41" i="130"/>
  <c r="AQ41" i="130"/>
  <c r="AE42" i="130"/>
  <c r="AF42" i="130"/>
  <c r="AG42" i="130"/>
  <c r="AH42" i="130"/>
  <c r="AI42" i="130"/>
  <c r="AJ42" i="130"/>
  <c r="AK42" i="130"/>
  <c r="AL42" i="130"/>
  <c r="AM42" i="130"/>
  <c r="AN42" i="130"/>
  <c r="AO42" i="130"/>
  <c r="AQ42" i="130"/>
  <c r="AI43" i="130"/>
  <c r="AM43" i="130"/>
  <c r="AO43" i="130"/>
  <c r="AI44" i="130"/>
  <c r="AM44" i="130"/>
  <c r="AO44" i="130"/>
  <c r="AG45" i="130"/>
  <c r="AI45" i="130"/>
  <c r="AM45" i="130"/>
  <c r="AO45" i="130"/>
  <c r="AI46" i="130"/>
  <c r="AM46" i="130"/>
  <c r="AO46" i="130"/>
  <c r="AI47" i="130"/>
  <c r="AM47" i="130"/>
  <c r="AO47" i="130"/>
  <c r="AG48" i="130"/>
  <c r="AI48" i="130"/>
  <c r="AM48" i="130"/>
  <c r="AO48" i="130"/>
  <c r="AI49" i="130"/>
  <c r="AM49" i="130"/>
  <c r="AO49" i="130"/>
  <c r="AI50" i="130"/>
  <c r="AM50" i="130"/>
  <c r="AO50" i="130"/>
  <c r="AG51" i="130"/>
  <c r="AI51" i="130"/>
  <c r="AM51" i="130"/>
  <c r="AO51" i="130"/>
  <c r="AI52" i="130"/>
  <c r="AM52" i="130"/>
  <c r="AO52" i="130"/>
  <c r="AI53" i="130"/>
  <c r="AM53" i="130"/>
  <c r="AO53" i="130"/>
  <c r="AG54" i="130"/>
  <c r="AI54" i="130"/>
  <c r="AM54" i="130"/>
  <c r="AO54" i="130"/>
  <c r="AG55" i="130"/>
  <c r="AI55" i="130"/>
  <c r="AM55" i="130"/>
  <c r="AO55" i="130"/>
  <c r="AG56" i="130"/>
  <c r="AI56" i="130"/>
  <c r="AM56" i="130"/>
  <c r="AO56" i="130"/>
  <c r="AE57" i="130"/>
  <c r="AI57" i="130"/>
  <c r="AJ57" i="130"/>
  <c r="AK57" i="130"/>
  <c r="AL57" i="130"/>
  <c r="AM57" i="130"/>
  <c r="AN57" i="130"/>
  <c r="AO57" i="130"/>
  <c r="AE58" i="130"/>
  <c r="AI58" i="130"/>
  <c r="AJ58" i="130"/>
  <c r="AK58" i="130"/>
  <c r="AL58" i="130"/>
  <c r="AM58" i="130"/>
  <c r="AN58" i="130"/>
  <c r="AO58" i="130"/>
  <c r="AE59" i="130"/>
  <c r="AI59" i="130"/>
  <c r="AJ59" i="130"/>
  <c r="AK59" i="130"/>
  <c r="AL59" i="130"/>
  <c r="AM59" i="130"/>
  <c r="AN59" i="130"/>
  <c r="AO59" i="130"/>
  <c r="AE60" i="130"/>
  <c r="AI60" i="130"/>
  <c r="AJ60" i="130"/>
  <c r="AK60" i="130"/>
  <c r="AL60" i="130"/>
  <c r="AM60" i="130"/>
  <c r="AN60" i="130"/>
  <c r="AO60" i="130"/>
  <c r="AE61" i="130"/>
  <c r="AI61" i="130"/>
  <c r="AJ61" i="130"/>
  <c r="AK61" i="130"/>
  <c r="AL61" i="130"/>
  <c r="AM61" i="130"/>
  <c r="AN61" i="130"/>
  <c r="AO61" i="130"/>
  <c r="AE62" i="130"/>
  <c r="AI62" i="130"/>
  <c r="AJ62" i="130"/>
  <c r="AK62" i="130"/>
  <c r="AL62" i="130"/>
  <c r="AM62" i="130"/>
  <c r="AN62" i="130"/>
  <c r="AO62" i="130"/>
  <c r="AE63" i="130"/>
  <c r="AI63" i="130"/>
  <c r="AJ63" i="130"/>
  <c r="AK63" i="130"/>
  <c r="AL63" i="130"/>
  <c r="AM63" i="130"/>
  <c r="AN63" i="130"/>
  <c r="AO63" i="130"/>
  <c r="AE64" i="130"/>
  <c r="AI64" i="130"/>
  <c r="AJ64" i="130"/>
  <c r="AK64" i="130"/>
  <c r="AL64" i="130"/>
  <c r="AM64" i="130"/>
  <c r="AN64" i="130"/>
  <c r="AO64" i="130"/>
  <c r="AE65" i="130"/>
  <c r="AI65" i="130"/>
  <c r="AJ65" i="130"/>
  <c r="AK65" i="130"/>
  <c r="AL65" i="130"/>
  <c r="AM65" i="130"/>
  <c r="AN65" i="130"/>
  <c r="AO65" i="130"/>
  <c r="AE66" i="130"/>
  <c r="AI66" i="130"/>
  <c r="AJ66" i="130"/>
  <c r="AK66" i="130"/>
  <c r="AL66" i="130"/>
  <c r="AM66" i="130"/>
  <c r="AN66" i="130"/>
  <c r="AO66" i="130"/>
  <c r="AE67" i="130"/>
  <c r="AI67" i="130"/>
  <c r="AJ67" i="130"/>
  <c r="AK67" i="130"/>
  <c r="AL67" i="130"/>
  <c r="AM67" i="130"/>
  <c r="AN67" i="130"/>
  <c r="AO67" i="130"/>
  <c r="AE68" i="130"/>
  <c r="AI68" i="130"/>
  <c r="AJ68" i="130"/>
  <c r="AK68" i="130"/>
  <c r="AL68" i="130"/>
  <c r="AM68" i="130"/>
  <c r="AN68" i="130"/>
  <c r="AO68" i="130"/>
  <c r="AE69" i="130"/>
  <c r="AI69" i="130"/>
  <c r="AJ69" i="130"/>
  <c r="AK69" i="130"/>
  <c r="AL69" i="130"/>
  <c r="AM69" i="130"/>
  <c r="AN69" i="130"/>
  <c r="AO69" i="130"/>
  <c r="AE70" i="130"/>
  <c r="AI70" i="130"/>
  <c r="AJ70" i="130"/>
  <c r="AK70" i="130"/>
  <c r="AL70" i="130"/>
  <c r="AM70" i="130"/>
  <c r="AN70" i="130"/>
  <c r="AO70" i="130"/>
  <c r="AE87" i="130"/>
  <c r="AF87" i="130"/>
  <c r="AG87" i="130"/>
  <c r="AH87" i="130"/>
  <c r="AI87" i="130"/>
  <c r="AJ87" i="130"/>
  <c r="AK87" i="130"/>
  <c r="AL87" i="130"/>
  <c r="AM87" i="130"/>
  <c r="AN87" i="130"/>
  <c r="AO87" i="130"/>
  <c r="AP87" i="130"/>
  <c r="AQ87" i="130"/>
  <c r="AR87" i="130"/>
  <c r="AS87" i="130"/>
  <c r="AT87" i="130"/>
  <c r="AU87" i="130"/>
  <c r="AV87" i="130"/>
  <c r="AW87" i="130"/>
  <c r="AX87" i="130"/>
  <c r="AZ87" i="130"/>
  <c r="AE88" i="130"/>
  <c r="AF88" i="130"/>
  <c r="AG88" i="130"/>
  <c r="AH88" i="130"/>
  <c r="AI88" i="130"/>
  <c r="AJ88" i="130"/>
  <c r="AK88" i="130"/>
  <c r="AL88" i="130"/>
  <c r="AM88" i="130"/>
  <c r="AN88" i="130"/>
  <c r="AO88" i="130"/>
  <c r="AP88" i="130"/>
  <c r="AQ88" i="130"/>
  <c r="AR88" i="130"/>
  <c r="AS88" i="130"/>
  <c r="AT88" i="130"/>
  <c r="AU88" i="130"/>
  <c r="AV88" i="130"/>
  <c r="AW88" i="130"/>
  <c r="AX88" i="130"/>
  <c r="AZ88" i="130"/>
  <c r="AE89" i="130"/>
  <c r="AF89" i="130"/>
  <c r="AG89" i="130"/>
  <c r="AH89" i="130"/>
  <c r="AI89" i="130"/>
  <c r="AJ89" i="130"/>
  <c r="AK89" i="130"/>
  <c r="AL89" i="130"/>
  <c r="AM89" i="130"/>
  <c r="AN89" i="130"/>
  <c r="AO89" i="130"/>
  <c r="AP89" i="130"/>
  <c r="AQ89" i="130"/>
  <c r="AR89" i="130"/>
  <c r="AS89" i="130"/>
  <c r="AT89" i="130"/>
  <c r="AU89" i="130"/>
  <c r="AV89" i="130"/>
  <c r="AW89" i="130"/>
  <c r="AX89" i="130"/>
  <c r="AZ89" i="130"/>
  <c r="AE90" i="130"/>
  <c r="AF90" i="130"/>
  <c r="AG90" i="130"/>
  <c r="AH90" i="130"/>
  <c r="AI90" i="130"/>
  <c r="AJ90" i="130"/>
  <c r="AK90" i="130"/>
  <c r="AL90" i="130"/>
  <c r="AM90" i="130"/>
  <c r="AN90" i="130"/>
  <c r="AO90" i="130"/>
  <c r="AP90" i="130"/>
  <c r="AQ90" i="130"/>
  <c r="AR90" i="130"/>
  <c r="AS90" i="130"/>
  <c r="AT90" i="130"/>
  <c r="AU90" i="130"/>
  <c r="AV90" i="130"/>
  <c r="AW90" i="130"/>
  <c r="AX90" i="130"/>
  <c r="AZ90" i="130"/>
  <c r="AE91" i="130"/>
  <c r="AF91" i="130"/>
  <c r="AG91" i="130"/>
  <c r="AH91" i="130"/>
  <c r="AI91" i="130"/>
  <c r="AJ91" i="130"/>
  <c r="AK91" i="130"/>
  <c r="AL91" i="130"/>
  <c r="AM91" i="130"/>
  <c r="AN91" i="130"/>
  <c r="AO91" i="130"/>
  <c r="AP91" i="130"/>
  <c r="AQ91" i="130"/>
  <c r="AR91" i="130"/>
  <c r="AS91" i="130"/>
  <c r="AT91" i="130"/>
  <c r="AU91" i="130"/>
  <c r="AV91" i="130"/>
  <c r="AW91" i="130"/>
  <c r="AX91" i="130"/>
  <c r="AZ91" i="130"/>
  <c r="AE92" i="130"/>
  <c r="AF92" i="130"/>
  <c r="AG92" i="130"/>
  <c r="AH92" i="130"/>
  <c r="AI92" i="130"/>
  <c r="AJ92" i="130"/>
  <c r="AK92" i="130"/>
  <c r="AL92" i="130"/>
  <c r="AM92" i="130"/>
  <c r="AN92" i="130"/>
  <c r="AO92" i="130"/>
  <c r="AP92" i="130"/>
  <c r="AQ92" i="130"/>
  <c r="AR92" i="130"/>
  <c r="AS92" i="130"/>
  <c r="AT92" i="130"/>
  <c r="AU92" i="130"/>
  <c r="AV92" i="130"/>
  <c r="AW92" i="130"/>
  <c r="AX92" i="130"/>
  <c r="AZ92" i="130"/>
  <c r="AE93" i="130"/>
  <c r="AF93" i="130"/>
  <c r="AG93" i="130"/>
  <c r="AH93" i="130"/>
  <c r="AI93" i="130"/>
  <c r="AJ93" i="130"/>
  <c r="AK93" i="130"/>
  <c r="AL93" i="130"/>
  <c r="AM93" i="130"/>
  <c r="AN93" i="130"/>
  <c r="AO93" i="130"/>
  <c r="AP93" i="130"/>
  <c r="AQ93" i="130"/>
  <c r="AR93" i="130"/>
  <c r="AS93" i="130"/>
  <c r="AT93" i="130"/>
  <c r="AU93" i="130"/>
  <c r="AV93" i="130"/>
  <c r="AW93" i="130"/>
  <c r="AX93" i="130"/>
  <c r="AZ93" i="130"/>
  <c r="AE94" i="130"/>
  <c r="AF94" i="130"/>
  <c r="AG94" i="130"/>
  <c r="AH94" i="130"/>
  <c r="AI94" i="130"/>
  <c r="AJ94" i="130"/>
  <c r="AK94" i="130"/>
  <c r="AL94" i="130"/>
  <c r="AM94" i="130"/>
  <c r="AN94" i="130"/>
  <c r="AO94" i="130"/>
  <c r="AP94" i="130"/>
  <c r="AQ94" i="130"/>
  <c r="AR94" i="130"/>
  <c r="AS94" i="130"/>
  <c r="AT94" i="130"/>
  <c r="AU94" i="130"/>
  <c r="AV94" i="130"/>
  <c r="AW94" i="130"/>
  <c r="AX94" i="130"/>
  <c r="AZ94" i="130"/>
  <c r="AE95" i="130"/>
  <c r="AF95" i="130"/>
  <c r="AG95" i="130"/>
  <c r="AH95" i="130"/>
  <c r="AI95" i="130"/>
  <c r="AJ95" i="130"/>
  <c r="AK95" i="130"/>
  <c r="AL95" i="130"/>
  <c r="AM95" i="130"/>
  <c r="AN95" i="130"/>
  <c r="AO95" i="130"/>
  <c r="AP95" i="130"/>
  <c r="AQ95" i="130"/>
  <c r="AR95" i="130"/>
  <c r="AS95" i="130"/>
  <c r="AT95" i="130"/>
  <c r="AU95" i="130"/>
  <c r="AV95" i="130"/>
  <c r="AW95" i="130"/>
  <c r="AX95" i="130"/>
  <c r="AZ95" i="130"/>
  <c r="AE96" i="130"/>
  <c r="AF96" i="130"/>
  <c r="AG96" i="130"/>
  <c r="AH96" i="130"/>
  <c r="AI96" i="130"/>
  <c r="AJ96" i="130"/>
  <c r="AK96" i="130"/>
  <c r="AL96" i="130"/>
  <c r="AM96" i="130"/>
  <c r="AN96" i="130"/>
  <c r="AO96" i="130"/>
  <c r="AP96" i="130"/>
  <c r="AQ96" i="130"/>
  <c r="AR96" i="130"/>
  <c r="AS96" i="130"/>
  <c r="AT96" i="130"/>
  <c r="AU96" i="130"/>
  <c r="AV96" i="130"/>
  <c r="AW96" i="130"/>
  <c r="AX96" i="130"/>
  <c r="AZ96" i="130"/>
  <c r="AE97" i="130"/>
  <c r="AF97" i="130"/>
  <c r="AG97" i="130"/>
  <c r="AH97" i="130"/>
  <c r="AI97" i="130"/>
  <c r="AJ97" i="130"/>
  <c r="AK97" i="130"/>
  <c r="AL97" i="130"/>
  <c r="AM97" i="130"/>
  <c r="AN97" i="130"/>
  <c r="AO97" i="130"/>
  <c r="AP97" i="130"/>
  <c r="AQ97" i="130"/>
  <c r="AR97" i="130"/>
  <c r="AS97" i="130"/>
  <c r="AT97" i="130"/>
  <c r="AU97" i="130"/>
  <c r="AV97" i="130"/>
  <c r="AW97" i="130"/>
  <c r="AX97" i="130"/>
  <c r="AZ97" i="130"/>
  <c r="AE98" i="130"/>
  <c r="AF98" i="130"/>
  <c r="AG98" i="130"/>
  <c r="AH98" i="130"/>
  <c r="AI98" i="130"/>
  <c r="AJ98" i="130"/>
  <c r="AK98" i="130"/>
  <c r="AL98" i="130"/>
  <c r="AM98" i="130"/>
  <c r="AN98" i="130"/>
  <c r="AO98" i="130"/>
  <c r="AP98" i="130"/>
  <c r="AQ98" i="130"/>
  <c r="AR98" i="130"/>
  <c r="AS98" i="130"/>
  <c r="AT98" i="130"/>
  <c r="AU98" i="130"/>
  <c r="AV98" i="130"/>
  <c r="AW98" i="130"/>
  <c r="AX98" i="130"/>
  <c r="AZ98" i="130"/>
  <c r="AE99" i="130"/>
  <c r="AF99" i="130"/>
  <c r="AG99" i="130"/>
  <c r="AH99" i="130"/>
  <c r="AI99" i="130"/>
  <c r="AJ99" i="130"/>
  <c r="AK99" i="130"/>
  <c r="AL99" i="130"/>
  <c r="AM99" i="130"/>
  <c r="AN99" i="130"/>
  <c r="AO99" i="130"/>
  <c r="AP99" i="130"/>
  <c r="AQ99" i="130"/>
  <c r="AU99" i="130"/>
  <c r="AV99" i="130"/>
  <c r="AW99" i="130"/>
  <c r="AE100" i="130"/>
  <c r="AF100" i="130"/>
  <c r="AG100" i="130"/>
  <c r="AH100" i="130"/>
  <c r="AI100" i="130"/>
  <c r="AJ100" i="130"/>
  <c r="AK100" i="130"/>
  <c r="AL100" i="130"/>
  <c r="AM100" i="130"/>
  <c r="AN100" i="130"/>
  <c r="AO100" i="130"/>
  <c r="AP100" i="130"/>
  <c r="AQ100" i="130"/>
  <c r="AU100" i="130"/>
  <c r="AV100" i="130"/>
  <c r="AW100" i="130"/>
</calcChain>
</file>

<file path=xl/sharedStrings.xml><?xml version="1.0" encoding="utf-8"?>
<sst xmlns="http://schemas.openxmlformats.org/spreadsheetml/2006/main" count="592" uniqueCount="95">
  <si>
    <t>-</t>
  </si>
  <si>
    <t>Yok</t>
  </si>
  <si>
    <t>Doğal Afet Yardımı</t>
  </si>
  <si>
    <t>Kıdem Yardımı</t>
  </si>
  <si>
    <t>SGK Prim Kesintisi</t>
  </si>
  <si>
    <t>SGK İşsizlik Primi Kesintisi</t>
  </si>
  <si>
    <t>Yemek Yardımı</t>
  </si>
  <si>
    <t>Sosyal Yardım</t>
  </si>
  <si>
    <t>Evlilik Yardımı</t>
  </si>
  <si>
    <t>Var</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</si>
  <si>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</si>
  <si>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</si>
  <si>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</si>
  <si>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</si>
  <si>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</si>
  <si>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</si>
  <si>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</si>
  <si>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</si>
  <si>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</si>
  <si>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</si>
  <si>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</si>
  <si>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</si>
  <si>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</si>
  <si>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İş Kazası veya Meslek Hastalığı Tazminatı</t>
  </si>
  <si>
    <t>Nakdi Yardımlar</t>
  </si>
  <si>
    <t>Sendika Üyelik Aidatı Kesintisi</t>
  </si>
  <si>
    <t>Gıda Yardımı</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</si>
  <si>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</si>
  <si>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</si>
  <si>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</si>
  <si>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</si>
  <si>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</si>
  <si>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</si>
  <si>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</si>
  <si>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</si>
  <si>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</si>
  <si>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</si>
  <si>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</si>
  <si>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</si>
  <si>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6 iş günü ücretli sosyal izin verilir.
b) İşçilere, gerekli ve geçerli mazeretleri hâlinde işverenin takdirine bağlı olarak yılda 6 aya kadar ücretsiz sosyal izin verilebilir. Genel müdürün uygun görmesi hâlinde 12 aya kadar uzatılabilir.</t>
  </si>
  <si>
    <t>Askerlik Yardımı</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</si>
  <si>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5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</si>
  <si>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 xml:space="preserve">   Kıdem Yardımı</t>
  </si>
  <si>
    <t xml:space="preserve">   Yemek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</si>
  <si>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</si>
  <si>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</si>
  <si>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</si>
  <si>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</si>
  <si>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</si>
  <si>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</si>
  <si>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</si>
  <si>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</si>
  <si>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</si>
  <si>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</si>
  <si>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</si>
  <si>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</si>
  <si>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</si>
  <si>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r>
      <t xml:space="preserve">   Sonraki Ayın 1'inde
   </t>
    </r>
    <r>
      <rPr>
        <b/>
        <sz val="16"/>
        <rFont val="Calibri"/>
        <family val="2"/>
        <charset val="162"/>
        <scheme val="minor"/>
      </rPr>
      <t>Net</t>
    </r>
  </si>
  <si>
    <t>a) 3 yaşını doldurmamış çocuğu evlat edinen eşlerden birine veya evlat edinene çocuğun aileye fiilen teslim edildiği tarihten itibaren 8 hafta analık hâli izni kullandırılır.
(4857 sayılı İş Kanunu / Madde 74)</t>
  </si>
  <si>
    <t>Miktar</t>
  </si>
  <si>
    <t>a) Hizmeti 6 ay olanlar için 15 iş günü ücretli yıllık izin verilir.
Hizmeti 1-5 yıl olanlar için 30 iş günü ücretli yıllık izin verilir.
Hizmeti 5-10 yıl olanlar için 30 iş günü ücretli yıllık izin verilir.
Hizmeti 10-15 yıl olanlar için 30 iş günü ücretli yıllık izin verilir.
Hizmeti 15 yıldan fazla olanlar için 30 iş günü ücretli yıllık izin verilir.
b) Aynı işveren emrinde veya aynı gemide bir takvim yılı içinde bir veya birkaç hizmet aktine dayanarak en az altı ay çalışmış olan gemiadamı, yıllık ücretli izine hak kazanır.
İzin süresi, altı aydan bir yıla kadar hizmeti olan gemiadamları için 15 günden ve bir yıl ve daha fazla hizmeti olanlar için yılda bir aydan az olamaz.
İzin işverenin uygun göreceği bir zamanda kullanılır. Bu haktan feragat edilemez.
Bir aylık izin, tarafların rızasiyle aynı yıl içinde kullanılmak suretiyle ikiye bölünebilir.
Gemiadamı, yıllık ücretli iznini yabancı bir memleket limanında veya hizmet aktinin yapılmış bulunduğu mahalden gayri bir yerde kullanmaya zorlanamaz.
Gemiadamı, dilerse, işveren veya işveren vekilinden ücretli izne ilişkin olarak 7 güne kadar ücretsiz yol izni de istiyebilir.
Gemiadamının hakettiği yıllık ücretli izni kullanmadan hizmet akti 14 üncü maddenin II, III ve IV üncü bentlerine göre bozulursa, işveren veya işveren vekili izin süresine ait ücreti, gemiadamına ödemek zorundadır.
(854 sayılı Deniz İş Kanunu / Madde 40)</t>
  </si>
  <si>
    <t>a) Gemiadamı, dilerse, işveren veya işveren vekilinden ücretli izne ilişkin olarak 7 güne kadar ücretsiz yol izni de isteyebilir.
(854 sayılı Deniz İş Kanunu / Madde 40)</t>
  </si>
  <si>
    <t xml:space="preserve">   BES Kesintisi</t>
  </si>
  <si>
    <t>Toplam</t>
  </si>
  <si>
    <t>Ortalama</t>
  </si>
  <si>
    <r>
      <t xml:space="preserve">   Fazla Çalışma
   </t>
    </r>
    <r>
      <rPr>
        <b/>
        <sz val="16"/>
        <rFont val="Calibri"/>
        <family val="2"/>
        <charset val="162"/>
        <scheme val="minor"/>
      </rPr>
      <t>% 40</t>
    </r>
  </si>
  <si>
    <r>
      <t xml:space="preserve">   Resmi Tatillerde Çalışma
</t>
    </r>
    <r>
      <rPr>
        <b/>
        <sz val="16"/>
        <rFont val="Calibri"/>
        <family val="2"/>
        <charset val="162"/>
        <scheme val="minor"/>
      </rPr>
      <t xml:space="preserve">   % 100</t>
    </r>
  </si>
  <si>
    <r>
      <t xml:space="preserve">   Sonraki Ayın 15'inde
   Fazla Çalışma (Gündüz-Gece-Resmi Tatil)
   Yemek Yardımı
   </t>
    </r>
    <r>
      <rPr>
        <b/>
        <sz val="16"/>
        <rFont val="Calibri"/>
        <family val="2"/>
        <charset val="162"/>
        <scheme val="minor"/>
      </rPr>
      <t>Net</t>
    </r>
  </si>
  <si>
    <t>Fazla Çalışma (% 40)</t>
  </si>
  <si>
    <t>Resmi Tatillerde Çalışma (% 100)</t>
  </si>
  <si>
    <t>Yıllık Ortalama</t>
  </si>
  <si>
    <t>Görev Primi</t>
  </si>
  <si>
    <t>Deniz Taksi / Kaptan</t>
  </si>
  <si>
    <t>Deniz Taksi / Gemici</t>
  </si>
  <si>
    <r>
      <t xml:space="preserve">Ocak &gt; Şubat
</t>
    </r>
    <r>
      <rPr>
        <b/>
        <sz val="20"/>
        <color rgb="FFFF0000"/>
        <rFont val="Calibri"/>
        <family val="2"/>
        <charset val="162"/>
        <scheme val="minor"/>
      </rPr>
      <t>(Resmi)</t>
    </r>
  </si>
  <si>
    <r>
      <t xml:space="preserve">Eylül &gt; Aralık
</t>
    </r>
    <r>
      <rPr>
        <b/>
        <sz val="20"/>
        <color rgb="FFFF0000"/>
        <rFont val="Calibri"/>
        <family val="2"/>
        <charset val="162"/>
        <scheme val="minor"/>
      </rPr>
      <t>+%15 Zam (Tahmini)</t>
    </r>
  </si>
  <si>
    <t>Ocak</t>
  </si>
  <si>
    <t>Şubat</t>
  </si>
  <si>
    <t>Mart</t>
  </si>
  <si>
    <t>Nisan</t>
  </si>
  <si>
    <t>Mayıs</t>
  </si>
  <si>
    <t>Haziran</t>
  </si>
  <si>
    <t>Temmuz</t>
  </si>
  <si>
    <t>Ağustos</t>
  </si>
  <si>
    <t>Eylül</t>
  </si>
  <si>
    <t>Ekim</t>
  </si>
  <si>
    <t>Kasım</t>
  </si>
  <si>
    <t>Aralık</t>
  </si>
  <si>
    <r>
      <t xml:space="preserve">Mart &gt; Ağustos
</t>
    </r>
    <r>
      <rPr>
        <b/>
        <sz val="20"/>
        <color rgb="FFFF0000"/>
        <rFont val="Calibri"/>
        <family val="2"/>
        <charset val="162"/>
        <scheme val="minor"/>
      </rPr>
      <t>(Resmi)</t>
    </r>
  </si>
  <si>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</si>
  <si>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</si>
  <si>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</si>
  <si>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</si>
  <si>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</si>
  <si>
    <r>
      <t xml:space="preserve">a) İşyerinde işçi sayısı 50’ye kadar ise yıllık en fazla 20 iş günü ücretli izin verilir.
İşyerinde işçi sayısı 51 ile 100 arasında ise yıllık en fazla 30 iş günü ücretli izin verilir.
İşyerinde işçi sayısı 101 ile 200 arasında ise yıllık en fazla 40 iş günü ücretli izin verilir.
İşyerinde işçi sayısı 201 ile 500 arasında ise yıllık en fazla 60 iş günü ücretli izin verilir.
İşyerinde işçi sayısı 501 ile 1000 arasında ise yıllık en fazla 80 iş günü ücretli izin verilir.
İşyerinde işçi sayısı 1000 işçiden fazla ise yıllık en fazla işçi sayısının % 10'u kadar iş günü ücretli sendikal izin verilir.
(6. Dönem Toplu İş Sözleşmesi / Madde 36)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t>
    </r>
    <r>
      <rPr>
        <b/>
        <sz val="16"/>
        <color theme="0"/>
        <rFont val="Calibri"/>
        <family val="2"/>
        <charset val="162"/>
        <scheme val="minor"/>
      </rPr>
      <t>50’ye kadar ise 1</t>
    </r>
    <r>
      <rPr>
        <sz val="16"/>
        <color theme="0"/>
        <rFont val="Calibri"/>
        <family val="2"/>
        <charset val="162"/>
        <scheme val="minor"/>
      </rPr>
      <t xml:space="preserve">,
</t>
    </r>
    <r>
      <rPr>
        <b/>
        <sz val="16"/>
        <color theme="0"/>
        <rFont val="Calibri"/>
        <family val="2"/>
        <charset val="162"/>
        <scheme val="minor"/>
      </rPr>
      <t>51 ile 100 arasında</t>
    </r>
    <r>
      <rPr>
        <sz val="16"/>
        <color theme="0"/>
        <rFont val="Calibri"/>
        <family val="2"/>
        <charset val="162"/>
        <scheme val="minor"/>
      </rPr>
      <t xml:space="preserve"> ise </t>
    </r>
    <r>
      <rPr>
        <b/>
        <sz val="16"/>
        <color theme="0"/>
        <rFont val="Calibri"/>
        <family val="2"/>
        <charset val="162"/>
        <scheme val="minor"/>
      </rPr>
      <t>en çok 2</t>
    </r>
    <r>
      <rPr>
        <sz val="16"/>
        <color theme="0"/>
        <rFont val="Calibri"/>
        <family val="2"/>
        <charset val="162"/>
        <scheme val="minor"/>
      </rPr>
      <t xml:space="preserve">,
</t>
    </r>
    <r>
      <rPr>
        <b/>
        <sz val="16"/>
        <color theme="0"/>
        <rFont val="Calibri"/>
        <family val="2"/>
        <charset val="162"/>
        <scheme val="minor"/>
      </rPr>
      <t>101 ile 500 arasında</t>
    </r>
    <r>
      <rPr>
        <sz val="16"/>
        <color theme="0"/>
        <rFont val="Calibri"/>
        <family val="2"/>
        <charset val="162"/>
        <scheme val="minor"/>
      </rPr>
      <t xml:space="preserve"> ise </t>
    </r>
    <r>
      <rPr>
        <b/>
        <sz val="16"/>
        <color theme="0"/>
        <rFont val="Calibri"/>
        <family val="2"/>
        <charset val="162"/>
        <scheme val="minor"/>
      </rPr>
      <t>en çok 3</t>
    </r>
    <r>
      <rPr>
        <sz val="16"/>
        <color theme="0"/>
        <rFont val="Calibri"/>
        <family val="2"/>
        <charset val="162"/>
        <scheme val="minor"/>
      </rPr>
      <t xml:space="preserve">,
</t>
    </r>
    <r>
      <rPr>
        <b/>
        <sz val="16"/>
        <color theme="0"/>
        <rFont val="Calibri"/>
        <family val="2"/>
        <charset val="162"/>
        <scheme val="minor"/>
      </rPr>
      <t>501 ile 1000 arasında</t>
    </r>
    <r>
      <rPr>
        <sz val="16"/>
        <color theme="0"/>
        <rFont val="Calibri"/>
        <family val="2"/>
        <charset val="162"/>
        <scheme val="minor"/>
      </rPr>
      <t xml:space="preserve"> ise </t>
    </r>
    <r>
      <rPr>
        <b/>
        <sz val="16"/>
        <color theme="0"/>
        <rFont val="Calibri"/>
        <family val="2"/>
        <charset val="162"/>
        <scheme val="minor"/>
      </rPr>
      <t>en çok 4</t>
    </r>
    <r>
      <rPr>
        <sz val="16"/>
        <color theme="0"/>
        <rFont val="Calibri"/>
        <family val="2"/>
        <charset val="162"/>
        <scheme val="minor"/>
      </rPr>
      <t xml:space="preserve">,
</t>
    </r>
    <r>
      <rPr>
        <b/>
        <sz val="16"/>
        <color theme="0"/>
        <rFont val="Calibri"/>
        <family val="2"/>
        <charset val="162"/>
        <scheme val="minor"/>
      </rPr>
      <t>1001 ile 2000 arasında</t>
    </r>
    <r>
      <rPr>
        <sz val="16"/>
        <color theme="0"/>
        <rFont val="Calibri"/>
        <family val="2"/>
        <charset val="162"/>
        <scheme val="minor"/>
      </rPr>
      <t xml:space="preserve"> ise </t>
    </r>
    <r>
      <rPr>
        <b/>
        <sz val="16"/>
        <color theme="0"/>
        <rFont val="Calibri"/>
        <family val="2"/>
        <charset val="162"/>
        <scheme val="minor"/>
      </rPr>
      <t>en çok 6</t>
    </r>
    <r>
      <rPr>
        <sz val="16"/>
        <color theme="0"/>
        <rFont val="Calibri"/>
        <family val="2"/>
        <charset val="162"/>
        <scheme val="minor"/>
      </rPr>
      <t xml:space="preserve">,
</t>
    </r>
    <r>
      <rPr>
        <b/>
        <sz val="16"/>
        <color theme="0"/>
        <rFont val="Calibri"/>
        <family val="2"/>
        <charset val="162"/>
        <scheme val="minor"/>
      </rPr>
      <t>2000’den fazla</t>
    </r>
    <r>
      <rPr>
        <sz val="16"/>
        <color theme="0"/>
        <rFont val="Calibri"/>
        <family val="2"/>
        <charset val="162"/>
        <scheme val="minor"/>
      </rPr>
      <t xml:space="preserve"> ise </t>
    </r>
    <r>
      <rPr>
        <b/>
        <sz val="16"/>
        <color theme="0"/>
        <rFont val="Calibri"/>
        <family val="2"/>
        <charset val="162"/>
        <scheme val="minor"/>
      </rPr>
      <t>en çok 8</t>
    </r>
    <r>
      <rPr>
        <sz val="16"/>
        <color theme="0"/>
        <rFont val="Calibri"/>
        <family val="2"/>
        <charset val="162"/>
        <scheme val="minor"/>
      </rPr>
      <t xml:space="preserve"> işyeri sendika temsilcisini işyerinde çalışan üyeleri arasından atayarak </t>
    </r>
    <r>
      <rPr>
        <b/>
        <sz val="16"/>
        <color theme="0"/>
        <rFont val="Calibri"/>
        <family val="2"/>
        <charset val="162"/>
        <scheme val="minor"/>
      </rPr>
      <t>15 gün içinde</t>
    </r>
    <r>
      <rPr>
        <sz val="16"/>
        <color theme="0"/>
        <rFont val="Calibri"/>
        <family val="2"/>
        <charset val="162"/>
        <scheme val="minor"/>
      </rPr>
      <t xml:space="preserve"> kimliklerini işverene bildirir. Bunlardan </t>
    </r>
    <r>
      <rPr>
        <b/>
        <sz val="16"/>
        <color theme="0"/>
        <rFont val="Calibri"/>
        <family val="2"/>
        <charset val="162"/>
        <scheme val="minor"/>
      </rPr>
      <t>biri baş temsilci</t>
    </r>
    <r>
      <rPr>
        <sz val="16"/>
        <color theme="0"/>
        <rFont val="Calibri"/>
        <family val="2"/>
        <charset val="162"/>
        <scheme val="minor"/>
      </rPr>
      <t xml:space="preserve"> olarak görevlendirilebilir. Temsilcilerin görevi, sendikanın yetkisi süresince devam eder.
(6356 sayılı Sendikalar ve Toplu İş Sözleşmesi Kanunu / Madde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</si>
</sst>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 &quot;Gün&quot;"/>
    <numFmt numFmtId="167" formatCode="#,##0.00\ &quot;₺&quot;"/>
    <numFmt numFmtId="168" formatCode="0.000000"/>
    <numFmt numFmtId="169" formatCode="%\ 0"/>
    <numFmt numFmtId="170" formatCode="%\ 0.00"/>
    <numFmt numFmtId="172" formatCode="0.0000000"/>
    <numFmt numFmtId="173" formatCode="0.0"/>
  </numFmts>
  <fonts count="15"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sz val="15"/>
      <name val="Calibri"/>
      <family val="2"/>
      <charset val="162"/>
      <scheme val="minor"/>
    </font>
    <font>
      <b/>
      <sz val="22"/>
      <name val="Calibri"/>
      <family val="2"/>
      <charset val="162"/>
      <scheme val="minor"/>
    </font>
    <font>
      <b/>
      <sz val="22"/>
      <color rgb="FFFF0000"/>
      <name val="Calibri"/>
      <family val="2"/>
      <charset val="162"/>
      <scheme val="minor"/>
    </font>
    <font>
      <b/>
      <sz val="20"/>
      <color rgb="FFFF0000"/>
      <name val="Calibri"/>
      <family val="2"/>
      <charset val="162"/>
      <scheme val="minor"/>
    </font>
    <font>
      <sz val="16"/>
      <color theme="0"/>
      <name val="Calibri"/>
      <family val="2"/>
      <charset val="162"/>
      <scheme val="minor"/>
    </font>
    <font>
      <b/>
      <sz val="16"/>
      <color theme="0"/>
      <name val="Calibri"/>
      <family val="2"/>
      <charset val="162"/>
      <scheme val="minor"/>
    </font>
  </fonts>
  <fills count="7">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87">
    <xf numFmtId="0" fontId="0" fillId="0" borderId="0" xfId="0"/>
    <xf numFmtId="2" fontId="8" fillId="2" borderId="5" xfId="2" applyNumberFormat="1" applyFont="1" applyFill="1" applyBorder="1" applyAlignment="1" applyProtection="1">
      <alignment horizontal="center" vertical="center" textRotation="90" wrapText="1"/>
      <protection hidden="1"/>
    </xf>
    <xf numFmtId="167" fontId="8" fillId="2" borderId="7" xfId="2" applyNumberFormat="1" applyFont="1" applyFill="1" applyBorder="1" applyAlignment="1" applyProtection="1">
      <alignment horizontal="right" vertical="center" textRotation="90" wrapText="1"/>
      <protection hidden="1"/>
    </xf>
    <xf numFmtId="2" fontId="5" fillId="2" borderId="1" xfId="2" applyNumberFormat="1" applyFont="1" applyFill="1" applyBorder="1" applyAlignment="1" applyProtection="1">
      <alignment horizontal="center" textRotation="90" wrapText="1"/>
      <protection hidden="1"/>
    </xf>
    <xf numFmtId="2" fontId="5" fillId="2" borderId="1" xfId="0" applyNumberFormat="1" applyFont="1" applyFill="1" applyBorder="1" applyAlignment="1" applyProtection="1">
      <alignment horizontal="center" textRotation="90" wrapText="1"/>
      <protection hidden="1"/>
    </xf>
    <xf numFmtId="2" fontId="5" fillId="2" borderId="5" xfId="2" applyNumberFormat="1" applyFont="1" applyFill="1" applyBorder="1" applyAlignment="1" applyProtection="1">
      <alignment horizontal="center" textRotation="90" wrapText="1"/>
      <protection hidden="1"/>
    </xf>
    <xf numFmtId="2" fontId="5" fillId="2" borderId="6" xfId="2" applyNumberFormat="1" applyFont="1" applyFill="1" applyBorder="1" applyAlignment="1" applyProtection="1">
      <alignment horizontal="center" textRotation="90" wrapText="1"/>
      <protection hidden="1"/>
    </xf>
    <xf numFmtId="2" fontId="5" fillId="2" borderId="7" xfId="2" applyNumberFormat="1" applyFont="1" applyFill="1" applyBorder="1" applyAlignment="1" applyProtection="1">
      <alignment horizontal="center" textRotation="90" wrapText="1"/>
      <protection hidden="1"/>
    </xf>
    <xf numFmtId="2" fontId="7" fillId="2" borderId="1" xfId="2" applyNumberFormat="1" applyFont="1" applyFill="1" applyBorder="1" applyAlignment="1" applyProtection="1">
      <alignment horizontal="center" textRotation="90" wrapText="1"/>
      <protection hidden="1"/>
    </xf>
    <xf numFmtId="0" fontId="5" fillId="2" borderId="1" xfId="2" applyFont="1" applyFill="1" applyBorder="1" applyAlignment="1" applyProtection="1">
      <alignment horizontal="center" vertical="center"/>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0" borderId="0" xfId="2" applyFont="1" applyAlignment="1" applyProtection="1">
      <alignment horizontal="center" vertical="center"/>
      <protection hidden="1"/>
    </xf>
    <xf numFmtId="2" fontId="8" fillId="2" borderId="8" xfId="2" applyNumberFormat="1" applyFont="1" applyFill="1" applyBorder="1" applyAlignment="1" applyProtection="1">
      <alignment horizontal="center" vertical="center" textRotation="90" wrapText="1"/>
      <protection hidden="1"/>
    </xf>
    <xf numFmtId="167" fontId="8" fillId="2" borderId="9" xfId="2" applyNumberFormat="1" applyFont="1" applyFill="1" applyBorder="1" applyAlignment="1" applyProtection="1">
      <alignment horizontal="right" vertical="center" textRotation="90" wrapText="1"/>
      <protection hidden="1"/>
    </xf>
    <xf numFmtId="2" fontId="5" fillId="2" borderId="8" xfId="2" applyNumberFormat="1" applyFont="1" applyFill="1" applyBorder="1" applyAlignment="1" applyProtection="1">
      <alignment horizontal="center" textRotation="90" wrapText="1"/>
      <protection hidden="1"/>
    </xf>
    <xf numFmtId="2" fontId="5" fillId="2" borderId="0" xfId="2" applyNumberFormat="1" applyFont="1" applyFill="1" applyBorder="1" applyAlignment="1" applyProtection="1">
      <alignment horizontal="center" textRotation="90" wrapText="1"/>
      <protection hidden="1"/>
    </xf>
    <xf numFmtId="2" fontId="5" fillId="2" borderId="9"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1" xfId="2" applyFont="1" applyFill="1" applyBorder="1" applyAlignment="1" applyProtection="1">
      <alignment horizontal="center" vertical="center"/>
      <protection hidden="1"/>
    </xf>
    <xf numFmtId="2" fontId="8" fillId="2" borderId="2" xfId="2" applyNumberFormat="1" applyFont="1" applyFill="1" applyBorder="1" applyAlignment="1" applyProtection="1">
      <alignment horizontal="center" vertical="center" textRotation="90" wrapText="1"/>
      <protection hidden="1"/>
    </xf>
    <xf numFmtId="167" fontId="8" fillId="2" borderId="4" xfId="2" applyNumberFormat="1" applyFont="1" applyFill="1" applyBorder="1" applyAlignment="1" applyProtection="1">
      <alignment horizontal="right" vertical="center" textRotation="90" wrapText="1"/>
      <protection hidden="1"/>
    </xf>
    <xf numFmtId="2" fontId="5" fillId="2" borderId="2" xfId="2" applyNumberFormat="1" applyFont="1" applyFill="1" applyBorder="1" applyAlignment="1" applyProtection="1">
      <alignment horizontal="center" textRotation="90" wrapText="1"/>
      <protection hidden="1"/>
    </xf>
    <xf numFmtId="2" fontId="5" fillId="2" borderId="3" xfId="2" applyNumberFormat="1" applyFont="1" applyFill="1" applyBorder="1" applyAlignment="1" applyProtection="1">
      <alignment horizontal="center" textRotation="90" wrapText="1"/>
      <protection hidden="1"/>
    </xf>
    <xf numFmtId="2" fontId="5" fillId="2" borderId="4" xfId="2" applyNumberFormat="1" applyFont="1" applyFill="1" applyBorder="1" applyAlignment="1" applyProtection="1">
      <alignment horizontal="center" textRotation="90" wrapText="1"/>
      <protection hidden="1"/>
    </xf>
    <xf numFmtId="170" fontId="9" fillId="2" borderId="1" xfId="2" applyNumberFormat="1" applyFont="1" applyFill="1" applyBorder="1" applyAlignment="1" applyProtection="1">
      <alignment horizontal="center" vertical="center"/>
      <protection hidden="1"/>
    </xf>
    <xf numFmtId="2" fontId="5" fillId="2" borderId="14" xfId="0" applyNumberFormat="1" applyFont="1" applyFill="1" applyBorder="1" applyAlignment="1" applyProtection="1">
      <alignment horizontal="center" vertical="center" wrapText="1"/>
      <protection hidden="1"/>
    </xf>
    <xf numFmtId="2" fontId="5" fillId="2" borderId="13" xfId="0" applyNumberFormat="1" applyFont="1" applyFill="1" applyBorder="1" applyAlignment="1" applyProtection="1">
      <alignment horizontal="center" vertical="center" wrapText="1"/>
      <protection hidden="1"/>
    </xf>
    <xf numFmtId="167" fontId="10" fillId="4" borderId="1" xfId="2" applyNumberFormat="1" applyFont="1" applyFill="1" applyBorder="1" applyAlignment="1" applyProtection="1">
      <alignment horizontal="center" vertical="center"/>
      <protection hidden="1"/>
    </xf>
    <xf numFmtId="167" fontId="11" fillId="4" borderId="1" xfId="2" applyNumberFormat="1" applyFont="1" applyFill="1" applyBorder="1" applyAlignment="1" applyProtection="1">
      <alignment horizontal="center" vertical="center"/>
      <protection hidden="1"/>
    </xf>
    <xf numFmtId="4" fontId="9" fillId="2" borderId="1" xfId="2" applyNumberFormat="1" applyFont="1" applyFill="1" applyBorder="1" applyAlignment="1" applyProtection="1">
      <alignment horizontal="center" vertical="center" wrapText="1"/>
      <protection hidden="1"/>
    </xf>
    <xf numFmtId="4" fontId="5" fillId="2" borderId="1" xfId="2" applyNumberFormat="1" applyFont="1" applyFill="1" applyBorder="1" applyAlignment="1" applyProtection="1">
      <alignment horizontal="center" vertical="center"/>
      <protection hidden="1"/>
    </xf>
    <xf numFmtId="173" fontId="5" fillId="2" borderId="1" xfId="2" applyNumberFormat="1" applyFont="1" applyFill="1" applyBorder="1" applyAlignment="1" applyProtection="1">
      <alignment horizontal="center" vertical="center"/>
      <protection hidden="1"/>
    </xf>
    <xf numFmtId="1" fontId="5" fillId="2" borderId="1" xfId="2" applyNumberFormat="1" applyFont="1" applyFill="1" applyBorder="1" applyAlignment="1" applyProtection="1">
      <alignment horizontal="center" vertical="center"/>
      <protection hidden="1"/>
    </xf>
    <xf numFmtId="4" fontId="5" fillId="2" borderId="1" xfId="2" applyNumberFormat="1" applyFont="1" applyFill="1" applyBorder="1" applyAlignment="1" applyProtection="1">
      <alignment horizontal="center" vertical="center" wrapText="1"/>
      <protection hidden="1"/>
    </xf>
    <xf numFmtId="167" fontId="10" fillId="2" borderId="1" xfId="2" applyNumberFormat="1" applyFont="1" applyFill="1" applyBorder="1" applyAlignment="1" applyProtection="1">
      <alignment horizontal="center" vertical="center"/>
      <protection hidden="1"/>
    </xf>
    <xf numFmtId="167" fontId="11" fillId="2" borderId="1" xfId="2" applyNumberFormat="1"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0" borderId="0" xfId="2" applyFont="1" applyAlignment="1" applyProtection="1">
      <alignment horizontal="center" vertical="center" wrapText="1"/>
      <protection hidden="1"/>
    </xf>
    <xf numFmtId="0" fontId="5" fillId="0" borderId="0" xfId="2" applyFont="1" applyAlignment="1" applyProtection="1">
      <alignment horizontal="right" vertical="center" indent="1"/>
      <protection hidden="1"/>
    </xf>
    <xf numFmtId="0" fontId="13" fillId="6" borderId="0" xfId="2" applyFont="1" applyFill="1" applyBorder="1" applyAlignment="1" applyProtection="1">
      <alignment horizontal="center" vertical="center" wrapText="1"/>
      <protection hidden="1"/>
    </xf>
    <xf numFmtId="167" fontId="13" fillId="6" borderId="0" xfId="2" applyNumberFormat="1" applyFont="1" applyFill="1" applyBorder="1" applyAlignment="1" applyProtection="1">
      <alignment horizontal="center" vertical="center" wrapText="1"/>
      <protection hidden="1"/>
    </xf>
    <xf numFmtId="0" fontId="13" fillId="6" borderId="0" xfId="2" applyFont="1" applyFill="1" applyBorder="1" applyAlignment="1" applyProtection="1">
      <alignment horizontal="center" vertical="center"/>
      <protection hidden="1"/>
    </xf>
    <xf numFmtId="167" fontId="13" fillId="6" borderId="0" xfId="2" applyNumberFormat="1" applyFont="1" applyFill="1" applyBorder="1" applyAlignment="1" applyProtection="1">
      <alignment horizontal="center" vertical="center"/>
      <protection hidden="1"/>
    </xf>
    <xf numFmtId="170" fontId="13" fillId="6" borderId="0" xfId="2" applyNumberFormat="1" applyFont="1" applyFill="1" applyBorder="1" applyAlignment="1" applyProtection="1">
      <alignment horizontal="center" vertical="center" wrapText="1"/>
      <protection hidden="1"/>
    </xf>
    <xf numFmtId="0" fontId="13" fillId="6" borderId="0" xfId="3" applyFont="1" applyFill="1" applyBorder="1" applyAlignment="1" applyProtection="1">
      <alignment horizontal="center" vertical="center"/>
      <protection hidden="1"/>
    </xf>
    <xf numFmtId="2" fontId="13" fillId="6" borderId="0" xfId="3" applyNumberFormat="1" applyFont="1" applyFill="1" applyBorder="1" applyAlignment="1" applyProtection="1">
      <alignment horizontal="center" vertical="center"/>
      <protection hidden="1"/>
    </xf>
    <xf numFmtId="164" fontId="13" fillId="6" borderId="0" xfId="2" applyNumberFormat="1" applyFont="1" applyFill="1" applyBorder="1" applyAlignment="1" applyProtection="1">
      <alignment horizontal="center" vertical="center"/>
      <protection hidden="1"/>
    </xf>
    <xf numFmtId="164" fontId="13" fillId="6" borderId="0" xfId="0" applyNumberFormat="1" applyFont="1" applyFill="1" applyBorder="1" applyAlignment="1" applyProtection="1">
      <alignment horizontal="center" vertical="center"/>
      <protection hidden="1"/>
    </xf>
    <xf numFmtId="165" fontId="13" fillId="6" borderId="0" xfId="0" applyNumberFormat="1" applyFont="1" applyFill="1" applyBorder="1" applyAlignment="1" applyProtection="1">
      <alignment horizontal="center" vertical="center"/>
      <protection hidden="1"/>
    </xf>
    <xf numFmtId="167" fontId="13" fillId="6" borderId="0" xfId="0" applyNumberFormat="1" applyFont="1" applyFill="1" applyBorder="1" applyAlignment="1" applyProtection="1">
      <alignment horizontal="center" vertical="center"/>
      <protection hidden="1"/>
    </xf>
    <xf numFmtId="167" fontId="13" fillId="6" borderId="0" xfId="3" applyNumberFormat="1" applyFont="1" applyFill="1" applyBorder="1" applyAlignment="1" applyProtection="1">
      <alignment horizontal="center" vertical="center"/>
      <protection hidden="1"/>
    </xf>
    <xf numFmtId="3" fontId="13" fillId="6" borderId="0" xfId="2" applyNumberFormat="1" applyFont="1" applyFill="1" applyBorder="1" applyAlignment="1" applyProtection="1">
      <alignment horizontal="center" vertical="center" wrapText="1"/>
      <protection hidden="1"/>
    </xf>
    <xf numFmtId="2" fontId="13" fillId="6" borderId="0" xfId="2" applyNumberFormat="1" applyFont="1" applyFill="1" applyBorder="1" applyAlignment="1" applyProtection="1">
      <alignment horizontal="center" vertical="center" wrapText="1"/>
      <protection hidden="1"/>
    </xf>
    <xf numFmtId="0" fontId="13" fillId="6" borderId="0" xfId="0" applyFont="1" applyFill="1" applyBorder="1" applyAlignment="1" applyProtection="1">
      <alignment horizontal="center" vertical="center" wrapText="1"/>
      <protection hidden="1"/>
    </xf>
    <xf numFmtId="0" fontId="13" fillId="6" borderId="0" xfId="0" applyFont="1" applyFill="1" applyBorder="1" applyAlignment="1" applyProtection="1">
      <alignment horizontal="right" vertical="center" wrapText="1" indent="1"/>
      <protection hidden="1"/>
    </xf>
    <xf numFmtId="49" fontId="13" fillId="6" borderId="0" xfId="0" applyNumberFormat="1" applyFont="1" applyFill="1" applyBorder="1" applyAlignment="1" applyProtection="1">
      <alignment horizontal="center" vertical="center" wrapText="1"/>
      <protection hidden="1"/>
    </xf>
    <xf numFmtId="49" fontId="13" fillId="6" borderId="0" xfId="2" applyNumberFormat="1" applyFont="1" applyFill="1" applyBorder="1" applyAlignment="1" applyProtection="1">
      <alignment horizontal="center" vertical="center" wrapText="1"/>
      <protection hidden="1"/>
    </xf>
    <xf numFmtId="4" fontId="13" fillId="6" borderId="0" xfId="2" applyNumberFormat="1" applyFont="1" applyFill="1" applyBorder="1" applyAlignment="1" applyProtection="1">
      <alignment horizontal="center" vertical="center"/>
      <protection hidden="1"/>
    </xf>
    <xf numFmtId="165" fontId="13" fillId="6" borderId="0" xfId="2" applyNumberFormat="1" applyFont="1" applyFill="1" applyBorder="1" applyAlignment="1" applyProtection="1">
      <alignment horizontal="center" vertical="center"/>
      <protection hidden="1"/>
    </xf>
    <xf numFmtId="172" fontId="13" fillId="6" borderId="0" xfId="2" applyNumberFormat="1" applyFont="1" applyFill="1" applyBorder="1" applyAlignment="1" applyProtection="1">
      <alignment horizontal="center" vertical="center" wrapText="1"/>
      <protection hidden="1"/>
    </xf>
    <xf numFmtId="167" fontId="13" fillId="6" borderId="0" xfId="3" applyNumberFormat="1" applyFont="1" applyFill="1" applyBorder="1" applyAlignment="1" applyProtection="1">
      <alignment horizontal="center" vertical="center" wrapText="1"/>
      <protection hidden="1"/>
    </xf>
    <xf numFmtId="2" fontId="13" fillId="6" borderId="0" xfId="2" applyNumberFormat="1" applyFont="1" applyFill="1" applyBorder="1" applyAlignment="1" applyProtection="1">
      <alignment horizontal="right" vertical="center" wrapText="1" indent="1"/>
      <protection hidden="1"/>
    </xf>
    <xf numFmtId="4" fontId="13" fillId="6" borderId="0" xfId="2" applyNumberFormat="1" applyFont="1" applyFill="1" applyBorder="1" applyAlignment="1" applyProtection="1">
      <alignment horizontal="center" vertical="center" wrapText="1"/>
      <protection hidden="1"/>
    </xf>
    <xf numFmtId="49" fontId="13" fillId="6" borderId="0" xfId="3" applyNumberFormat="1" applyFont="1" applyFill="1" applyBorder="1" applyAlignment="1" applyProtection="1">
      <alignment horizontal="center" vertical="center"/>
      <protection hidden="1"/>
    </xf>
    <xf numFmtId="2" fontId="13" fillId="6" borderId="0" xfId="2" applyNumberFormat="1" applyFont="1" applyFill="1" applyBorder="1" applyAlignment="1" applyProtection="1">
      <alignment horizontal="center" vertical="center"/>
      <protection hidden="1"/>
    </xf>
    <xf numFmtId="169" fontId="13" fillId="6" borderId="0" xfId="2" applyNumberFormat="1" applyFont="1" applyFill="1" applyBorder="1" applyAlignment="1" applyProtection="1">
      <alignment horizontal="center" vertical="center"/>
      <protection hidden="1"/>
    </xf>
    <xf numFmtId="170" fontId="13" fillId="6" borderId="0" xfId="4" applyNumberFormat="1" applyFont="1" applyFill="1" applyBorder="1" applyAlignment="1" applyProtection="1">
      <alignment horizontal="center" vertical="center"/>
      <protection hidden="1"/>
    </xf>
    <xf numFmtId="168" fontId="13" fillId="6" borderId="0" xfId="2" applyNumberFormat="1" applyFont="1" applyFill="1" applyBorder="1" applyAlignment="1" applyProtection="1">
      <alignment horizontal="center" vertical="center"/>
      <protection hidden="1"/>
    </xf>
    <xf numFmtId="167" fontId="13" fillId="6" borderId="0" xfId="4" applyNumberFormat="1" applyFont="1" applyFill="1" applyBorder="1" applyAlignment="1" applyProtection="1">
      <alignment horizontal="center" vertical="center"/>
      <protection hidden="1"/>
    </xf>
    <xf numFmtId="170" fontId="13" fillId="6" borderId="0" xfId="2" applyNumberFormat="1"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wrapText="1"/>
      <protection hidden="1"/>
    </xf>
    <xf numFmtId="0" fontId="5" fillId="2" borderId="10" xfId="0" applyFont="1" applyFill="1" applyBorder="1" applyAlignment="1" applyProtection="1">
      <alignment horizontal="center" vertical="center" wrapText="1"/>
      <protection locked="0" hidden="1"/>
    </xf>
    <xf numFmtId="0" fontId="5" fillId="2" borderId="11" xfId="0" applyFont="1" applyFill="1" applyBorder="1" applyAlignment="1" applyProtection="1">
      <alignment horizontal="center" vertical="center" wrapText="1"/>
      <protection locked="0" hidden="1"/>
    </xf>
    <xf numFmtId="0" fontId="5" fillId="2" borderId="12" xfId="0" applyFont="1" applyFill="1" applyBorder="1" applyAlignment="1" applyProtection="1">
      <alignment horizontal="center" vertical="center" wrapText="1"/>
      <protection locked="0" hidden="1"/>
    </xf>
    <xf numFmtId="0" fontId="5" fillId="0" borderId="11" xfId="2" applyFont="1" applyBorder="1" applyAlignment="1" applyProtection="1">
      <alignment horizontal="center" vertical="center"/>
      <protection locked="0" hidden="1"/>
    </xf>
    <xf numFmtId="2" fontId="8" fillId="3" borderId="1" xfId="2" applyNumberFormat="1" applyFont="1" applyFill="1" applyBorder="1" applyAlignment="1" applyProtection="1">
      <alignment horizontal="center" vertical="center" textRotation="90" wrapText="1"/>
      <protection locked="0" hidden="1"/>
    </xf>
    <xf numFmtId="1" fontId="5" fillId="3" borderId="1" xfId="2" applyNumberFormat="1" applyFont="1" applyFill="1" applyBorder="1" applyAlignment="1" applyProtection="1">
      <alignment horizontal="center" vertical="center"/>
      <protection locked="0" hidden="1"/>
    </xf>
    <xf numFmtId="173" fontId="5" fillId="3" borderId="1" xfId="3" applyNumberFormat="1" applyFont="1" applyFill="1" applyBorder="1" applyAlignment="1" applyProtection="1">
      <alignment horizontal="center" vertical="center"/>
      <protection locked="0" hidden="1"/>
    </xf>
    <xf numFmtId="2" fontId="5" fillId="5" borderId="1" xfId="2" applyNumberFormat="1" applyFont="1" applyFill="1" applyBorder="1" applyAlignment="1" applyProtection="1">
      <alignment horizontal="center" vertical="center" wrapText="1"/>
      <protection locked="0" hidden="1"/>
    </xf>
    <xf numFmtId="169" fontId="5" fillId="3" borderId="1" xfId="2" applyNumberFormat="1" applyFont="1" applyFill="1" applyBorder="1" applyAlignment="1" applyProtection="1">
      <alignment horizontal="center" vertical="center"/>
      <protection locked="0" hidden="1"/>
    </xf>
    <xf numFmtId="0" fontId="5" fillId="3" borderId="1" xfId="2" applyFont="1" applyFill="1" applyBorder="1" applyAlignment="1" applyProtection="1">
      <alignment horizontal="center" vertical="center" textRotation="90" wrapText="1"/>
      <protection locked="0" hidden="1"/>
    </xf>
    <xf numFmtId="0" fontId="5" fillId="3" borderId="1" xfId="0" applyFont="1" applyFill="1" applyBorder="1" applyAlignment="1" applyProtection="1">
      <alignment horizontal="center" vertical="center" textRotation="90" wrapText="1"/>
      <protection locked="0" hidden="1"/>
    </xf>
  </cellXfs>
  <cellStyles count="6">
    <cellStyle name="Açıklama Metni" xfId="1" builtinId="53" customBuiltin="1"/>
    <cellStyle name="Normal" xfId="0" builtinId="0"/>
    <cellStyle name="Normal 2" xfId="2" xr:uid="{00000000-0005-0000-0000-000002000000}"/>
    <cellStyle name="Normal 2 2" xfId="3" xr:uid="{00000000-0005-0000-0000-000003000000}"/>
    <cellStyle name="Virgül 2" xfId="5" xr:uid="{00000000-0005-0000-0000-000004000000}"/>
    <cellStyle name="Yüzde 2" xfId="4" xr:uid="{00000000-0005-0000-0000-000005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9"/>
            <c:invertIfNegative val="0"/>
            <c:bubble3D val="0"/>
            <c:spPr>
              <a:solidFill>
                <a:srgbClr val="C00000"/>
              </a:solidFill>
              <a:ln>
                <a:noFill/>
              </a:ln>
              <a:effectLst/>
            </c:spPr>
            <c:extLst>
              <c:ext xmlns:c16="http://schemas.microsoft.com/office/drawing/2014/chart" uri="{C3380CC4-5D6E-409C-BE32-E72D297353CC}">
                <c16:uniqueId val="{00000035-51B7-4D3E-868B-DB5066999F7C}"/>
              </c:ext>
            </c:extLst>
          </c:dPt>
          <c:dPt>
            <c:idx val="10"/>
            <c:invertIfNegative val="0"/>
            <c:bubble3D val="0"/>
            <c:spPr>
              <a:solidFill>
                <a:srgbClr val="C00000"/>
              </a:solidFill>
              <a:ln>
                <a:noFill/>
              </a:ln>
              <a:effectLst/>
            </c:spPr>
            <c:extLst>
              <c:ext xmlns:c16="http://schemas.microsoft.com/office/drawing/2014/chart" uri="{C3380CC4-5D6E-409C-BE32-E72D297353CC}">
                <c16:uniqueId val="{00000036-51B7-4D3E-868B-DB5066999F7C}"/>
              </c:ext>
            </c:extLst>
          </c:dPt>
          <c:dPt>
            <c:idx val="11"/>
            <c:invertIfNegative val="0"/>
            <c:bubble3D val="0"/>
            <c:spPr>
              <a:solidFill>
                <a:srgbClr val="C00000"/>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rgbClr val="C00000"/>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rgbClr val="C00000"/>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rgbClr val="C00000"/>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chemeClr val="bg1">
                  <a:lumMod val="50000"/>
                </a:schemeClr>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chemeClr val="bg1">
                  <a:lumMod val="50000"/>
                </a:schemeClr>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chemeClr val="bg1">
                  <a:lumMod val="50000"/>
                </a:schemeClr>
              </a:solidFill>
              <a:ln>
                <a:noFill/>
              </a:ln>
              <a:effectLst/>
            </c:spPr>
            <c:extLst>
              <c:ext xmlns:c16="http://schemas.microsoft.com/office/drawing/2014/chart" uri="{C3380CC4-5D6E-409C-BE32-E72D297353CC}">
                <c16:uniqueId val="{0000002D-15C5-4CF9-A126-8061EA1D968F}"/>
              </c:ext>
            </c:extLst>
          </c:dPt>
          <c:dPt>
            <c:idx val="20"/>
            <c:invertIfNegative val="0"/>
            <c:bubble3D val="0"/>
            <c:spPr>
              <a:solidFill>
                <a:schemeClr val="tx1"/>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chemeClr val="tx1"/>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tx1"/>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Tablo'!$V$1:$V$17</c:f>
              <c:strCache>
                <c:ptCount val="17"/>
                <c:pt idx="0">
                  <c:v>Normal Çalışma</c:v>
                </c:pt>
                <c:pt idx="1">
                  <c:v>Kıdem Yardımı</c:v>
                </c:pt>
                <c:pt idx="2">
                  <c:v>Fazla Çalışma (% 40)</c:v>
                </c:pt>
                <c:pt idx="3">
                  <c:v>Resmi Tatillerde Çalışma (% 100)</c:v>
                </c:pt>
                <c:pt idx="4">
                  <c:v>Yemek Yardımı</c:v>
                </c:pt>
                <c:pt idx="5">
                  <c:v>Ulaşım Yardımı</c:v>
                </c:pt>
                <c:pt idx="6">
                  <c:v>İkramiye Yardımı</c:v>
                </c:pt>
                <c:pt idx="7">
                  <c:v>Sosyal Yardım</c:v>
                </c:pt>
                <c:pt idx="8">
                  <c:v>Görev Primi</c:v>
                </c:pt>
                <c:pt idx="9">
                  <c:v>Nakdi Yardımlar</c:v>
                </c:pt>
                <c:pt idx="10">
                  <c:v>Sendika Üyelik Aidatı Kesintisi</c:v>
                </c:pt>
                <c:pt idx="11">
                  <c:v>BES Kesintisi</c:v>
                </c:pt>
                <c:pt idx="12">
                  <c:v>Damga Vergisi Kesintisi</c:v>
                </c:pt>
                <c:pt idx="13">
                  <c:v>SGK Prim Kesintisi</c:v>
                </c:pt>
                <c:pt idx="14">
                  <c:v>SGK İşsizlik Primi Kesintisi</c:v>
                </c:pt>
                <c:pt idx="15">
                  <c:v>Gelir Vergisi Kesintisi</c:v>
                </c:pt>
                <c:pt idx="16">
                  <c:v>İşveren Maliyeti</c:v>
                </c:pt>
              </c:strCache>
            </c:strRef>
          </c:cat>
          <c:val>
            <c:numRef>
              <c:f>'Özet Tablo'!$W$1:$W$17</c:f>
              <c:numCache>
                <c:formatCode>#,##0.00\ "₺"</c:formatCode>
                <c:ptCount val="17"/>
                <c:pt idx="0">
                  <c:v>75785.187244183311</c:v>
                </c:pt>
                <c:pt idx="1">
                  <c:v>0</c:v>
                </c:pt>
                <c:pt idx="2">
                  <c:v>26138.146587349995</c:v>
                </c:pt>
                <c:pt idx="3">
                  <c:v>0</c:v>
                </c:pt>
                <c:pt idx="4">
                  <c:v>10725</c:v>
                </c:pt>
                <c:pt idx="5">
                  <c:v>3229.25</c:v>
                </c:pt>
                <c:pt idx="6">
                  <c:v>24893.472940333329</c:v>
                </c:pt>
                <c:pt idx="7">
                  <c:v>4284.265995180459</c:v>
                </c:pt>
                <c:pt idx="8">
                  <c:v>0</c:v>
                </c:pt>
                <c:pt idx="9">
                  <c:v>0</c:v>
                </c:pt>
                <c:pt idx="10">
                  <c:v>3441.9357579479724</c:v>
                </c:pt>
                <c:pt idx="11">
                  <c:v>0</c:v>
                </c:pt>
                <c:pt idx="12">
                  <c:v>1383.1783333333333</c:v>
                </c:pt>
                <c:pt idx="13">
                  <c:v>27980.036666666667</c:v>
                </c:pt>
                <c:pt idx="14">
                  <c:v>1998.5741666666665</c:v>
                </c:pt>
                <c:pt idx="15">
                  <c:v>45697.818333333329</c:v>
                </c:pt>
                <c:pt idx="16">
                  <c:v>259873.03364166667</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Tablo'!$V$18:$V$19</c:f>
              <c:strCache>
                <c:ptCount val="2"/>
                <c:pt idx="0">
                  <c:v>Kazançlar</c:v>
                </c:pt>
                <c:pt idx="1">
                  <c:v>Kesintiler</c:v>
                </c:pt>
              </c:strCache>
            </c:strRef>
          </c:cat>
          <c:val>
            <c:numRef>
              <c:f>'Özet Tablo'!$W$18:$W$19</c:f>
              <c:numCache>
                <c:formatCode>#,##0.00\ "₺"</c:formatCode>
                <c:ptCount val="2"/>
                <c:pt idx="0">
                  <c:v>142565.43840871871</c:v>
                </c:pt>
                <c:pt idx="1">
                  <c:v>80501.543257947953</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15</xdr:col>
      <xdr:colOff>53463</xdr:colOff>
      <xdr:row>0</xdr:row>
      <xdr:rowOff>70921</xdr:rowOff>
    </xdr:from>
    <xdr:to>
      <xdr:col>15</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4966692</xdr:colOff>
      <xdr:row>8</xdr:row>
      <xdr:rowOff>125886</xdr:rowOff>
    </xdr:from>
    <xdr:to>
      <xdr:col>15</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OT363"/>
  <sheetViews>
    <sheetView showGridLines="0" showRowColHeaders="0" tabSelected="1" showWhiteSpace="0" zoomScale="50" zoomScaleNormal="50" zoomScaleSheetLayoutView="40" zoomScalePageLayoutView="55" workbookViewId="0">
      <pane xSplit="3" topLeftCell="D1" activePane="topRight" state="frozen"/>
      <selection activeCell="A7" sqref="A7"/>
      <selection pane="topRight" sqref="A1:A14"/>
    </sheetView>
  </sheetViews>
  <sheetFormatPr defaultColWidth="0" defaultRowHeight="0" customHeight="1" zeroHeight="1" x14ac:dyDescent="0.25"/>
  <cols>
    <col min="1" max="1" width="12.7109375" style="13" customWidth="1"/>
    <col min="2" max="2" width="10.7109375" style="42" customWidth="1"/>
    <col min="3" max="3" width="4.7109375" style="42" customWidth="1"/>
    <col min="4" max="11" width="12.7109375" style="42" customWidth="1"/>
    <col min="12" max="14" width="30.7109375" style="42" customWidth="1"/>
    <col min="15" max="15" width="12.7109375" style="13" customWidth="1"/>
    <col min="16" max="16" width="110.7109375" style="13" customWidth="1"/>
    <col min="17" max="17" width="12.7109375" style="13" customWidth="1"/>
    <col min="18" max="18" width="5.7109375" style="13" customWidth="1"/>
    <col min="19" max="19" width="80.7109375" style="13" customWidth="1"/>
    <col min="20" max="20" width="5.7109375" style="13" customWidth="1"/>
    <col min="21" max="21" width="1.7109375" style="79" customWidth="1"/>
    <col min="22" max="24" width="0.140625" style="46" customWidth="1"/>
    <col min="25" max="55" width="5.7109375" style="46" hidden="1" customWidth="1"/>
    <col min="56" max="58" width="20.7109375" style="46" hidden="1" customWidth="1"/>
    <col min="59" max="59" width="1.5703125" style="13" customWidth="1"/>
    <col min="60" max="155" width="0" style="13" hidden="1" customWidth="1"/>
    <col min="156" max="410" width="0" style="13" hidden="1"/>
    <col min="411" max="16384" width="5.7109375" style="13" hidden="1"/>
  </cols>
  <sheetData>
    <row r="1" spans="1:58" ht="39.950000000000003" customHeight="1" x14ac:dyDescent="0.25">
      <c r="A1" s="80" t="s">
        <v>73</v>
      </c>
      <c r="B1" s="1" t="s">
        <v>74</v>
      </c>
      <c r="C1" s="2">
        <f>COUNTIF($A$1,"Deniz Taksi / Kaptan")*($AB$39)
+COUNTIF($A$1,"Deniz Taksi / Gemici")*($AB$40)</f>
        <v>2054.66</v>
      </c>
      <c r="D1" s="3" t="s">
        <v>42</v>
      </c>
      <c r="E1" s="3" t="s">
        <v>65</v>
      </c>
      <c r="F1" s="4" t="s">
        <v>66</v>
      </c>
      <c r="G1" s="3" t="s">
        <v>43</v>
      </c>
      <c r="H1" s="5" t="s">
        <v>44</v>
      </c>
      <c r="I1" s="6"/>
      <c r="J1" s="7"/>
      <c r="K1" s="3" t="s">
        <v>62</v>
      </c>
      <c r="L1" s="3" t="s">
        <v>57</v>
      </c>
      <c r="M1" s="3" t="s">
        <v>67</v>
      </c>
      <c r="N1" s="8" t="s">
        <v>55</v>
      </c>
      <c r="O1" s="85" t="s">
        <v>70</v>
      </c>
      <c r="P1" s="9"/>
      <c r="Q1" s="86" t="s">
        <v>29</v>
      </c>
      <c r="R1" s="10"/>
      <c r="S1" s="11"/>
      <c r="T1" s="12"/>
      <c r="U1" s="76"/>
      <c r="V1" s="44" t="s">
        <v>18</v>
      </c>
      <c r="W1" s="45">
        <f t="shared" ref="W1:W4" si="0">IF(X1&gt;0,X1,X1*-1)</f>
        <v>75785.187244183311</v>
      </c>
      <c r="X1" s="45">
        <f>COUNTIF(O1,"Ocak")*(AO15)
+COUNTIF(O1,"Şubat")*(AO16)
+COUNTIF(O1,"Mart")*(AO17)
+COUNTIF(O1,"Nisan")*(AO18)
+COUNTIF(O1,"Mayıs")*(AO19)
+COUNTIF(O1,"Haziran")*(AO20)
+COUNTIF(O1,"Temmuz")*(AO21)
+COUNTIF(O1,"Ağustos")*(AO22)
+COUNTIF(O1,"Eylül")*(AO23)
+COUNTIF(O1,"Ekim")*(AO24)
+COUNTIF(O1,"Kasım")*(AO25)
+COUNTIF(O1,"Aralık")*(AO26)
+COUNTIF(O1,"Yıllık Toplam")*(AO27)
+COUNTIF(O1,"Yıllık Ortalama")*(AO28)</f>
        <v>75785.187244183311</v>
      </c>
      <c r="AE1" s="47">
        <f ca="1">(AY15-AZ15)</f>
        <v>70425.05</v>
      </c>
      <c r="AF1" s="47">
        <f ca="1">(ROUND(AE1*AU87*-1,2))</f>
        <v>-10563.76</v>
      </c>
      <c r="AG1" s="47">
        <f>(AZ72)</f>
        <v>4211.33</v>
      </c>
      <c r="AH1" s="47">
        <f ca="1">(AF1+AG1)</f>
        <v>-6352.43</v>
      </c>
      <c r="AI1" s="47">
        <f ca="1">(AJ1/AZ87)</f>
        <v>0</v>
      </c>
      <c r="AJ1" s="47">
        <f>(60*D15)</f>
        <v>0</v>
      </c>
      <c r="AK1" s="47">
        <f ca="1">(AL1/AZ87)</f>
        <v>30177.127190835203</v>
      </c>
      <c r="AL1" s="47">
        <f>(AK15/8*1.4*E15)</f>
        <v>21573.929999999997</v>
      </c>
      <c r="AM1" s="47">
        <f ca="1">(AN1/AZ87)</f>
        <v>0</v>
      </c>
      <c r="AN1" s="47">
        <f>(AK15/8*2*F15)</f>
        <v>0</v>
      </c>
      <c r="AO1" s="47">
        <f ca="1">(AP1+AF29*-1+AJ29*-1+AK29*-1+AO29*-1)</f>
        <v>9367.66</v>
      </c>
      <c r="AP1" s="47">
        <f>(325*G15)</f>
        <v>8450</v>
      </c>
      <c r="AQ1" s="47">
        <f ca="1">ROUND((AP1+AF29*-1+AJ29*-1+AK29*-1+AO29*-1),2)</f>
        <v>9367.66</v>
      </c>
      <c r="AR1" s="47">
        <f ca="1">IF($AC$14*G15&gt;=AQ1,AQ1,$AC$14*G15)</f>
        <v>7800</v>
      </c>
    </row>
    <row r="2" spans="1:58" ht="39.950000000000003" customHeight="1" x14ac:dyDescent="0.25">
      <c r="A2" s="80"/>
      <c r="B2" s="14"/>
      <c r="C2" s="15"/>
      <c r="D2" s="3"/>
      <c r="E2" s="3"/>
      <c r="F2" s="4"/>
      <c r="G2" s="3"/>
      <c r="H2" s="16"/>
      <c r="I2" s="17"/>
      <c r="J2" s="18"/>
      <c r="K2" s="3"/>
      <c r="L2" s="3"/>
      <c r="M2" s="3"/>
      <c r="N2" s="8"/>
      <c r="O2" s="85"/>
      <c r="P2" s="9"/>
      <c r="Q2" s="86"/>
      <c r="R2" s="19"/>
      <c r="S2" s="20" t="str">
        <f>IF($Q$1="Analık Hâli İzni",$W$20,
IF($Q$1="Annelik İzni",$W$21,
IF($Q$1="Babalık İzni",$W$22,
IF($Q$1="Cenaze İzni",$W$23,
IF($Q$1="Doğal Afet İzni",$W$24,
IF($Q$1="Engelli Çocuk İzni",$W$25,
IF($Q$1="Evlat Edinme İzni",$W$26,
IF($Q$1="Evlilik İzni",$W$27,
IF($Q$1="İş Arama İzni",$W$28,
IF($Q$1="Mazeret İzni",$W$29,
IF($Q$1="Süt İzni",$W$30,
IF($Q$1="Ücretli Sendikal İzin ve Sendika Temsilci Sayısı",$W$31,
IF($Q$1="Ücretli Yıllık İzin",$W$32,
IF($Q$1="Yol İzni",$W$33))))))))))))))</f>
        <v>a) Hizmeti 6 ay olanlar için 15 iş günü ücretli yıllık izin verilir.
Hizmeti 1-5 yıl olanlar için 30 iş günü ücretli yıllık izin verilir.
Hizmeti 5-10 yıl olanlar için 30 iş günü ücretli yıllık izin verilir.
Hizmeti 10-15 yıl olanlar için 30 iş günü ücretli yıllık izin verilir.
Hizmeti 15 yıldan fazla olanlar için 30 iş günü ücretli yıllık izin verilir.
b) Aynı işveren emrinde veya aynı gemide bir takvim yılı içinde bir veya birkaç hizmet aktine dayanarak en az altı ay çalışmış olan gemiadamı, yıllık ücretli izine hak kazanır.
İzin süresi, altı aydan bir yıla kadar hizmeti olan gemiadamları için 15 günden ve bir yıl ve daha fazla hizmeti olanlar için yılda bir aydan az olamaz.
İzin işverenin uygun göreceği bir zamanda kullanılır. Bu haktan feragat edilemez.
Bir aylık izin, tarafların rızasiyle aynı yıl içinde kullanılmak suretiyle ikiye bölünebilir.
Gemiadamı, yıllık ücretli iznini yabancı bir memleket limanında veya hizmet aktinin yapılmış bulunduğu mahalden gayri bir yerde kullanmaya zorlanamaz.
Gemiadamı, dilerse, işveren veya işveren vekilinden ücretli izne ilişkin olarak 7 güne kadar ücretsiz yol izni de istiyebilir.
Gemiadamının hakettiği yıllık ücretli izni kullanmadan hizmet akti 14 üncü maddenin II, III ve IV üncü bentlerine göre bozulursa, işveren veya işveren vekili izin süresine ait ücreti, gemiadamına ödemek zorundadır.
(854 sayılı Deniz İş Kanunu / Madde 40)</v>
      </c>
      <c r="T2" s="75"/>
      <c r="U2" s="77"/>
      <c r="V2" s="44" t="s">
        <v>3</v>
      </c>
      <c r="W2" s="45">
        <f t="shared" si="0"/>
        <v>0</v>
      </c>
      <c r="X2" s="45">
        <f>COUNTIF(O1,"Ocak")*(AJ1)
+COUNTIF(O1,"Şubat")*(AJ2)
+COUNTIF(O1,"Mart")*(AJ3)
+COUNTIF(O1,"Nisan")*(AJ4)
+COUNTIF(O1,"Mayıs")*(AJ5)
+COUNTIF(O1,"Haziran")*(AJ6)
+COUNTIF(O1,"Temmuz")*(AJ7)
+COUNTIF(O1,"Ağustos")*(AJ8)
+COUNTIF(O1,"Eylül")*(AJ9)
+COUNTIF(O1,"Ekim")*(AJ10)
+COUNTIF(O1,"Kasım")*(AJ11)
+COUNTIF(O1,"Aralık")*(AJ12)
+COUNTIF(O1,"Yıllık Toplam")*(AJ13)
+COUNTIF(O1,"Yıllık Ortalama")*(AJ14)</f>
        <v>0</v>
      </c>
      <c r="AA2" s="48">
        <f>(10%)</f>
        <v>0.1</v>
      </c>
      <c r="AB2" s="44" t="s">
        <v>0</v>
      </c>
      <c r="AC2" s="45">
        <f>($AC$8*$AA$2)</f>
        <v>3303</v>
      </c>
      <c r="AD2" s="45">
        <f>($AD$8*$AA$2)</f>
        <v>3303</v>
      </c>
      <c r="AE2" s="47">
        <f ca="1">(AY16-AZ16)</f>
        <v>63464.31</v>
      </c>
      <c r="AF2" s="47">
        <f ca="1">(ROUND(AE2*AU88*-1,2))</f>
        <v>-9829.16</v>
      </c>
      <c r="AG2" s="47">
        <f>(AZ73)</f>
        <v>4211.33</v>
      </c>
      <c r="AH2" s="47">
        <f t="shared" ref="AH2:AH12" ca="1" si="1">(AF2+AG2)</f>
        <v>-5617.83</v>
      </c>
      <c r="AI2" s="47">
        <f ca="1">(AJ2/AZ88)</f>
        <v>0</v>
      </c>
      <c r="AJ2" s="47">
        <f>(60*D16)</f>
        <v>0</v>
      </c>
      <c r="AK2" s="47">
        <f ca="1">(AL2/AZ88)</f>
        <v>30353.128655228869</v>
      </c>
      <c r="AL2" s="47">
        <f>(AK16/8*1.4*E16)</f>
        <v>21573.929999999997</v>
      </c>
      <c r="AM2" s="47">
        <f ca="1">(AN2/AZ88)</f>
        <v>0</v>
      </c>
      <c r="AN2" s="47">
        <f>(AK16/8*2*F16)</f>
        <v>0</v>
      </c>
      <c r="AO2" s="47">
        <f ca="1">(AP2+AF30*-1+AJ30*-1+AK30*-1+AO30*-1)</f>
        <v>9373</v>
      </c>
      <c r="AP2" s="47">
        <f>(325*G16)</f>
        <v>8450</v>
      </c>
      <c r="AQ2" s="47">
        <f ca="1">ROUND((AP2+AF30*-1+AJ30*-1+AK30*-1+AO30*-1),2)</f>
        <v>9373</v>
      </c>
      <c r="AR2" s="47">
        <f ca="1">IF($AC$14*G16&gt;=AQ2,AQ2,$AC$14*G16)</f>
        <v>7800</v>
      </c>
      <c r="BD2" s="46">
        <v>0</v>
      </c>
      <c r="BE2" s="49">
        <v>0</v>
      </c>
      <c r="BF2" s="50">
        <v>0</v>
      </c>
    </row>
    <row r="3" spans="1:58" ht="39.950000000000003" customHeight="1" x14ac:dyDescent="0.25">
      <c r="A3" s="80"/>
      <c r="B3" s="14"/>
      <c r="C3" s="15"/>
      <c r="D3" s="3"/>
      <c r="E3" s="3"/>
      <c r="F3" s="4"/>
      <c r="G3" s="3"/>
      <c r="H3" s="16"/>
      <c r="I3" s="17"/>
      <c r="J3" s="18"/>
      <c r="K3" s="3"/>
      <c r="L3" s="3"/>
      <c r="M3" s="3"/>
      <c r="N3" s="8"/>
      <c r="O3" s="85"/>
      <c r="P3" s="9"/>
      <c r="Q3" s="86"/>
      <c r="R3" s="19"/>
      <c r="S3" s="20"/>
      <c r="T3" s="75"/>
      <c r="U3" s="77"/>
      <c r="V3" s="44" t="s">
        <v>68</v>
      </c>
      <c r="W3" s="45">
        <f t="shared" si="0"/>
        <v>26138.146587349995</v>
      </c>
      <c r="X3" s="45">
        <f>COUNTIF(O1,"Ocak")*(AL1)
+COUNTIF(O1,"Şubat")*(AL2)
+COUNTIF(O1,"Mart")*(AL3)
+COUNTIF(O1,"Nisan")*(AL4)
+COUNTIF(O1,"Mayıs")*(AL5)
+COUNTIF(O1,"Haziran")*(AL6)
+COUNTIF(O1,"Temmuz")*(AL7)
+COUNTIF(O1,"Ağustos")*(AL8)
+COUNTIF(O1,"Eylül")*(AL9)
+COUNTIF(O1,"Ekim")*(AL10)
+COUNTIF(O1,"Kasım")*(AL11)
+COUNTIF(O1,"Aralık")*(AL12)
+COUNTIF(O1,"Yıllık Toplam")*(AL13)
+COUNTIF(O1,"Yıllık Ortalama")*(AL14)</f>
        <v>26138.146587349995</v>
      </c>
      <c r="AA3" s="48">
        <f>(2%)</f>
        <v>0.02</v>
      </c>
      <c r="AB3" s="44" t="s">
        <v>0</v>
      </c>
      <c r="AC3" s="45">
        <f>($AC$8*$AA$3)</f>
        <v>660.6</v>
      </c>
      <c r="AD3" s="45">
        <f>($AD$8*$AA$3)</f>
        <v>660.6</v>
      </c>
      <c r="AE3" s="47">
        <f ca="1">(AY17-AZ17)</f>
        <v>90220.44</v>
      </c>
      <c r="AF3" s="47">
        <f ca="1">(ROUND(AE3*AU89*-1,2))</f>
        <v>-18532.669999999998</v>
      </c>
      <c r="AG3" s="47">
        <f>(AZ74)</f>
        <v>4211.33</v>
      </c>
      <c r="AH3" s="47">
        <f t="shared" ca="1" si="1"/>
        <v>-14321.339999999998</v>
      </c>
      <c r="AI3" s="47">
        <f ca="1">(AJ3/AZ89)</f>
        <v>0</v>
      </c>
      <c r="AJ3" s="47">
        <f>(60*D17)</f>
        <v>0</v>
      </c>
      <c r="AK3" s="47">
        <f ca="1">(AL3/AZ89)</f>
        <v>38214.343274747589</v>
      </c>
      <c r="AL3" s="47">
        <f>(AK17/8*1.4*E17)</f>
        <v>25519.801796999996</v>
      </c>
      <c r="AM3" s="47">
        <f ca="1">(AN3/AZ89)</f>
        <v>0</v>
      </c>
      <c r="AN3" s="47">
        <f>(AK17/8*2*F17)</f>
        <v>0</v>
      </c>
      <c r="AO3" s="47">
        <f ca="1">(AP3+AF31*-1+AJ31*-1+AK31*-1+AO31*-1)</f>
        <v>13520.28</v>
      </c>
      <c r="AP3" s="47">
        <f>(430*G17)</f>
        <v>11180</v>
      </c>
      <c r="AQ3" s="47">
        <f ca="1">ROUND((AP3+AF31*-1+AJ31*-1+AK31*-1+AO31*-1),2)</f>
        <v>13520.28</v>
      </c>
      <c r="AR3" s="47">
        <f ca="1">IF($AC$14*G17&gt;=AQ3,AQ3,$AC$14*G17)</f>
        <v>7800</v>
      </c>
      <c r="BD3" s="46">
        <v>1</v>
      </c>
      <c r="BE3" s="49">
        <v>0.5</v>
      </c>
      <c r="BF3" s="50">
        <v>0.03</v>
      </c>
    </row>
    <row r="4" spans="1:58" ht="39.950000000000003" customHeight="1" x14ac:dyDescent="0.25">
      <c r="A4" s="80"/>
      <c r="B4" s="22"/>
      <c r="C4" s="23"/>
      <c r="D4" s="3"/>
      <c r="E4" s="3"/>
      <c r="F4" s="4"/>
      <c r="G4" s="3"/>
      <c r="H4" s="16"/>
      <c r="I4" s="17"/>
      <c r="J4" s="18"/>
      <c r="K4" s="3"/>
      <c r="L4" s="3"/>
      <c r="M4" s="3"/>
      <c r="N4" s="8"/>
      <c r="O4" s="85"/>
      <c r="P4" s="9"/>
      <c r="Q4" s="86"/>
      <c r="R4" s="19"/>
      <c r="S4" s="20"/>
      <c r="T4" s="75"/>
      <c r="U4" s="77"/>
      <c r="V4" s="44" t="s">
        <v>69</v>
      </c>
      <c r="W4" s="45">
        <f t="shared" si="0"/>
        <v>0</v>
      </c>
      <c r="X4" s="45">
        <f>COUNTIF(O1,"Ocak")*(AN1)
+COUNTIF(O1,"Şubat")*(AN2)
+COUNTIF(O1,"Mart")*(AN3)
+COUNTIF(O1,"Nisan")*(AN4)
+COUNTIF(O1,"Mayıs")*(AN5)
+COUNTIF(O1,"Haziran")*(AN6)
+COUNTIF(O1,"Temmuz")*(AN7)
+COUNTIF(O1,"Ağustos")*(AN8)
+COUNTIF(O1,"Eylül")*(AN9)
+COUNTIF(O1,"Ekim")*(AN10)
+COUNTIF(O1,"Kasım")*(AN11)
+COUNTIF(O1,"Aralık")*(AN12)
+COUNTIF(O1,"Yıllık Toplam")*(AN13)
+COUNTIF(O1,"Yıllık Ortalama")*(AN14)</f>
        <v>0</v>
      </c>
      <c r="AA4" s="48">
        <f>(1%)</f>
        <v>0.01</v>
      </c>
      <c r="AB4" s="44" t="s">
        <v>0</v>
      </c>
      <c r="AC4" s="45">
        <f>($AC$8*$AA$4)</f>
        <v>330.3</v>
      </c>
      <c r="AD4" s="45">
        <f>($AD$8*$AA$4)</f>
        <v>330.3</v>
      </c>
      <c r="AE4" s="47">
        <f ca="1">(AY18-AZ18)</f>
        <v>94930.65</v>
      </c>
      <c r="AF4" s="47">
        <f ca="1">(ROUND(AE4*AU90*-1,2))</f>
        <v>-25631.279999999999</v>
      </c>
      <c r="AG4" s="47">
        <f>(AZ75)</f>
        <v>4211.33</v>
      </c>
      <c r="AH4" s="47">
        <f t="shared" ca="1" si="1"/>
        <v>-21419.949999999997</v>
      </c>
      <c r="AI4" s="47">
        <f ca="1">(AJ4/AZ90)</f>
        <v>0</v>
      </c>
      <c r="AJ4" s="47">
        <f>(60*D18)</f>
        <v>0</v>
      </c>
      <c r="AK4" s="47">
        <f ca="1">(AL4/AZ90)</f>
        <v>41637.111153350408</v>
      </c>
      <c r="AL4" s="47">
        <f>(AK18/8*1.4*E18)</f>
        <v>25519.801796999996</v>
      </c>
      <c r="AM4" s="47">
        <f ca="1">(AN4/AZ90)</f>
        <v>0</v>
      </c>
      <c r="AN4" s="47">
        <f>(AK18/8*2*F18)</f>
        <v>0</v>
      </c>
      <c r="AO4" s="47">
        <f ca="1">(AP4+AF32*-1+AJ32*-1+AK32*-1+AO32*-1)</f>
        <v>13974.27</v>
      </c>
      <c r="AP4" s="47">
        <f>(430*G18)</f>
        <v>11180</v>
      </c>
      <c r="AQ4" s="47">
        <f ca="1">ROUND((AP4+AF32*-1+AJ32*-1+AK32*-1+AO32*-1),2)</f>
        <v>13974.27</v>
      </c>
      <c r="AR4" s="47">
        <f ca="1">IF($AC$14*G18&gt;=AQ4,AQ4,$AC$14*G18)</f>
        <v>7800</v>
      </c>
      <c r="BD4" s="46">
        <v>2</v>
      </c>
      <c r="BE4" s="49">
        <v>1</v>
      </c>
      <c r="BF4" s="50">
        <v>0.04</v>
      </c>
    </row>
    <row r="5" spans="1:58" ht="39.950000000000003" customHeight="1" x14ac:dyDescent="0.25">
      <c r="A5" s="80"/>
      <c r="B5" s="14" t="s">
        <v>88</v>
      </c>
      <c r="C5" s="15">
        <f>COUNTIF($A$1,"Deniz Taksi / Kaptan")*($AC$39)
+COUNTIF($A$1,"Deniz Taksi / Gemici")*($AC$40)</f>
        <v>2430.4573139999998</v>
      </c>
      <c r="D5" s="3"/>
      <c r="E5" s="3"/>
      <c r="F5" s="4"/>
      <c r="G5" s="3"/>
      <c r="H5" s="16"/>
      <c r="I5" s="17"/>
      <c r="J5" s="18"/>
      <c r="K5" s="3"/>
      <c r="L5" s="3"/>
      <c r="M5" s="3"/>
      <c r="N5" s="8"/>
      <c r="O5" s="85"/>
      <c r="P5" s="9"/>
      <c r="Q5" s="86"/>
      <c r="R5" s="19"/>
      <c r="S5" s="20"/>
      <c r="T5" s="75"/>
      <c r="U5" s="77"/>
      <c r="V5" s="44" t="s">
        <v>6</v>
      </c>
      <c r="W5" s="45">
        <f t="shared" ref="W5:W8" si="2">IF(X5&gt;0,X5,X5*-1)</f>
        <v>10725</v>
      </c>
      <c r="X5" s="45">
        <f>COUNTIF(O1,"Ocak")*(AP1)
+COUNTIF(O1,"Şubat")*(AP2)
+COUNTIF(O1,"Mart")*(AP3)
+COUNTIF(O1,"Nisan")*(AP4)
+COUNTIF(O1,"Mayıs")*(AP5)
+COUNTIF(O1,"Haziran")*(AP6)
+COUNTIF(O1,"Temmuz")*(AP7)
+COUNTIF(O1,"Ağustos")*(AP8)
+COUNTIF(O1,"Eylül")*(AP9)
+COUNTIF(O1,"Ekim")*(AP10)
+COUNTIF(O1,"Kasım")*(AP11)
+COUNTIF(O1,"Aralık")*(AP12)
+COUNTIF(O1,"Yıllık Toplam")*(AP13)
+COUNTIF(O1,"Yıllık Ortalama")*(AP14)</f>
        <v>10725</v>
      </c>
      <c r="AA5" s="44" t="s">
        <v>0</v>
      </c>
      <c r="AB5" s="44" t="s">
        <v>0</v>
      </c>
      <c r="AC5" s="45">
        <f>($AC$16)</f>
        <v>3154.6307830000001</v>
      </c>
      <c r="AD5" s="45">
        <f>($AD$16)</f>
        <v>3154.6307830000001</v>
      </c>
      <c r="AE5" s="47">
        <f ca="1">(AY19-AZ19)</f>
        <v>98301.26</v>
      </c>
      <c r="AF5" s="47">
        <f ca="1">(ROUND(AE5*AU91*-1,2))</f>
        <v>-26541.34</v>
      </c>
      <c r="AG5" s="47">
        <f>(AZ76)</f>
        <v>4211.33</v>
      </c>
      <c r="AH5" s="47">
        <f t="shared" ca="1" si="1"/>
        <v>-22330.010000000002</v>
      </c>
      <c r="AI5" s="47">
        <f ca="1">(AJ5/AZ91)</f>
        <v>0</v>
      </c>
      <c r="AJ5" s="47">
        <f>(60*D19)</f>
        <v>0</v>
      </c>
      <c r="AK5" s="47">
        <f ca="1">(AL5/AZ91)</f>
        <v>41637.111153350408</v>
      </c>
      <c r="AL5" s="47">
        <f>(AK19/8*1.4*E19)</f>
        <v>25519.801796999996</v>
      </c>
      <c r="AM5" s="47">
        <f ca="1">(AN5/AZ91)</f>
        <v>0</v>
      </c>
      <c r="AN5" s="47">
        <f>(AK19/8*2*F19)</f>
        <v>0</v>
      </c>
      <c r="AO5" s="47">
        <f ca="1">(AP5+AF33*-1+AJ33*-1+AK33*-1+AO33*-1)</f>
        <v>13974.27</v>
      </c>
      <c r="AP5" s="47">
        <f>(430*G19)</f>
        <v>11180</v>
      </c>
      <c r="AQ5" s="47">
        <f ca="1">ROUND((AP5+AF33*-1+AJ33*-1+AK33*-1+AO33*-1),2)</f>
        <v>13974.27</v>
      </c>
      <c r="AR5" s="47">
        <f ca="1">IF($AC$14*G19&gt;=AQ5,AQ5,$AC$14*G19)</f>
        <v>7800</v>
      </c>
      <c r="BD5" s="46">
        <v>3</v>
      </c>
      <c r="BE5" s="49">
        <v>1.5</v>
      </c>
      <c r="BF5" s="50">
        <v>0.05</v>
      </c>
    </row>
    <row r="6" spans="1:58" ht="39.950000000000003" customHeight="1" x14ac:dyDescent="0.25">
      <c r="A6" s="80"/>
      <c r="B6" s="14"/>
      <c r="C6" s="15"/>
      <c r="D6" s="3"/>
      <c r="E6" s="3"/>
      <c r="F6" s="4"/>
      <c r="G6" s="3"/>
      <c r="H6" s="16"/>
      <c r="I6" s="17"/>
      <c r="J6" s="18"/>
      <c r="K6" s="3"/>
      <c r="L6" s="3"/>
      <c r="M6" s="3"/>
      <c r="N6" s="8"/>
      <c r="O6" s="85"/>
      <c r="P6" s="9"/>
      <c r="Q6" s="86"/>
      <c r="R6" s="19"/>
      <c r="S6" s="20"/>
      <c r="T6" s="75"/>
      <c r="U6" s="77"/>
      <c r="V6" s="44" t="s">
        <v>17</v>
      </c>
      <c r="W6" s="45">
        <f t="shared" si="2"/>
        <v>3229.25</v>
      </c>
      <c r="X6" s="45">
        <f>COUNTIF(O1,"Ocak")*(AE43)
+COUNTIF(O1,"Şubat")*(AE44)
+COUNTIF(O1,"Mart")*(AE45)
+COUNTIF(O1,"Nisan")*(AE46)
+COUNTIF(O1,"Mayıs")*(AE47)
+COUNTIF(O1,"Haziran")*(AE48)
+COUNTIF(O1,"Temmuz")*(AE49)
+COUNTIF(O1,"Ağustos")*(AE50)
+COUNTIF(O1,"Eylül")*(AE51)
+COUNTIF(O1,"Ekim")*(AE52)
+COUNTIF(O1,"Kasım")*(AE53)
+COUNTIF(O1,"Aralık")*(AE54)
+COUNTIF(O1,"Yıllık Toplam")*(AE55)
+COUNTIF(O1,"Yıllık Ortalama")*(AE56)</f>
        <v>3229.25</v>
      </c>
      <c r="AA6" s="44" t="s">
        <v>0</v>
      </c>
      <c r="AB6" s="44" t="s">
        <v>0</v>
      </c>
      <c r="AC6" s="45">
        <f>($AC$17)</f>
        <v>693.93550000000005</v>
      </c>
      <c r="AD6" s="45">
        <f>($AD$17)</f>
        <v>693.93550000000005</v>
      </c>
      <c r="AE6" s="47">
        <f ca="1">(AY20-AZ20)</f>
        <v>94930.65</v>
      </c>
      <c r="AF6" s="47">
        <f ca="1">(ROUND(AE6*AU92*-1,2))</f>
        <v>-25631.279999999999</v>
      </c>
      <c r="AG6" s="47">
        <f>(AZ77)</f>
        <v>4211.33</v>
      </c>
      <c r="AH6" s="47">
        <f t="shared" ca="1" si="1"/>
        <v>-21419.949999999997</v>
      </c>
      <c r="AI6" s="47">
        <f ca="1">(AJ6/AZ92)</f>
        <v>0</v>
      </c>
      <c r="AJ6" s="47">
        <f>(60*D20)</f>
        <v>0</v>
      </c>
      <c r="AK6" s="47">
        <f ca="1">(AL6/AZ92)</f>
        <v>41637.111153350408</v>
      </c>
      <c r="AL6" s="47">
        <f>(AK20/8*1.4*E20)</f>
        <v>25519.801796999996</v>
      </c>
      <c r="AM6" s="47">
        <f ca="1">(AN6/AZ92)</f>
        <v>0</v>
      </c>
      <c r="AN6" s="47">
        <f>(AK20/8*2*F20)</f>
        <v>0</v>
      </c>
      <c r="AO6" s="47">
        <f ca="1">(AP6+AF34*-1+AJ34*-1+AK34*-1+AO34*-1)</f>
        <v>13974.27</v>
      </c>
      <c r="AP6" s="47">
        <f>(430*G20)</f>
        <v>11180</v>
      </c>
      <c r="AQ6" s="47">
        <f ca="1">ROUND((AP6+AF34*-1+AJ34*-1+AK34*-1+AO34*-1),2)</f>
        <v>13974.27</v>
      </c>
      <c r="AR6" s="47">
        <f ca="1">IF($AC$14*G20&gt;=AQ6,AQ6,$AC$14*G20)</f>
        <v>7800</v>
      </c>
      <c r="BD6" s="46">
        <v>4</v>
      </c>
      <c r="BE6" s="49">
        <v>2</v>
      </c>
      <c r="BF6" s="50">
        <v>0.06</v>
      </c>
    </row>
    <row r="7" spans="1:58" ht="39.950000000000003" customHeight="1" x14ac:dyDescent="0.25">
      <c r="A7" s="80"/>
      <c r="B7" s="14"/>
      <c r="C7" s="15"/>
      <c r="D7" s="3"/>
      <c r="E7" s="3"/>
      <c r="F7" s="4"/>
      <c r="G7" s="3"/>
      <c r="H7" s="16"/>
      <c r="I7" s="17"/>
      <c r="J7" s="18"/>
      <c r="K7" s="3"/>
      <c r="L7" s="3"/>
      <c r="M7" s="3"/>
      <c r="N7" s="8"/>
      <c r="O7" s="85"/>
      <c r="P7" s="9"/>
      <c r="Q7" s="86"/>
      <c r="R7" s="19"/>
      <c r="S7" s="20"/>
      <c r="T7" s="75"/>
      <c r="U7" s="77"/>
      <c r="V7" s="44" t="s">
        <v>22</v>
      </c>
      <c r="W7" s="45">
        <f t="shared" si="2"/>
        <v>24893.472940333329</v>
      </c>
      <c r="X7" s="45">
        <f>COUNTIF(O1,"Ocak")*(AH43)
+COUNTIF(O1,"Şubat")*(AH44)
+COUNTIF(O1,"Mart")*(AH45)
+COUNTIF(O1,"Nisan")*(AH46)
+COUNTIF(O1,"Mayıs")*(AH47)
+COUNTIF(O1,"Haziran")*(AH48)
+COUNTIF(O1,"Temmuz")*(AH49)
+COUNTIF(O1,"Ağustos")*(AH50)
+COUNTIF(O1,"Eylül")*(AH51)
+COUNTIF(O1,"Ekim")*(AH52)
+COUNTIF(O1,"Kasım")*(AH53)
+COUNTIF(O1,"Aralık")*(AH54)
+COUNTIF(O1,"Yıllık Toplam")*(AH55)
+COUNTIF(O1,"Yıllık Ortalama")*(AH56)</f>
        <v>24893.472940333329</v>
      </c>
      <c r="AA7" s="44" t="s">
        <v>0</v>
      </c>
      <c r="AB7" s="44" t="s">
        <v>0</v>
      </c>
      <c r="AC7" s="45">
        <f>($AC$18)</f>
        <v>346.96775000000002</v>
      </c>
      <c r="AD7" s="45">
        <f>($AD$18)</f>
        <v>346.96775000000002</v>
      </c>
      <c r="AE7" s="47">
        <f ca="1">(AY21-AZ21)</f>
        <v>97848.579999999987</v>
      </c>
      <c r="AF7" s="47">
        <f ca="1">(ROUND(AE7*AU93*-1,2))</f>
        <v>-26419.119999999999</v>
      </c>
      <c r="AG7" s="47">
        <f>(AZ78)</f>
        <v>4537.75</v>
      </c>
      <c r="AH7" s="47">
        <f t="shared" ca="1" si="1"/>
        <v>-21881.37</v>
      </c>
      <c r="AI7" s="47">
        <f ca="1">(AJ7/AZ93)</f>
        <v>0</v>
      </c>
      <c r="AJ7" s="47">
        <f>(60*D21)</f>
        <v>0</v>
      </c>
      <c r="AK7" s="47">
        <f ca="1">(AL7/AZ93)</f>
        <v>41637.111153350408</v>
      </c>
      <c r="AL7" s="47">
        <f>(AK21/8*1.4*E21)</f>
        <v>25519.801796999996</v>
      </c>
      <c r="AM7" s="47">
        <f ca="1">(AN7/AZ93)</f>
        <v>0</v>
      </c>
      <c r="AN7" s="47">
        <f>(AK21/8*2*F21)</f>
        <v>0</v>
      </c>
      <c r="AO7" s="47">
        <f ca="1">(AP7+AF35*-1+AJ35*-1+AK35*-1+AO35*-1)</f>
        <v>13974.27</v>
      </c>
      <c r="AP7" s="47">
        <f>(430*G21)</f>
        <v>11180</v>
      </c>
      <c r="AQ7" s="47">
        <f ca="1">ROUND((AP7+AF35*-1+AJ35*-1+AK35*-1+AO35*-1),2)</f>
        <v>13974.27</v>
      </c>
      <c r="AR7" s="47">
        <f ca="1">IF($AD$14*G21&gt;=AQ7,AQ7,$AD$14*G21)</f>
        <v>7800</v>
      </c>
      <c r="BD7" s="46">
        <v>5</v>
      </c>
      <c r="BE7" s="49">
        <v>2.5</v>
      </c>
      <c r="BF7" s="50">
        <v>7.0000000000000007E-2</v>
      </c>
    </row>
    <row r="8" spans="1:58" ht="39.950000000000003" customHeight="1" x14ac:dyDescent="0.25">
      <c r="A8" s="80"/>
      <c r="B8" s="14"/>
      <c r="C8" s="15"/>
      <c r="D8" s="3"/>
      <c r="E8" s="3"/>
      <c r="F8" s="4"/>
      <c r="G8" s="3"/>
      <c r="H8" s="16"/>
      <c r="I8" s="17"/>
      <c r="J8" s="18"/>
      <c r="K8" s="3"/>
      <c r="L8" s="3"/>
      <c r="M8" s="3"/>
      <c r="N8" s="8"/>
      <c r="O8" s="85"/>
      <c r="P8" s="9"/>
      <c r="Q8" s="86"/>
      <c r="R8" s="19"/>
      <c r="S8" s="20"/>
      <c r="T8" s="75"/>
      <c r="U8" s="77"/>
      <c r="V8" s="44" t="s">
        <v>7</v>
      </c>
      <c r="W8" s="45">
        <f t="shared" ca="1" si="2"/>
        <v>4284.265995180459</v>
      </c>
      <c r="X8" s="45">
        <f ca="1">COUNTIF(O1,"Ocak")*(AM43)
+COUNTIF(O1,"Şubat")*(AM44)
+COUNTIF(O1,"Mart")*(AM45)
+COUNTIF(O1,"Nisan")*(AM46)
+COUNTIF(O1,"Mayıs")*(AM47)
+COUNTIF(O1,"Haziran")*(AM48)
+COUNTIF(O1,"Temmuz")*(AM49)
+COUNTIF(O1,"Ağustos")*(AM50)
+COUNTIF(O1,"Eylül")*(AM51)
+COUNTIF(O1,"Ekim")*(AM52)
+COUNTIF(O1,"Kasım")*(AM53)
+COUNTIF(O1,"Aralık")*(AM54)
+COUNTIF(O1,"Yıllık Toplam")*(AM55)
+COUNTIF(O1,"Yıllık Ortalama")*(AM56)</f>
        <v>4284.265995180459</v>
      </c>
      <c r="AA8" s="45" t="s">
        <v>0</v>
      </c>
      <c r="AB8" s="44" t="s">
        <v>0</v>
      </c>
      <c r="AC8" s="45">
        <v>33030</v>
      </c>
      <c r="AD8" s="45">
        <v>33030</v>
      </c>
      <c r="AE8" s="47">
        <f ca="1">(AY22-AZ22)</f>
        <v>96354.48000000001</v>
      </c>
      <c r="AF8" s="47">
        <f ca="1">(ROUND(AE8*AU94*-1,2))</f>
        <v>-26015.71</v>
      </c>
      <c r="AG8" s="47">
        <f>(AZ79)</f>
        <v>5615.1</v>
      </c>
      <c r="AH8" s="47">
        <f t="shared" ca="1" si="1"/>
        <v>-20400.61</v>
      </c>
      <c r="AI8" s="47">
        <f ca="1">(AJ8/AZ94)</f>
        <v>0</v>
      </c>
      <c r="AJ8" s="47">
        <f>(60*D22)</f>
        <v>0</v>
      </c>
      <c r="AK8" s="47">
        <f ca="1">(AL8/AZ94)</f>
        <v>41637.111153350408</v>
      </c>
      <c r="AL8" s="47">
        <f>(AK22/8*1.4*E22)</f>
        <v>25519.801796999996</v>
      </c>
      <c r="AM8" s="47">
        <f ca="1">(AN8/AZ94)</f>
        <v>0</v>
      </c>
      <c r="AN8" s="47">
        <f>(AK22/8*2*F22)</f>
        <v>0</v>
      </c>
      <c r="AO8" s="47">
        <f ca="1">(AP8+AF36*-1+AJ36*-1+AK36*-1+AO36*-1)</f>
        <v>13974.27</v>
      </c>
      <c r="AP8" s="47">
        <f>(430*G22)</f>
        <v>11180</v>
      </c>
      <c r="AQ8" s="47">
        <f ca="1">ROUND((AP8+AF36*-1+AJ36*-1+AK36*-1+AO36*-1),2)</f>
        <v>13974.27</v>
      </c>
      <c r="AR8" s="47">
        <f ca="1">IF($AD$14*G22&gt;=AQ8,AQ8,$AD$14*G22)</f>
        <v>7800</v>
      </c>
      <c r="BD8" s="46">
        <v>6</v>
      </c>
      <c r="BE8" s="49">
        <v>3</v>
      </c>
      <c r="BF8" s="50">
        <v>0.08</v>
      </c>
    </row>
    <row r="9" spans="1:58" ht="39.950000000000003" customHeight="1" x14ac:dyDescent="0.25">
      <c r="A9" s="80"/>
      <c r="B9" s="22"/>
      <c r="C9" s="23"/>
      <c r="D9" s="3"/>
      <c r="E9" s="3"/>
      <c r="F9" s="4"/>
      <c r="G9" s="3"/>
      <c r="H9" s="16"/>
      <c r="I9" s="17"/>
      <c r="J9" s="18"/>
      <c r="K9" s="3"/>
      <c r="L9" s="3"/>
      <c r="M9" s="3"/>
      <c r="N9" s="8"/>
      <c r="O9" s="85"/>
      <c r="P9" s="9"/>
      <c r="Q9" s="86"/>
      <c r="R9" s="19"/>
      <c r="S9" s="20"/>
      <c r="T9" s="75"/>
      <c r="U9" s="77"/>
      <c r="V9" s="44" t="s">
        <v>71</v>
      </c>
      <c r="W9" s="45">
        <f t="shared" ref="W9" si="3">IF(X9&gt;0,X9,X9*-1)</f>
        <v>0</v>
      </c>
      <c r="X9" s="45">
        <f>COUNTIF(O1,"Ocak")*(AP43)
+COUNTIF(O1,"Şubat")*(AP44)
+COUNTIF(O1,"Mart")*(AP45)
+COUNTIF(O1,"Nisan")*(AP46)
+COUNTIF(O1,"Mayıs")*(AP47)
+COUNTIF(O1,"Haziran")*(AP48)
+COUNTIF(O1,"Temmuz")*(AP49)
+COUNTIF(O1,"Ağustos")*(AP50)
+COUNTIF(O1,"Eylül")*(AP51)
+COUNTIF(O1,"Ekim")*(AP52)
+COUNTIF(O1,"Kasım")*(AP53)
+COUNTIF(O1,"Aralık")*(AP54)
+COUNTIF(O1,"Yıllık Toplam")*(AP55)
+COUNTIF(O1,"Yıllık Ortalama")*(AP56)</f>
        <v>0</v>
      </c>
      <c r="AA9" s="45" t="s">
        <v>0</v>
      </c>
      <c r="AB9" s="44" t="s">
        <v>0</v>
      </c>
      <c r="AC9" s="45">
        <v>0</v>
      </c>
      <c r="AD9" s="45">
        <v>0</v>
      </c>
      <c r="AE9" s="47">
        <f ca="1">(AY23-AZ23)</f>
        <v>108332.84</v>
      </c>
      <c r="AF9" s="47">
        <f ca="1">(ROUND(AE9*AU95*-1,2))</f>
        <v>-29380.51</v>
      </c>
      <c r="AG9" s="47">
        <f>(AZ80)</f>
        <v>5615.1</v>
      </c>
      <c r="AH9" s="47">
        <f t="shared" ca="1" si="1"/>
        <v>-23765.409999999996</v>
      </c>
      <c r="AI9" s="47">
        <f ca="1">(AJ9/AZ95)</f>
        <v>0</v>
      </c>
      <c r="AJ9" s="47">
        <f>(60*D23)</f>
        <v>0</v>
      </c>
      <c r="AK9" s="47">
        <f ca="1">(AL9/AZ95)</f>
        <v>47962.893135350118</v>
      </c>
      <c r="AL9" s="47">
        <f>(AK23/8*1.4*E23)</f>
        <v>29347.772066549995</v>
      </c>
      <c r="AM9" s="47">
        <f ca="1">(AN9/AZ95)</f>
        <v>0</v>
      </c>
      <c r="AN9" s="47">
        <f>(AK23/8*2*F23)</f>
        <v>0</v>
      </c>
      <c r="AO9" s="47">
        <f ca="1">(AP9+AF37*-1+AJ37*-1+AK37*-1+AO37*-1)</f>
        <v>13983.52</v>
      </c>
      <c r="AP9" s="47">
        <f>(430*G23)</f>
        <v>11180</v>
      </c>
      <c r="AQ9" s="47">
        <f ca="1">ROUND((AP9+AF37*-1+AJ37*-1+AK37*-1+AO37*-1),2)</f>
        <v>13983.52</v>
      </c>
      <c r="AR9" s="47">
        <f ca="1">IF($AD$14*G23&gt;=AQ9,AQ9,$AD$14*G23)</f>
        <v>7800</v>
      </c>
      <c r="BD9" s="46">
        <v>7</v>
      </c>
      <c r="BE9" s="49">
        <v>3.5</v>
      </c>
      <c r="BF9" s="50">
        <v>0.09</v>
      </c>
    </row>
    <row r="10" spans="1:58" ht="39.950000000000003" customHeight="1" x14ac:dyDescent="0.25">
      <c r="A10" s="80"/>
      <c r="B10" s="1" t="s">
        <v>75</v>
      </c>
      <c r="C10" s="2">
        <f>COUNTIF($A$1,"Deniz Taksi / Kaptan")*($AD$39)
+COUNTIF($A$1,"Deniz Taksi / Gemici")*($AD$40)</f>
        <v>2795.0259110999996</v>
      </c>
      <c r="D10" s="3"/>
      <c r="E10" s="3"/>
      <c r="F10" s="4"/>
      <c r="G10" s="3"/>
      <c r="H10" s="16"/>
      <c r="I10" s="17"/>
      <c r="J10" s="18"/>
      <c r="K10" s="3"/>
      <c r="L10" s="3"/>
      <c r="M10" s="3"/>
      <c r="N10" s="8"/>
      <c r="O10" s="85"/>
      <c r="P10" s="9"/>
      <c r="Q10" s="86"/>
      <c r="R10" s="19"/>
      <c r="S10" s="20"/>
      <c r="T10" s="75"/>
      <c r="U10" s="77"/>
      <c r="V10" s="44" t="s">
        <v>24</v>
      </c>
      <c r="W10" s="45">
        <f t="shared" ref="W10:W19" si="4">IF(X10&gt;0,X10,X10*-1)</f>
        <v>0</v>
      </c>
      <c r="X10" s="45">
        <f>COUNTIF(O1,"Ocak")*(AG57)
+COUNTIF(O1,"Şubat")*(AG58)
+COUNTIF(O1,"Mart")*(AG59)
+COUNTIF(O1,"Nisan")*(AG60)
+COUNTIF(O1,"Mayıs")*(AG61)
+COUNTIF(O1,"Haziran")*(AG62)
+COUNTIF(O1,"Temmuz")*(AG63)
+COUNTIF(O1,"Ağustos")*(AG64)
+COUNTIF(O1,"Eylül")*(AG65)
+COUNTIF(O1,"Ekim")*(AG66)
+COUNTIF(O1,"Kasım")*(AG67)
+COUNTIF(O1,"Aralık")*(AG68)
+COUNTIF(O1,"Yıllık Toplam")*(AG69)
+COUNTIF(O1,"Yıllık Ortalama")*(AG70)</f>
        <v>0</v>
      </c>
      <c r="AA10" s="45" t="s">
        <v>0</v>
      </c>
      <c r="AB10" s="44" t="s">
        <v>0</v>
      </c>
      <c r="AC10" s="45">
        <v>158</v>
      </c>
      <c r="AD10" s="45">
        <v>158</v>
      </c>
      <c r="AE10" s="47">
        <f ca="1">(AY24-AZ24)</f>
        <v>126007.97</v>
      </c>
      <c r="AF10" s="47">
        <f ca="1">(ROUND(AE10*AU96*-1,2))</f>
        <v>-44102.79</v>
      </c>
      <c r="AG10" s="47">
        <f>(AZ81)</f>
        <v>5615.1</v>
      </c>
      <c r="AH10" s="47">
        <f t="shared" ca="1" si="1"/>
        <v>-38487.69</v>
      </c>
      <c r="AI10" s="47">
        <f ca="1">(AJ10/AZ96)</f>
        <v>0</v>
      </c>
      <c r="AJ10" s="47">
        <f>(60*D24)</f>
        <v>0</v>
      </c>
      <c r="AK10" s="47">
        <f ca="1">(AL10/AZ96)</f>
        <v>53858.017042355605</v>
      </c>
      <c r="AL10" s="47">
        <f>(AK24/8*1.4*E24)</f>
        <v>29347.772066549995</v>
      </c>
      <c r="AM10" s="47">
        <f ca="1">(AN10/AZ96)</f>
        <v>0</v>
      </c>
      <c r="AN10" s="47">
        <f>(AK24/8*2*F24)</f>
        <v>0</v>
      </c>
      <c r="AO10" s="47">
        <f ca="1">(AP10+AF38*-1+AJ38*-1+AK38*-1+AO38*-1)</f>
        <v>14663.449999999999</v>
      </c>
      <c r="AP10" s="47">
        <f>(430*G24)</f>
        <v>11180</v>
      </c>
      <c r="AQ10" s="47">
        <f ca="1">ROUND((AP10+AF38*-1+AJ38*-1+AK38*-1+AO38*-1),2)</f>
        <v>14663.45</v>
      </c>
      <c r="AR10" s="47">
        <f ca="1">IF($AD$14*G24&gt;=AQ10,AQ10,$AD$14*G24)</f>
        <v>7800</v>
      </c>
      <c r="BD10" s="46">
        <v>8</v>
      </c>
      <c r="BE10" s="49">
        <v>4</v>
      </c>
      <c r="BF10" s="50">
        <v>0.1</v>
      </c>
    </row>
    <row r="11" spans="1:58" ht="39.950000000000003" customHeight="1" x14ac:dyDescent="0.25">
      <c r="A11" s="80"/>
      <c r="B11" s="14"/>
      <c r="C11" s="15"/>
      <c r="D11" s="3"/>
      <c r="E11" s="3"/>
      <c r="F11" s="4"/>
      <c r="G11" s="3"/>
      <c r="H11" s="16"/>
      <c r="I11" s="17"/>
      <c r="J11" s="18"/>
      <c r="K11" s="3"/>
      <c r="L11" s="3"/>
      <c r="M11" s="3"/>
      <c r="N11" s="8"/>
      <c r="O11" s="85"/>
      <c r="P11" s="9"/>
      <c r="Q11" s="86"/>
      <c r="R11" s="19"/>
      <c r="S11" s="20"/>
      <c r="T11" s="75"/>
      <c r="U11" s="77"/>
      <c r="V11" s="44" t="s">
        <v>25</v>
      </c>
      <c r="W11" s="45">
        <f t="shared" ca="1" si="4"/>
        <v>3441.9357579479724</v>
      </c>
      <c r="X11" s="45">
        <f ca="1">COUNTIF(O1,"Ocak")*(AI57)*-1
+COUNTIF(O1,"Şubat")*(AI58)*-1
+COUNTIF(O1,"Mart")*(AI59)*-1
+COUNTIF(O1,"Nisan")*(AI60)*-1
+COUNTIF(O1,"Mayıs")*(AI61)*-1
+COUNTIF(O1,"Haziran")*(AI62)*-1
+COUNTIF(O1,"Temmuz")*(AI63)*-1
+COUNTIF(O1,"Ağustos")*(AI64)*-1
+COUNTIF(O1,"Eylül")*(AI65)*-1
+COUNTIF(O1,"Ekim")*(AI66)*-1
+COUNTIF(O1,"Kasım")*(AI67)*-1
+COUNTIF(O1,"Aralık")*(AI68)*-1
+COUNTIF(O1,"Yıllık Toplam")*(AI69)*-1
+COUNTIF(O1,"Yıllık Ortalama")*(AI70)*-1</f>
        <v>3441.9357579479724</v>
      </c>
      <c r="AA11" s="45" t="s">
        <v>0</v>
      </c>
      <c r="AB11" s="44" t="s">
        <v>0</v>
      </c>
      <c r="AC11" s="45">
        <v>1000</v>
      </c>
      <c r="AD11" s="45">
        <v>1000</v>
      </c>
      <c r="AE11" s="47">
        <f ca="1">(AY25-AZ25)</f>
        <v>121648.05000000002</v>
      </c>
      <c r="AF11" s="47">
        <f ca="1">(ROUND(AE11*AU97*-1,2))</f>
        <v>-42576.82</v>
      </c>
      <c r="AG11" s="47">
        <f>(AZ82)</f>
        <v>5615.1</v>
      </c>
      <c r="AH11" s="47">
        <f t="shared" ca="1" si="1"/>
        <v>-36961.72</v>
      </c>
      <c r="AI11" s="47">
        <f ca="1">(AJ11/AZ97)</f>
        <v>0</v>
      </c>
      <c r="AJ11" s="47">
        <f>(60*D25)</f>
        <v>0</v>
      </c>
      <c r="AK11" s="47">
        <f ca="1">(AL11/AZ97)</f>
        <v>53858.017042355605</v>
      </c>
      <c r="AL11" s="47">
        <f>(AK25/8*1.4*E25)</f>
        <v>29347.772066549995</v>
      </c>
      <c r="AM11" s="47">
        <f ca="1">(AN11/AZ97)</f>
        <v>0</v>
      </c>
      <c r="AN11" s="47">
        <f>(AK25/8*2*F25)</f>
        <v>0</v>
      </c>
      <c r="AO11" s="47">
        <f ca="1">(AP11+AF39*-1+AJ39*-1+AK39*-1+AO39*-1)</f>
        <v>14663.449999999999</v>
      </c>
      <c r="AP11" s="47">
        <f>(430*G25)</f>
        <v>11180</v>
      </c>
      <c r="AQ11" s="47">
        <f ca="1">ROUND((AP11+AF39*-1+AJ39*-1+AK39*-1+AO39*-1),2)</f>
        <v>14663.45</v>
      </c>
      <c r="AR11" s="47">
        <f ca="1">IF($AD$14*G25&gt;=AQ11,AQ11,$AD$14*G25)</f>
        <v>7800</v>
      </c>
      <c r="BD11" s="46">
        <v>9</v>
      </c>
      <c r="BE11" s="49">
        <v>4.5</v>
      </c>
      <c r="BF11" s="50">
        <v>0.11</v>
      </c>
    </row>
    <row r="12" spans="1:58" ht="39.950000000000003" customHeight="1" x14ac:dyDescent="0.25">
      <c r="A12" s="80"/>
      <c r="B12" s="14"/>
      <c r="C12" s="15"/>
      <c r="D12" s="3"/>
      <c r="E12" s="3"/>
      <c r="F12" s="4"/>
      <c r="G12" s="3"/>
      <c r="H12" s="16"/>
      <c r="I12" s="17"/>
      <c r="J12" s="18"/>
      <c r="K12" s="3"/>
      <c r="L12" s="3"/>
      <c r="M12" s="3"/>
      <c r="N12" s="8"/>
      <c r="O12" s="85"/>
      <c r="P12" s="9"/>
      <c r="Q12" s="86"/>
      <c r="R12" s="19"/>
      <c r="S12" s="20"/>
      <c r="T12" s="75"/>
      <c r="U12" s="77"/>
      <c r="V12" s="44" t="s">
        <v>19</v>
      </c>
      <c r="W12" s="45">
        <f t="shared" ca="1" si="4"/>
        <v>0</v>
      </c>
      <c r="X12" s="45">
        <f ca="1">COUNTIF(O1,"Ocak")*(BC15)*-1
+COUNTIF(O1,"Şubat")*(BC16)*-1
+COUNTIF(O1,"Mart")*(BC17)*-1
+COUNTIF(O1,"Nisan")*(BC18)*-1
+COUNTIF(O1,"Mayıs")*(BC19)*-1
+COUNTIF(O1,"Haziran")*(BC20)*-1
+COUNTIF(O1,"Temmuz")*(BC21)*-1
+COUNTIF(O1,"Ağustos")*(BC22)*-1
+COUNTIF(O1,"Eylül")*(BC23)*-1
+COUNTIF(O1,"Ekim")*(BC24)*-1
+COUNTIF(O1,"Kasım")*(BC25)*-1
+COUNTIF(O1,"Aralık")*(BC26)*-1
+COUNTIF(O1,"Yıllık Toplam")*(BC27)*-1
+COUNTIF(O1,"Yıllık Ortalama")*(BC28)*-1</f>
        <v>0</v>
      </c>
      <c r="AA12" s="45" t="s">
        <v>0</v>
      </c>
      <c r="AB12" s="44" t="s">
        <v>0</v>
      </c>
      <c r="AC12" s="45">
        <v>1000</v>
      </c>
      <c r="AD12" s="45">
        <v>1000</v>
      </c>
      <c r="AE12" s="47">
        <f ca="1">(AY26-AZ26)</f>
        <v>126007.97</v>
      </c>
      <c r="AF12" s="47">
        <f ca="1">(ROUND(AE12*AU98*-1,2))</f>
        <v>-44102.79</v>
      </c>
      <c r="AG12" s="47">
        <f>(AZ83)</f>
        <v>5615.1</v>
      </c>
      <c r="AH12" s="47">
        <f t="shared" ca="1" si="1"/>
        <v>-38487.69</v>
      </c>
      <c r="AI12" s="47">
        <f ca="1">(AJ12/AZ98)</f>
        <v>0</v>
      </c>
      <c r="AJ12" s="47">
        <f>(60*D26)</f>
        <v>0</v>
      </c>
      <c r="AK12" s="47">
        <f ca="1">(AL12/AZ98)</f>
        <v>53858.017042355605</v>
      </c>
      <c r="AL12" s="47">
        <f>(AK26/8*1.4*E26)</f>
        <v>29347.772066549995</v>
      </c>
      <c r="AM12" s="47">
        <f ca="1">(AN12/AZ98)</f>
        <v>0</v>
      </c>
      <c r="AN12" s="47">
        <f>(AK26/8*2*F26)</f>
        <v>0</v>
      </c>
      <c r="AO12" s="47">
        <f ca="1">(AP12+AF40*-1+AJ40*-1+AK40*-1+AO40*-1)</f>
        <v>14663.449999999999</v>
      </c>
      <c r="AP12" s="47">
        <f>(430*G26)</f>
        <v>11180</v>
      </c>
      <c r="AQ12" s="47">
        <f ca="1">ROUND((AP12+AF40*-1+AJ40*-1+AK40*-1+AO40*-1),2)</f>
        <v>14663.45</v>
      </c>
      <c r="AR12" s="47">
        <f ca="1">IF($AD$14*G26&gt;=AQ12,AQ12,$AD$14*G26)</f>
        <v>7800</v>
      </c>
      <c r="BD12" s="46">
        <v>10</v>
      </c>
      <c r="BE12" s="49">
        <v>5</v>
      </c>
      <c r="BF12" s="50">
        <v>0.12</v>
      </c>
    </row>
    <row r="13" spans="1:58" ht="39.950000000000003" customHeight="1" x14ac:dyDescent="0.25">
      <c r="A13" s="80"/>
      <c r="B13" s="14"/>
      <c r="C13" s="15"/>
      <c r="D13" s="3"/>
      <c r="E13" s="3"/>
      <c r="F13" s="4"/>
      <c r="G13" s="3"/>
      <c r="H13" s="16"/>
      <c r="I13" s="17"/>
      <c r="J13" s="18"/>
      <c r="K13" s="3"/>
      <c r="L13" s="3"/>
      <c r="M13" s="3"/>
      <c r="N13" s="8"/>
      <c r="O13" s="85"/>
      <c r="P13" s="9"/>
      <c r="Q13" s="86"/>
      <c r="R13" s="19"/>
      <c r="S13" s="20"/>
      <c r="T13" s="75"/>
      <c r="U13" s="77"/>
      <c r="V13" s="44" t="s">
        <v>20</v>
      </c>
      <c r="W13" s="45">
        <f t="shared" ca="1" si="4"/>
        <v>1383.1783333333333</v>
      </c>
      <c r="X13" s="47">
        <f ca="1">COUNTIF(O1,"Ocak")*(AI87)*-1
+COUNTIF(O1,"Şubat")*(AI88)*-1
+COUNTIF(O1,"Mart")*(AI89)*-1
+COUNTIF(O1,"Nisan")*(AI90)*-1
+COUNTIF(O1,"Mayıs")*(AI91)*-1
+COUNTIF(O1,"Haziran")*(AI92)*-1
+COUNTIF(O1,"Temmuz")*(AI93)*-1
+COUNTIF(O1,"Ağustos")*(AI94)*-1
+COUNTIF(O1,"Eylül")*(AI95)*-1
+COUNTIF(O1,"Ekim")*(AI96)*-1
+COUNTIF(O1,"Kasım")*(AI97)*-1
+COUNTIF(O1,"Aralık")*(AI98)*-1
+COUNTIF(O1,"Yıllık Toplam")*(AI99)*-1
+COUNTIF(O1,"Yıllık Ortalama")*(AI100)*-1</f>
        <v>1383.1783333333333</v>
      </c>
      <c r="AA13" s="48">
        <f>(23.65%)</f>
        <v>0.23649999999999999</v>
      </c>
      <c r="AB13" s="44" t="s">
        <v>0</v>
      </c>
      <c r="AC13" s="45">
        <v>158</v>
      </c>
      <c r="AD13" s="45">
        <v>158</v>
      </c>
      <c r="AE13" s="47">
        <f ca="1">(AE1+AE2+AE3+AE4+AE5+AE6+AE7+AE8+AE9+AE10+AE11+AE12)</f>
        <v>1188472.2499999998</v>
      </c>
      <c r="AF13" s="47">
        <f ca="1">(AF1+AF2+AF3+AF4+AF5+AF6+AF7+AF8+AF9+AF10+AF11+AF12)</f>
        <v>-329327.23</v>
      </c>
      <c r="AG13" s="47">
        <f>(AG1+AG2+AG3+AG4+AG5+AG6+AG7+AG8+AG9+AG10+AG11+AG12)</f>
        <v>57881.229999999996</v>
      </c>
      <c r="AH13" s="47">
        <f ca="1">(AH1+AH2+AH3+AH4+AH5+AH6+AH7+AH8+AH9+AH10+AH11+AH12)</f>
        <v>-271446</v>
      </c>
      <c r="AI13" s="47">
        <f t="shared" ref="AI13:AJ13" ca="1" si="5">(AI1+AI2+AI3+AI4+AI5+AI6+AI7+AI8+AI9+AI10+AI11+AI12)</f>
        <v>0</v>
      </c>
      <c r="AJ13" s="47">
        <f t="shared" si="5"/>
        <v>0</v>
      </c>
      <c r="AK13" s="47">
        <f t="shared" ref="AK13:AL13" ca="1" si="6">(AK1+AK2+AK3+AK4+AK5+AK6+AK7+AK8+AK9+AK10+AK11+AK12)</f>
        <v>516467.09914998064</v>
      </c>
      <c r="AL13" s="47">
        <f t="shared" si="6"/>
        <v>313657.75904819992</v>
      </c>
      <c r="AM13" s="47">
        <f t="shared" ref="AM13:AN13" ca="1" si="7">(AM1+AM2+AM3+AM4+AM5+AM6+AM7+AM8+AM9+AM10+AM11+AM12)</f>
        <v>0</v>
      </c>
      <c r="AN13" s="47">
        <f t="shared" si="7"/>
        <v>0</v>
      </c>
      <c r="AO13" s="47">
        <f ca="1">(AO1+AO2+AO3+AO4+AO5+AO6+AO7+AO8+AO9+AO10+AO11+AO12)</f>
        <v>160106.16000000003</v>
      </c>
      <c r="AP13" s="47">
        <f>(AP1+AP2+AP3+AP4+AP5+AP6+AP7+AP8+AP9+AP10+AP11+AP12)</f>
        <v>128700</v>
      </c>
      <c r="AQ13" s="47">
        <f ca="1">(AQ1+AQ2+AQ3+AQ4+AQ5+AQ6+AQ7+AQ8+AQ9+AQ10+AQ11+AQ12)</f>
        <v>160106.16000000003</v>
      </c>
      <c r="AR13" s="47">
        <f ca="1">(AR1+AR2+AR3+AR4+AR5+AR6+AR7+AR8+AR9+AR10+AR11+AR12)</f>
        <v>93600</v>
      </c>
      <c r="BD13" s="46">
        <v>11</v>
      </c>
      <c r="BE13" s="49">
        <v>5.5</v>
      </c>
      <c r="BF13" s="50">
        <v>0.13</v>
      </c>
    </row>
    <row r="14" spans="1:58" ht="39.950000000000003" customHeight="1" x14ac:dyDescent="0.25">
      <c r="A14" s="80"/>
      <c r="B14" s="22"/>
      <c r="C14" s="23"/>
      <c r="D14" s="3"/>
      <c r="E14" s="3"/>
      <c r="F14" s="4"/>
      <c r="G14" s="3"/>
      <c r="H14" s="24"/>
      <c r="I14" s="25"/>
      <c r="J14" s="26"/>
      <c r="K14" s="3"/>
      <c r="L14" s="3"/>
      <c r="M14" s="3"/>
      <c r="N14" s="8"/>
      <c r="O14" s="85"/>
      <c r="P14" s="9"/>
      <c r="Q14" s="86"/>
      <c r="R14" s="19"/>
      <c r="S14" s="20"/>
      <c r="T14" s="75"/>
      <c r="U14" s="77"/>
      <c r="V14" s="44" t="s">
        <v>4</v>
      </c>
      <c r="W14" s="45">
        <f t="shared" ca="1" si="4"/>
        <v>27980.036666666667</v>
      </c>
      <c r="X14" s="47">
        <f ca="1">COUNTIF(O1,"Ocak")*(AM87)*-1
+COUNTIF(O1,"Şubat")*(AM88)*-1
+COUNTIF(O1,"Mart")*(AM89)*-1
+COUNTIF(O1,"Nisan")*(AM90)*-1
+COUNTIF(O1,"Mayıs")*(AM91)*-1
+COUNTIF(O1,"Haziran")*(AM92)*-1
+COUNTIF(O1,"Temmuz")*(AM93)*-1
+COUNTIF(O1,"Ağustos")*(AM94)*-1
+COUNTIF(O1,"Eylül")*(AM95)*-1
+COUNTIF(O1,"Ekim")*(AM96)*-1
+COUNTIF(O1,"Kasım")*(AM97)*-1
+COUNTIF(O1,"Aralık")*(AM98)*-1
+COUNTIF(O1,"Yıllık Toplam")*(AM99)*-1
+COUNTIF(O1,"Yıllık Ortalama")*(AM100)*-1</f>
        <v>27980.036666666667</v>
      </c>
      <c r="AA14" s="45" t="s">
        <v>0</v>
      </c>
      <c r="AB14" s="44" t="s">
        <v>0</v>
      </c>
      <c r="AC14" s="45">
        <v>300</v>
      </c>
      <c r="AD14" s="45">
        <v>300</v>
      </c>
      <c r="AE14" s="47">
        <f ca="1">(AE13/12)</f>
        <v>99039.354166666642</v>
      </c>
      <c r="AF14" s="47">
        <f ca="1">(AF13/12)</f>
        <v>-27443.935833333333</v>
      </c>
      <c r="AG14" s="47">
        <f>(AG13/12)</f>
        <v>4823.435833333333</v>
      </c>
      <c r="AH14" s="47">
        <f ca="1">(AH13/12)</f>
        <v>-22620.5</v>
      </c>
      <c r="AI14" s="47">
        <f t="shared" ref="AI14:AJ14" ca="1" si="8">(AI13/12)</f>
        <v>0</v>
      </c>
      <c r="AJ14" s="47">
        <f t="shared" si="8"/>
        <v>0</v>
      </c>
      <c r="AK14" s="47">
        <f t="shared" ref="AK14:AL14" ca="1" si="9">(AK13/12)</f>
        <v>43038.924929165056</v>
      </c>
      <c r="AL14" s="47">
        <f t="shared" si="9"/>
        <v>26138.146587349995</v>
      </c>
      <c r="AM14" s="47">
        <f t="shared" ref="AM14:AN14" ca="1" si="10">(AM13/12)</f>
        <v>0</v>
      </c>
      <c r="AN14" s="47">
        <f t="shared" si="10"/>
        <v>0</v>
      </c>
      <c r="AO14" s="47">
        <f ca="1">(AO13/12)</f>
        <v>13342.180000000002</v>
      </c>
      <c r="AP14" s="47">
        <f>(AP13/12)</f>
        <v>10725</v>
      </c>
      <c r="AQ14" s="47">
        <f ca="1">(AQ13/12)</f>
        <v>13342.180000000002</v>
      </c>
      <c r="AR14" s="47">
        <f ca="1">(AR13/12)</f>
        <v>7800</v>
      </c>
      <c r="BD14" s="46">
        <v>12</v>
      </c>
      <c r="BE14" s="49">
        <v>6</v>
      </c>
      <c r="BF14" s="50">
        <v>0.14000000000000001</v>
      </c>
    </row>
    <row r="15" spans="1:58" ht="39.950000000000003" customHeight="1" x14ac:dyDescent="0.25">
      <c r="A15" s="27">
        <f ca="1">(AU87)</f>
        <v>0.15</v>
      </c>
      <c r="B15" s="28" t="s">
        <v>76</v>
      </c>
      <c r="C15" s="29"/>
      <c r="D15" s="81">
        <v>0</v>
      </c>
      <c r="E15" s="82">
        <v>60</v>
      </c>
      <c r="F15" s="82">
        <v>0</v>
      </c>
      <c r="G15" s="81">
        <v>26</v>
      </c>
      <c r="H15" s="83" t="s">
        <v>1</v>
      </c>
      <c r="I15" s="83" t="s">
        <v>1</v>
      </c>
      <c r="J15" s="83" t="s">
        <v>1</v>
      </c>
      <c r="K15" s="84">
        <v>0</v>
      </c>
      <c r="L15" s="30">
        <f ca="1">(AF87+AI57+BC15+AI87+AM87+AN87+AW87-M15)</f>
        <v>68784.550322580646</v>
      </c>
      <c r="M15" s="30">
        <f ca="1">(AL1+AN1+AP1+BB15)</f>
        <v>30023.929999999997</v>
      </c>
      <c r="N15" s="31">
        <f ca="1">(L15+M15)</f>
        <v>98808.480322580639</v>
      </c>
      <c r="O15" s="85"/>
      <c r="P15" s="9"/>
      <c r="Q15" s="86"/>
      <c r="R15" s="19"/>
      <c r="S15" s="20"/>
      <c r="T15" s="75"/>
      <c r="U15" s="77"/>
      <c r="V15" s="44" t="s">
        <v>5</v>
      </c>
      <c r="W15" s="45">
        <f t="shared" ca="1" si="4"/>
        <v>1998.5741666666665</v>
      </c>
      <c r="X15" s="47">
        <f ca="1">COUNTIF(O1,"Ocak")*(AN87)*-1
+COUNTIF(O1,"Şubat")*(AN88)*-1
+COUNTIF(O1,"Mart")*(AN89)*-1
+COUNTIF(O1,"Nisan")*(AN90)*-1
+COUNTIF(O1,"Mayıs")*(AN91)*-1
+COUNTIF(O1,"Haziran")*(AN92)*-1
+COUNTIF(O1,"Temmuz")*(AN93)*-1
+COUNTIF(O1,"Ağustos")*(AN94)*-1
+COUNTIF(O1,"Eylül")*(AN95)*-1
+COUNTIF(O1,"Ekim")*(AN96)*-1
+COUNTIF(O1,"Kasım")*(AN97)*-1
+COUNTIF(O1,"Aralık")*(AN98)*-1
+COUNTIF(O1,"Yıllık Toplam")*(AN99)*-1
+COUNTIF(O1,"Yıllık Ortalama")*(AN100)*-1</f>
        <v>1998.5741666666665</v>
      </c>
      <c r="AE15" s="51">
        <v>46023</v>
      </c>
      <c r="AF15" s="52">
        <f t="shared" ref="AF15:AF26" si="11">EOMONTH(AE15,0)</f>
        <v>46053</v>
      </c>
      <c r="AG15" s="53">
        <f>DAY(AF15)</f>
        <v>31</v>
      </c>
      <c r="AH15" s="53">
        <f>NETWORKDAYS.INTL(AE15,AF15,11)</f>
        <v>27</v>
      </c>
      <c r="AI15" s="53">
        <f>(AG15-AH15)</f>
        <v>4</v>
      </c>
      <c r="AJ15" s="45">
        <f ca="1">(AK15/AZ87)</f>
        <v>2874.0121134128767</v>
      </c>
      <c r="AK15" s="45">
        <f>COUNTIF($A$1,"Deniz Taksi / Kaptan")*($AB$39)
+COUNTIF($A$1,"Deniz Taksi / Gemici")*($AB$40)</f>
        <v>2054.66</v>
      </c>
      <c r="AL15" s="45">
        <f ca="1">AN15/AG15</f>
        <v>2672.6774193548385</v>
      </c>
      <c r="AM15" s="45">
        <f>COUNTIF($A$1,"Deniz Taksi / Kaptan")*($AB$39)
+COUNTIF($A$1,"Deniz Taksi / Gemici")*($AB$40)</f>
        <v>2054.66</v>
      </c>
      <c r="AN15" s="54">
        <f ca="1">(AO15+AS15*-1+AW15*-1+AX15*-1+AH1*-1)</f>
        <v>82853</v>
      </c>
      <c r="AO15" s="47">
        <f>(AK15*AG15)</f>
        <v>63694.459999999992</v>
      </c>
      <c r="AP15" s="47">
        <f ca="1">ROUND((AO15+AS15*-1+AW15*-1+AX15*-1+AH1*-1),2)</f>
        <v>82853</v>
      </c>
      <c r="AQ15" s="47">
        <f>(AF72)</f>
        <v>33030</v>
      </c>
      <c r="AR15" s="47">
        <f ca="1">IF(AP15-AQ15&gt;=0,AP15-AQ15,0)</f>
        <v>49823</v>
      </c>
      <c r="AS15" s="47">
        <f ca="1">(ROUND(AR15*0.00759*-1,2))</f>
        <v>-378.16</v>
      </c>
      <c r="AT15" s="47">
        <f ca="1">(AP15)</f>
        <v>82853</v>
      </c>
      <c r="AU15" s="47">
        <f>(0)</f>
        <v>0</v>
      </c>
      <c r="AV15" s="47">
        <f ca="1">(AT15-AU15)</f>
        <v>82853</v>
      </c>
      <c r="AW15" s="47">
        <f ca="1">(ROUND(AV15*0.14*-1,2))</f>
        <v>-11599.42</v>
      </c>
      <c r="AX15" s="47">
        <f ca="1">(ROUND(AV15*0.01*-1,2))</f>
        <v>-828.53</v>
      </c>
      <c r="AY15" s="47">
        <f ca="1">(AP15+AW15+AX15)</f>
        <v>70425.05</v>
      </c>
      <c r="AZ15" s="47">
        <f>(0)</f>
        <v>0</v>
      </c>
      <c r="BA15" s="55">
        <f ca="1">(AL87*K15+BB15)*-1</f>
        <v>0</v>
      </c>
      <c r="BB15" s="55">
        <f ca="1">(AK1+AM1+AO1-AH29)*(K15*-1)</f>
        <v>0</v>
      </c>
      <c r="BC15" s="55">
        <f ca="1">(BA15+BB15)</f>
        <v>0</v>
      </c>
      <c r="BD15" s="46">
        <v>13</v>
      </c>
      <c r="BE15" s="49">
        <v>6.5</v>
      </c>
      <c r="BF15" s="50">
        <v>0.15</v>
      </c>
    </row>
    <row r="16" spans="1:58" ht="39.950000000000003" customHeight="1" x14ac:dyDescent="0.25">
      <c r="A16" s="27">
        <f ca="1">(AU88)</f>
        <v>0.15487691588136676</v>
      </c>
      <c r="B16" s="28" t="s">
        <v>77</v>
      </c>
      <c r="C16" s="29"/>
      <c r="D16" s="81">
        <v>0</v>
      </c>
      <c r="E16" s="82">
        <v>60</v>
      </c>
      <c r="F16" s="82">
        <v>0</v>
      </c>
      <c r="G16" s="81">
        <v>26</v>
      </c>
      <c r="H16" s="83" t="s">
        <v>1</v>
      </c>
      <c r="I16" s="83" t="s">
        <v>1</v>
      </c>
      <c r="J16" s="83" t="s">
        <v>1</v>
      </c>
      <c r="K16" s="84">
        <v>0</v>
      </c>
      <c r="L16" s="30">
        <f ca="1">(AF88+AI58+BC16+AI88+AM88+AN88+AW88-M16)</f>
        <v>62886.50892857142</v>
      </c>
      <c r="M16" s="30">
        <f ca="1">(AL2+AN2+AP2+BB16)</f>
        <v>30023.929999999997</v>
      </c>
      <c r="N16" s="31">
        <f t="shared" ref="N16:N26" ca="1" si="12">(L16+M16)</f>
        <v>92910.438928571413</v>
      </c>
      <c r="O16" s="85"/>
      <c r="P16" s="9"/>
      <c r="Q16" s="86"/>
      <c r="R16" s="19"/>
      <c r="S16" s="20"/>
      <c r="T16" s="75"/>
      <c r="U16" s="77"/>
      <c r="V16" s="44" t="s">
        <v>21</v>
      </c>
      <c r="W16" s="45">
        <f t="shared" ca="1" si="4"/>
        <v>45697.818333333329</v>
      </c>
      <c r="X16" s="47">
        <f ca="1">COUNTIF(O1,"Ocak")*(AW87)*-1
+COUNTIF(O1,"Şubat")*(AW88)*-1
+COUNTIF(O1,"Mart")*(AW89)*-1
+COUNTIF(O1,"Nisan")*(AW90)*-1
+COUNTIF(O1,"Mayıs")*(AW91)*-1
+COUNTIF(O1,"Haziran")*(AW92)*-1
+COUNTIF(O1,"Temmuz")*(AW93)*-1
+COUNTIF(O1,"Ağustos")*(AW94)*-1
+COUNTIF(O1,"Eylül")*(AW95)*-1
+COUNTIF(O1,"Ekim")*(AW96)*-1
+COUNTIF(O1,"Kasım")*(AW97)*-1
+COUNTIF(O1,"Aralık")*(AW98)*-1
+COUNTIF(O1,"Yıllık Toplam")*(AW99)*-1
+COUNTIF(O1,"Yıllık Ortalama")*(AW100)*-1</f>
        <v>45697.818333333329</v>
      </c>
      <c r="AA16" s="56">
        <f>(2273)</f>
        <v>2273</v>
      </c>
      <c r="AB16" s="44" t="s">
        <v>0</v>
      </c>
      <c r="AC16" s="45">
        <f>($AA$29*$AA$16)</f>
        <v>3154.6307830000001</v>
      </c>
      <c r="AD16" s="45">
        <f>($AB$29*$AA$16)</f>
        <v>3154.6307830000001</v>
      </c>
      <c r="AE16" s="52">
        <f>(AF15+1)</f>
        <v>46054</v>
      </c>
      <c r="AF16" s="52">
        <f t="shared" si="11"/>
        <v>46081</v>
      </c>
      <c r="AG16" s="53">
        <f t="shared" ref="AG16:AG26" si="13">DAY(AF16)</f>
        <v>28</v>
      </c>
      <c r="AH16" s="53">
        <f t="shared" ref="AH16:AH26" si="14">NETWORKDAYS.INTL(AE16,AF16,11)</f>
        <v>24</v>
      </c>
      <c r="AI16" s="53">
        <f t="shared" ref="AI16:AI26" si="15">(AG16-AH16)</f>
        <v>4</v>
      </c>
      <c r="AJ16" s="45">
        <f ca="1">(AK16/AZ88)</f>
        <v>2890.7741576408448</v>
      </c>
      <c r="AK16" s="45">
        <f>COUNTIF($A$1,"Deniz Taksi / Kaptan")*($AB$39)
+COUNTIF($A$1,"Deniz Taksi / Gemici")*($AB$40)</f>
        <v>2054.66</v>
      </c>
      <c r="AL16" s="45">
        <f ca="1">AN16/AG16</f>
        <v>2666.5678571428571</v>
      </c>
      <c r="AM16" s="45">
        <f>COUNTIF($A$1,"Deniz Taksi / Kaptan")*($AB$39)
+COUNTIF($A$1,"Deniz Taksi / Gemici")*($AB$40)</f>
        <v>2054.66</v>
      </c>
      <c r="AN16" s="54">
        <f ca="1">(AO16+AS16*-1+AW16*-1+AX16*-1+AH2*-1)</f>
        <v>74663.899999999994</v>
      </c>
      <c r="AO16" s="47">
        <f>(AK16*AG16)</f>
        <v>57530.479999999996</v>
      </c>
      <c r="AP16" s="47">
        <f ca="1">ROUND((AO16+AS16*-1+AW16*-1+AX16*-1+AH2*-1),2)</f>
        <v>74663.899999999994</v>
      </c>
      <c r="AQ16" s="47">
        <f>(AF73)</f>
        <v>33030</v>
      </c>
      <c r="AR16" s="47">
        <f t="shared" ref="AR16:AR26" ca="1" si="16">IF(AP16-AQ16&gt;=0,AP16-AQ16,0)</f>
        <v>41633.899999999994</v>
      </c>
      <c r="AS16" s="47">
        <f t="shared" ref="AS16:AS26" ca="1" si="17">(ROUND(AR16*0.00759*-1,2))</f>
        <v>-316</v>
      </c>
      <c r="AT16" s="47">
        <f t="shared" ref="AT16:AT26" ca="1" si="18">(AP16)</f>
        <v>74663.899999999994</v>
      </c>
      <c r="AU16" s="47">
        <f>(0)</f>
        <v>0</v>
      </c>
      <c r="AV16" s="47">
        <f t="shared" ref="AV16:AV26" ca="1" si="19">(AT16-AU16)</f>
        <v>74663.899999999994</v>
      </c>
      <c r="AW16" s="47">
        <f t="shared" ref="AW16:AW26" ca="1" si="20">(ROUND(AV16*0.14*-1,2))</f>
        <v>-10452.950000000001</v>
      </c>
      <c r="AX16" s="47">
        <f t="shared" ref="AX16:AX26" ca="1" si="21">(ROUND(AV16*0.01*-1,2))</f>
        <v>-746.64</v>
      </c>
      <c r="AY16" s="47">
        <f t="shared" ref="AY16:AY26" ca="1" si="22">(AP16+AW16+AX16)</f>
        <v>63464.31</v>
      </c>
      <c r="AZ16" s="47">
        <f>(0)</f>
        <v>0</v>
      </c>
      <c r="BA16" s="55">
        <f ca="1">(AL88*K16+BB16)*-1</f>
        <v>0</v>
      </c>
      <c r="BB16" s="55">
        <f ca="1">(AK2+AM2+AO2-AH30)*(K16*-1)</f>
        <v>0</v>
      </c>
      <c r="BC16" s="55">
        <f t="shared" ref="BC16:BC26" ca="1" si="23">(BA16+BB16)</f>
        <v>0</v>
      </c>
      <c r="BD16" s="46">
        <v>14</v>
      </c>
      <c r="BE16" s="49">
        <v>7</v>
      </c>
      <c r="BF16" s="50">
        <v>0.16</v>
      </c>
    </row>
    <row r="17" spans="1:58" ht="39.950000000000003" customHeight="1" x14ac:dyDescent="0.25">
      <c r="A17" s="27">
        <f ca="1">(AU89)</f>
        <v>0.2054154216422733</v>
      </c>
      <c r="B17" s="28" t="s">
        <v>78</v>
      </c>
      <c r="C17" s="29"/>
      <c r="D17" s="81">
        <v>0</v>
      </c>
      <c r="E17" s="82">
        <v>60</v>
      </c>
      <c r="F17" s="82">
        <v>0</v>
      </c>
      <c r="G17" s="81">
        <v>26</v>
      </c>
      <c r="H17" s="83" t="s">
        <v>1</v>
      </c>
      <c r="I17" s="83" t="s">
        <v>1</v>
      </c>
      <c r="J17" s="83" t="s">
        <v>1</v>
      </c>
      <c r="K17" s="84">
        <v>0</v>
      </c>
      <c r="L17" s="30">
        <f ca="1">(AF89+AI59+BC17+AI89+AM89+AN89+AW89-M17)</f>
        <v>146356.58507201294</v>
      </c>
      <c r="M17" s="30">
        <f ca="1">(AL3+AN3+AP3+BB17)</f>
        <v>36699.801796999993</v>
      </c>
      <c r="N17" s="31">
        <f t="shared" ca="1" si="12"/>
        <v>183056.38686901293</v>
      </c>
      <c r="O17" s="85"/>
      <c r="P17" s="9"/>
      <c r="Q17" s="86"/>
      <c r="R17" s="19"/>
      <c r="S17" s="20"/>
      <c r="T17" s="75"/>
      <c r="U17" s="77"/>
      <c r="V17" s="44" t="s">
        <v>56</v>
      </c>
      <c r="W17" s="45">
        <f t="shared" ca="1" si="4"/>
        <v>259873.03364166667</v>
      </c>
      <c r="X17" s="47">
        <f ca="1">COUNTIF(O1,"Ocak")*(AO57)
+COUNTIF(O1,"Şubat")*(AO58)
+COUNTIF(O1,"Mart")*(AO59)
+COUNTIF(O1,"Nisan")*(AO60)
+COUNTIF(O1,"Mayıs")*(AO61)
+COUNTIF(O1,"Haziran")*(AO62)
+COUNTIF(O1,"Temmuz")*(AO63)
+COUNTIF(O1,"Ağustos")*(AO64)
+COUNTIF(O1,"Eylül")*(AO65)
+COUNTIF(O1,"Ekim")*(AO66)
+COUNTIF(O1,"Kasım")*(AO67)
+COUNTIF(O1,"Aralık")*(AO68)
+COUNTIF(O1,"Yıllık Toplam")*(AO69)
+COUNTIF(O1,"Yıllık Ortalama")*(AO70)</f>
        <v>259873.03364166667</v>
      </c>
      <c r="AA17" s="56">
        <f>(250)</f>
        <v>250</v>
      </c>
      <c r="AB17" s="44" t="s">
        <v>0</v>
      </c>
      <c r="AC17" s="45">
        <f>($AA$29*$AA$17*2)</f>
        <v>693.93550000000005</v>
      </c>
      <c r="AD17" s="45">
        <f>($AB$29*$AA$17*2)</f>
        <v>693.93550000000005</v>
      </c>
      <c r="AE17" s="52">
        <f t="shared" ref="AE17:AE26" si="24">(AF16+1)</f>
        <v>46082</v>
      </c>
      <c r="AF17" s="52">
        <f t="shared" si="11"/>
        <v>46112</v>
      </c>
      <c r="AG17" s="53">
        <f t="shared" si="13"/>
        <v>31</v>
      </c>
      <c r="AH17" s="53">
        <f t="shared" si="14"/>
        <v>26</v>
      </c>
      <c r="AI17" s="53">
        <f t="shared" si="15"/>
        <v>5</v>
      </c>
      <c r="AJ17" s="45">
        <f ca="1">(AK17/AZ89)</f>
        <v>3639.4612642616753</v>
      </c>
      <c r="AK17" s="45">
        <f>COUNTIF($A$1,"Deniz Taksi / Kaptan")*($AC$39)
+COUNTIF($A$1,"Deniz Taksi / Gemici")*($AC$40)</f>
        <v>2430.4573139999998</v>
      </c>
      <c r="AL17" s="45">
        <f ca="1">AN17/AG17</f>
        <v>3423.9257010967735</v>
      </c>
      <c r="AM17" s="45">
        <f>COUNTIF($A$1,"Deniz Taksi / Kaptan")*($AC$39)
+COUNTIF($A$1,"Deniz Taksi / Gemici")*($AC$40)</f>
        <v>2430.4573139999998</v>
      </c>
      <c r="AN17" s="54">
        <f ca="1">(AO17+AS17*-1+AW17*-1+AX17*-1+AH3*-1)</f>
        <v>106141.69673399998</v>
      </c>
      <c r="AO17" s="47">
        <f>(AK17*AG17)</f>
        <v>75344.176733999993</v>
      </c>
      <c r="AP17" s="47">
        <f ca="1">ROUND((AO17+AS17*-1+AW17*-1+AX17*-1+AH3*-1),2)</f>
        <v>106141.7</v>
      </c>
      <c r="AQ17" s="47">
        <f>(AF74)</f>
        <v>33030</v>
      </c>
      <c r="AR17" s="47">
        <f t="shared" ca="1" si="16"/>
        <v>73111.7</v>
      </c>
      <c r="AS17" s="47">
        <f t="shared" ca="1" si="17"/>
        <v>-554.91999999999996</v>
      </c>
      <c r="AT17" s="47">
        <f t="shared" ca="1" si="18"/>
        <v>106141.7</v>
      </c>
      <c r="AU17" s="47">
        <f>(0)</f>
        <v>0</v>
      </c>
      <c r="AV17" s="47">
        <f t="shared" ca="1" si="19"/>
        <v>106141.7</v>
      </c>
      <c r="AW17" s="47">
        <f t="shared" ca="1" si="20"/>
        <v>-14859.84</v>
      </c>
      <c r="AX17" s="47">
        <f t="shared" ca="1" si="21"/>
        <v>-1061.42</v>
      </c>
      <c r="AY17" s="47">
        <f t="shared" ca="1" si="22"/>
        <v>90220.44</v>
      </c>
      <c r="AZ17" s="47">
        <f>(0)</f>
        <v>0</v>
      </c>
      <c r="BA17" s="55">
        <f ca="1">(AL89*K17+BB17)*-1</f>
        <v>0</v>
      </c>
      <c r="BB17" s="55">
        <f ca="1">(AK3+AM3+AO3-AH31)*(K17*-1)</f>
        <v>0</v>
      </c>
      <c r="BC17" s="55">
        <f t="shared" ca="1" si="23"/>
        <v>0</v>
      </c>
      <c r="BD17" s="46">
        <v>15</v>
      </c>
      <c r="BE17" s="49">
        <v>7.5</v>
      </c>
      <c r="BF17" s="50">
        <v>0.17</v>
      </c>
    </row>
    <row r="18" spans="1:58" ht="39.950000000000003" customHeight="1" x14ac:dyDescent="0.25">
      <c r="A18" s="27">
        <f ca="1">(AU90)</f>
        <v>0.27</v>
      </c>
      <c r="B18" s="28" t="s">
        <v>79</v>
      </c>
      <c r="C18" s="29"/>
      <c r="D18" s="81">
        <v>0</v>
      </c>
      <c r="E18" s="82">
        <v>60</v>
      </c>
      <c r="F18" s="82">
        <v>0</v>
      </c>
      <c r="G18" s="81">
        <v>26</v>
      </c>
      <c r="H18" s="83" t="s">
        <v>1</v>
      </c>
      <c r="I18" s="83" t="s">
        <v>1</v>
      </c>
      <c r="J18" s="83" t="s">
        <v>1</v>
      </c>
      <c r="K18" s="84">
        <v>0</v>
      </c>
      <c r="L18" s="30">
        <f ca="1">(AF90+AI60+BC18+AI90+AM90+AN90+AW90-M18)</f>
        <v>78139.304620400013</v>
      </c>
      <c r="M18" s="30">
        <f ca="1">(AL4+AN4+AP4+BB18)</f>
        <v>36699.801796999993</v>
      </c>
      <c r="N18" s="31">
        <f t="shared" ca="1" si="12"/>
        <v>114839.10641740001</v>
      </c>
      <c r="O18" s="85"/>
      <c r="P18" s="9"/>
      <c r="Q18" s="86"/>
      <c r="R18" s="19"/>
      <c r="S18" s="20"/>
      <c r="T18" s="75"/>
      <c r="U18" s="77"/>
      <c r="V18" s="57" t="s">
        <v>30</v>
      </c>
      <c r="W18" s="45">
        <f t="shared" ca="1" si="4"/>
        <v>142565.43840871871</v>
      </c>
      <c r="X18" s="45">
        <f ca="1">COUNTIF(O1,"Ocak")*N15
+COUNTIF(O1,"Şubat")*N16
+COUNTIF(O1,"Mart")*N17
+COUNTIF(O1,"Nisan")*N18
+COUNTIF(O1,"Mayıs")*N19
+COUNTIF(O1,"Haziran")*N20
+COUNTIF(O1,"Temmuz")*N21
+COUNTIF(O1,"Ağustos")*N22
+COUNTIF(O1,"Eylül")*N23
+COUNTIF(O1,"Ekim")*N24
+COUNTIF(O1,"Kasım")*N25
+COUNTIF(O1,"Aralık")*N26
+COUNTIF(O1,"Yıllık Toplam")*(N27)*-1
+COUNTIF(O1,"Yıllık Ortalama")*(N28)*-1</f>
        <v>-142565.43840871871</v>
      </c>
      <c r="AA18" s="56">
        <f>(AA17)</f>
        <v>250</v>
      </c>
      <c r="AB18" s="44" t="s">
        <v>0</v>
      </c>
      <c r="AC18" s="45">
        <f>($AA$29*$AA$18)</f>
        <v>346.96775000000002</v>
      </c>
      <c r="AD18" s="45">
        <f>($AB$29*$AA$18)</f>
        <v>346.96775000000002</v>
      </c>
      <c r="AE18" s="52">
        <f t="shared" si="24"/>
        <v>46113</v>
      </c>
      <c r="AF18" s="52">
        <f t="shared" si="11"/>
        <v>46142</v>
      </c>
      <c r="AG18" s="53">
        <f t="shared" si="13"/>
        <v>30</v>
      </c>
      <c r="AH18" s="53">
        <f t="shared" si="14"/>
        <v>26</v>
      </c>
      <c r="AI18" s="53">
        <f t="shared" si="15"/>
        <v>4</v>
      </c>
      <c r="AJ18" s="45">
        <f ca="1">(AK18/AZ90)</f>
        <v>3965.439157461944</v>
      </c>
      <c r="AK18" s="45">
        <f>COUNTIF($A$1,"Deniz Taksi / Kaptan")*($AC$39)
+COUNTIF($A$1,"Deniz Taksi / Gemici")*($AC$40)</f>
        <v>2430.4573139999998</v>
      </c>
      <c r="AL18" s="45">
        <f ca="1">AN18/AG18</f>
        <v>3722.7706473333328</v>
      </c>
      <c r="AM18" s="45">
        <f>COUNTIF($A$1,"Deniz Taksi / Kaptan")*($AC$39)
+COUNTIF($A$1,"Deniz Taksi / Gemici")*($AC$40)</f>
        <v>2430.4573139999998</v>
      </c>
      <c r="AN18" s="54">
        <f ca="1">(AO18+AS18*-1+AW18*-1+AX18*-1+AH4*-1)</f>
        <v>111683.11941999999</v>
      </c>
      <c r="AO18" s="47">
        <f>(AK18*AG18)</f>
        <v>72913.719419999994</v>
      </c>
      <c r="AP18" s="47">
        <f ca="1">ROUND((AO18+AS18*-1+AW18*-1+AX18*-1+AH4*-1),2)</f>
        <v>111683.12</v>
      </c>
      <c r="AQ18" s="47">
        <f>(AF75)</f>
        <v>33030</v>
      </c>
      <c r="AR18" s="47">
        <f t="shared" ca="1" si="16"/>
        <v>78653.119999999995</v>
      </c>
      <c r="AS18" s="47">
        <f t="shared" ca="1" si="17"/>
        <v>-596.98</v>
      </c>
      <c r="AT18" s="47">
        <f t="shared" ca="1" si="18"/>
        <v>111683.12</v>
      </c>
      <c r="AU18" s="47">
        <f>(0)</f>
        <v>0</v>
      </c>
      <c r="AV18" s="47">
        <f t="shared" ca="1" si="19"/>
        <v>111683.12</v>
      </c>
      <c r="AW18" s="47">
        <f t="shared" ca="1" si="20"/>
        <v>-15635.64</v>
      </c>
      <c r="AX18" s="47">
        <f t="shared" ca="1" si="21"/>
        <v>-1116.83</v>
      </c>
      <c r="AY18" s="47">
        <f t="shared" ca="1" si="22"/>
        <v>94930.65</v>
      </c>
      <c r="AZ18" s="47">
        <f>(0)</f>
        <v>0</v>
      </c>
      <c r="BA18" s="55">
        <f ca="1">(AL90*K18+BB18)*-1</f>
        <v>0</v>
      </c>
      <c r="BB18" s="55">
        <f ca="1">(AK4+AM4+AO4-AH32)*(K18*-1)</f>
        <v>0</v>
      </c>
      <c r="BC18" s="55">
        <f t="shared" ca="1" si="23"/>
        <v>0</v>
      </c>
      <c r="BD18" s="46">
        <v>16</v>
      </c>
      <c r="BE18" s="49">
        <v>8</v>
      </c>
      <c r="BF18" s="50">
        <v>0.18</v>
      </c>
    </row>
    <row r="19" spans="1:58" ht="39.950000000000003" customHeight="1" x14ac:dyDescent="0.25">
      <c r="A19" s="27">
        <f ca="1">(AU91)</f>
        <v>0.27</v>
      </c>
      <c r="B19" s="28" t="s">
        <v>80</v>
      </c>
      <c r="C19" s="29"/>
      <c r="D19" s="81">
        <v>0</v>
      </c>
      <c r="E19" s="82">
        <v>60</v>
      </c>
      <c r="F19" s="82">
        <v>0</v>
      </c>
      <c r="G19" s="81">
        <v>26</v>
      </c>
      <c r="H19" s="83" t="s">
        <v>1</v>
      </c>
      <c r="I19" s="83" t="s">
        <v>1</v>
      </c>
      <c r="J19" s="83" t="s">
        <v>1</v>
      </c>
      <c r="K19" s="84">
        <v>0</v>
      </c>
      <c r="L19" s="30">
        <f ca="1">(AF91+AI61+BC19+AI91+AM91+AN91+AW91-M19)</f>
        <v>80564.619749432284</v>
      </c>
      <c r="M19" s="30">
        <f ca="1">(AL5+AN5+AP5+BB19)</f>
        <v>36699.801796999993</v>
      </c>
      <c r="N19" s="31">
        <f t="shared" ca="1" si="12"/>
        <v>117264.42154643228</v>
      </c>
      <c r="O19" s="85"/>
      <c r="P19" s="9"/>
      <c r="Q19" s="86"/>
      <c r="R19" s="19"/>
      <c r="S19" s="20"/>
      <c r="T19" s="75"/>
      <c r="U19" s="77"/>
      <c r="V19" s="57" t="s">
        <v>31</v>
      </c>
      <c r="W19" s="45">
        <f t="shared" ca="1" si="4"/>
        <v>80501.543257947953</v>
      </c>
      <c r="X19" s="45">
        <f ca="1">COUNTIF(O1,"Ocak")*(AF87-N15)
+COUNTIF(O1,"Şubat")*(AF88-N16)
+COUNTIF(O1,"Mart")*(AF89-N17)
+COUNTIF(O1,"Nisan")*(AF90-N18)
+COUNTIF(O1,"Mayıs")*(AF91-N19)
+COUNTIF(O1,"Haziran")*(AF92-N20)
+COUNTIF(O1,"Temmuz")*(AF93-N21)
+COUNTIF(O1,"Ağustos")*(AF94-N22)
+COUNTIF(O1,"Eylül")*(AF95-N23)
+COUNTIF(O1,"Ekim")*(AF96-N24)
+COUNTIF(O1,"Kasım")*(AF97-N25)
+COUNTIF(O1,"Aralık")*(AF98-N26)
+COUNTIF(O1,"Yıllık Toplam")*(AF99-N27)*-1
+COUNTIF(O1,"Yıllık Ortalama")*(AF100-N28)*-1</f>
        <v>-80501.543257947953</v>
      </c>
      <c r="AA19" s="57">
        <f>(1.5)</f>
        <v>1.5</v>
      </c>
      <c r="AB19" s="44" t="s">
        <v>0</v>
      </c>
      <c r="AC19" s="45">
        <f>($AC$17*$AA$19)</f>
        <v>1040.9032500000001</v>
      </c>
      <c r="AD19" s="45">
        <f>($AD$17*$AA$19)</f>
        <v>1040.9032500000001</v>
      </c>
      <c r="AE19" s="52">
        <f t="shared" si="24"/>
        <v>46143</v>
      </c>
      <c r="AF19" s="52">
        <f t="shared" si="11"/>
        <v>46173</v>
      </c>
      <c r="AG19" s="53">
        <f t="shared" si="13"/>
        <v>31</v>
      </c>
      <c r="AH19" s="53">
        <f t="shared" si="14"/>
        <v>26</v>
      </c>
      <c r="AI19" s="53">
        <f t="shared" si="15"/>
        <v>5</v>
      </c>
      <c r="AJ19" s="45">
        <f ca="1">(AK19/AZ91)</f>
        <v>3965.439157461944</v>
      </c>
      <c r="AK19" s="45">
        <f>COUNTIF($A$1,"Deniz Taksi / Kaptan")*($AC$39)
+COUNTIF($A$1,"Deniz Taksi / Gemici")*($AC$40)</f>
        <v>2430.4573139999998</v>
      </c>
      <c r="AL19" s="45">
        <f ca="1">AN19/AG19</f>
        <v>3730.5982817419358</v>
      </c>
      <c r="AM19" s="45">
        <f>COUNTIF($A$1,"Deniz Taksi / Kaptan")*($AC$39)
+COUNTIF($A$1,"Deniz Taksi / Gemici")*($AC$40)</f>
        <v>2430.4573139999998</v>
      </c>
      <c r="AN19" s="54">
        <f ca="1">(AO19+AS19*-1+AW19*-1+AX19*-1+AH5*-1)</f>
        <v>115648.546734</v>
      </c>
      <c r="AO19" s="47">
        <f>(AK19*AG19)</f>
        <v>75344.176733999993</v>
      </c>
      <c r="AP19" s="47">
        <f ca="1">ROUND((AO19+AS19*-1+AW19*-1+AX19*-1+AH5*-1),2)</f>
        <v>115648.55</v>
      </c>
      <c r="AQ19" s="47">
        <f>(AF76)</f>
        <v>33030</v>
      </c>
      <c r="AR19" s="47">
        <f t="shared" ca="1" si="16"/>
        <v>82618.55</v>
      </c>
      <c r="AS19" s="47">
        <f t="shared" ca="1" si="17"/>
        <v>-627.07000000000005</v>
      </c>
      <c r="AT19" s="47">
        <f t="shared" ca="1" si="18"/>
        <v>115648.55</v>
      </c>
      <c r="AU19" s="47">
        <f>(0)</f>
        <v>0</v>
      </c>
      <c r="AV19" s="47">
        <f t="shared" ca="1" si="19"/>
        <v>115648.55</v>
      </c>
      <c r="AW19" s="47">
        <f t="shared" ca="1" si="20"/>
        <v>-16190.8</v>
      </c>
      <c r="AX19" s="47">
        <f t="shared" ca="1" si="21"/>
        <v>-1156.49</v>
      </c>
      <c r="AY19" s="47">
        <f t="shared" ca="1" si="22"/>
        <v>98301.26</v>
      </c>
      <c r="AZ19" s="47">
        <f>(0)</f>
        <v>0</v>
      </c>
      <c r="BA19" s="55">
        <f ca="1">(AL91*K19+BB19)*-1</f>
        <v>0</v>
      </c>
      <c r="BB19" s="55">
        <f ca="1">(AK5+AM5+AO5-AH33)*(K19*-1)</f>
        <v>0</v>
      </c>
      <c r="BC19" s="55">
        <f t="shared" ca="1" si="23"/>
        <v>0</v>
      </c>
      <c r="BD19" s="46">
        <v>17</v>
      </c>
      <c r="BE19" s="49">
        <v>8.5</v>
      </c>
      <c r="BF19" s="50">
        <v>0.19</v>
      </c>
    </row>
    <row r="20" spans="1:58" ht="39.950000000000003" customHeight="1" x14ac:dyDescent="0.25">
      <c r="A20" s="27">
        <f ca="1">(AU92)</f>
        <v>0.27</v>
      </c>
      <c r="B20" s="28" t="s">
        <v>81</v>
      </c>
      <c r="C20" s="29"/>
      <c r="D20" s="81">
        <v>0</v>
      </c>
      <c r="E20" s="82">
        <v>60</v>
      </c>
      <c r="F20" s="82">
        <v>0</v>
      </c>
      <c r="G20" s="81">
        <v>26</v>
      </c>
      <c r="H20" s="83" t="s">
        <v>1</v>
      </c>
      <c r="I20" s="83" t="s">
        <v>1</v>
      </c>
      <c r="J20" s="83" t="s">
        <v>1</v>
      </c>
      <c r="K20" s="84">
        <v>0</v>
      </c>
      <c r="L20" s="30">
        <f ca="1">(AF92+AI62+BC20+AI92+AM92+AN92+AW92-M20)</f>
        <v>151053.02462040007</v>
      </c>
      <c r="M20" s="30">
        <f ca="1">(AL6+AN6+AP6+BB20)</f>
        <v>36699.801796999993</v>
      </c>
      <c r="N20" s="31">
        <f t="shared" ca="1" si="12"/>
        <v>187752.82641740007</v>
      </c>
      <c r="O20" s="85"/>
      <c r="P20" s="9"/>
      <c r="Q20" s="86"/>
      <c r="R20" s="19"/>
      <c r="S20" s="20"/>
      <c r="T20" s="75"/>
      <c r="U20" s="77"/>
      <c r="V20" s="58" t="s">
        <v>11</v>
      </c>
      <c r="W20" s="58" t="s">
        <v>58</v>
      </c>
      <c r="AA20" s="44" t="s">
        <v>0</v>
      </c>
      <c r="AB20" s="44" t="s">
        <v>0</v>
      </c>
      <c r="AC20" s="45">
        <f>($AC$19/2)</f>
        <v>520.45162500000004</v>
      </c>
      <c r="AD20" s="45">
        <f>($AD$19/2)</f>
        <v>520.45162500000004</v>
      </c>
      <c r="AE20" s="52">
        <f t="shared" si="24"/>
        <v>46174</v>
      </c>
      <c r="AF20" s="52">
        <f t="shared" si="11"/>
        <v>46203</v>
      </c>
      <c r="AG20" s="53">
        <f t="shared" si="13"/>
        <v>30</v>
      </c>
      <c r="AH20" s="53">
        <f t="shared" si="14"/>
        <v>26</v>
      </c>
      <c r="AI20" s="53">
        <f t="shared" si="15"/>
        <v>4</v>
      </c>
      <c r="AJ20" s="45">
        <f ca="1">(AK20/AZ92)</f>
        <v>3965.439157461944</v>
      </c>
      <c r="AK20" s="45">
        <f>COUNTIF($A$1,"Deniz Taksi / Kaptan")*($AC$39)
+COUNTIF($A$1,"Deniz Taksi / Gemici")*($AC$40)</f>
        <v>2430.4573139999998</v>
      </c>
      <c r="AL20" s="45">
        <f ca="1">AN20/AG20</f>
        <v>3722.7706473333328</v>
      </c>
      <c r="AM20" s="45">
        <f>COUNTIF($A$1,"Deniz Taksi / Kaptan")*($AC$39)
+COUNTIF($A$1,"Deniz Taksi / Gemici")*($AC$40)</f>
        <v>2430.4573139999998</v>
      </c>
      <c r="AN20" s="54">
        <f ca="1">(AO20+AS20*-1+AW20*-1+AX20*-1+AH6*-1)</f>
        <v>111683.11941999999</v>
      </c>
      <c r="AO20" s="47">
        <f>(AK20*AG20)</f>
        <v>72913.719419999994</v>
      </c>
      <c r="AP20" s="47">
        <f ca="1">ROUND((AO20+AS20*-1+AW20*-1+AX20*-1+AH6*-1),2)</f>
        <v>111683.12</v>
      </c>
      <c r="AQ20" s="47">
        <f>(AF77)</f>
        <v>33030</v>
      </c>
      <c r="AR20" s="47">
        <f t="shared" ca="1" si="16"/>
        <v>78653.119999999995</v>
      </c>
      <c r="AS20" s="47">
        <f t="shared" ca="1" si="17"/>
        <v>-596.98</v>
      </c>
      <c r="AT20" s="47">
        <f t="shared" ca="1" si="18"/>
        <v>111683.12</v>
      </c>
      <c r="AU20" s="47">
        <f>(0)</f>
        <v>0</v>
      </c>
      <c r="AV20" s="47">
        <f t="shared" ca="1" si="19"/>
        <v>111683.12</v>
      </c>
      <c r="AW20" s="47">
        <f t="shared" ca="1" si="20"/>
        <v>-15635.64</v>
      </c>
      <c r="AX20" s="47">
        <f t="shared" ca="1" si="21"/>
        <v>-1116.83</v>
      </c>
      <c r="AY20" s="47">
        <f t="shared" ca="1" si="22"/>
        <v>94930.65</v>
      </c>
      <c r="AZ20" s="47">
        <f>(0)</f>
        <v>0</v>
      </c>
      <c r="BA20" s="55">
        <f ca="1">(AL92*K20+BB20)*-1</f>
        <v>0</v>
      </c>
      <c r="BB20" s="55">
        <f ca="1">(AK6+AM6+AO6-AH34)*(K20*-1)</f>
        <v>0</v>
      </c>
      <c r="BC20" s="55">
        <f t="shared" ca="1" si="23"/>
        <v>0</v>
      </c>
      <c r="BD20" s="46">
        <v>18</v>
      </c>
      <c r="BE20" s="49">
        <v>9</v>
      </c>
      <c r="BF20" s="50">
        <v>0.2</v>
      </c>
    </row>
    <row r="21" spans="1:58" ht="39.950000000000003" customHeight="1" x14ac:dyDescent="0.25">
      <c r="A21" s="27">
        <f ca="1">(AU93)</f>
        <v>0.27</v>
      </c>
      <c r="B21" s="28" t="s">
        <v>82</v>
      </c>
      <c r="C21" s="29"/>
      <c r="D21" s="81">
        <v>0</v>
      </c>
      <c r="E21" s="82">
        <v>60</v>
      </c>
      <c r="F21" s="82">
        <v>0</v>
      </c>
      <c r="G21" s="81">
        <v>26</v>
      </c>
      <c r="H21" s="83" t="s">
        <v>1</v>
      </c>
      <c r="I21" s="83" t="s">
        <v>1</v>
      </c>
      <c r="J21" s="83" t="s">
        <v>1</v>
      </c>
      <c r="K21" s="84">
        <v>0</v>
      </c>
      <c r="L21" s="30">
        <f ca="1">(AF93+AI63+BC21+AI93+AM93+AN93+AW93-M21)</f>
        <v>80575.911459109659</v>
      </c>
      <c r="M21" s="30">
        <f ca="1">(AL7+AN7+AP7+BB21)</f>
        <v>36699.801796999993</v>
      </c>
      <c r="N21" s="31">
        <f t="shared" ca="1" si="12"/>
        <v>117275.71325610965</v>
      </c>
      <c r="O21" s="85"/>
      <c r="P21" s="9"/>
      <c r="Q21" s="86"/>
      <c r="R21" s="19"/>
      <c r="S21" s="20"/>
      <c r="T21" s="75"/>
      <c r="U21" s="77"/>
      <c r="V21" s="59" t="s">
        <v>10</v>
      </c>
      <c r="W21" s="60" t="s">
        <v>89</v>
      </c>
      <c r="AE21" s="52">
        <f t="shared" si="24"/>
        <v>46204</v>
      </c>
      <c r="AF21" s="52">
        <f t="shared" si="11"/>
        <v>46234</v>
      </c>
      <c r="AG21" s="53">
        <f t="shared" si="13"/>
        <v>31</v>
      </c>
      <c r="AH21" s="53">
        <f t="shared" si="14"/>
        <v>27</v>
      </c>
      <c r="AI21" s="53">
        <f t="shared" si="15"/>
        <v>4</v>
      </c>
      <c r="AJ21" s="45">
        <f ca="1">(AK21/AZ93)</f>
        <v>3965.439157461944</v>
      </c>
      <c r="AK21" s="45">
        <f>COUNTIF($A$1,"Deniz Taksi / Kaptan")*($AC$39)
+COUNTIF($A$1,"Deniz Taksi / Gemici")*($AC$40)</f>
        <v>2430.4573139999998</v>
      </c>
      <c r="AL21" s="45">
        <f ca="1">AN21/AG21</f>
        <v>3713.4186043225804</v>
      </c>
      <c r="AM21" s="45">
        <f>COUNTIF($A$1,"Deniz Taksi / Kaptan")*($AC$39)
+COUNTIF($A$1,"Deniz Taksi / Gemici")*($AC$40)</f>
        <v>2430.4573139999998</v>
      </c>
      <c r="AN21" s="54">
        <f ca="1">(AO21+AS21*-1+AW21*-1+AX21*-1+AH7*-1)</f>
        <v>115115.976734</v>
      </c>
      <c r="AO21" s="47">
        <f>(AK21*AG21)</f>
        <v>75344.176733999993</v>
      </c>
      <c r="AP21" s="47">
        <f ca="1">ROUND((AO21+AS21*-1+AW21*-1+AX21*-1+AH7*-1),2)</f>
        <v>115115.98</v>
      </c>
      <c r="AQ21" s="47">
        <f>(AF78)</f>
        <v>33030</v>
      </c>
      <c r="AR21" s="47">
        <f t="shared" ca="1" si="16"/>
        <v>82085.98</v>
      </c>
      <c r="AS21" s="47">
        <f t="shared" ca="1" si="17"/>
        <v>-623.03</v>
      </c>
      <c r="AT21" s="47">
        <f t="shared" ca="1" si="18"/>
        <v>115115.98</v>
      </c>
      <c r="AU21" s="47">
        <f>(0)</f>
        <v>0</v>
      </c>
      <c r="AV21" s="47">
        <f t="shared" ca="1" si="19"/>
        <v>115115.98</v>
      </c>
      <c r="AW21" s="47">
        <f t="shared" ca="1" si="20"/>
        <v>-16116.24</v>
      </c>
      <c r="AX21" s="47">
        <f t="shared" ca="1" si="21"/>
        <v>-1151.1600000000001</v>
      </c>
      <c r="AY21" s="47">
        <f t="shared" ca="1" si="22"/>
        <v>97848.579999999987</v>
      </c>
      <c r="AZ21" s="47">
        <f>(0)</f>
        <v>0</v>
      </c>
      <c r="BA21" s="55">
        <f ca="1">(AL93*K21+BB21)*-1</f>
        <v>0</v>
      </c>
      <c r="BB21" s="55">
        <f ca="1">(AK7+AM7+AO7-AH35)*(K21*-1)</f>
        <v>0</v>
      </c>
      <c r="BC21" s="55">
        <f t="shared" ca="1" si="23"/>
        <v>0</v>
      </c>
      <c r="BD21" s="46">
        <v>19</v>
      </c>
      <c r="BE21" s="49">
        <v>9.5</v>
      </c>
      <c r="BF21" s="50">
        <v>0.21</v>
      </c>
    </row>
    <row r="22" spans="1:58" ht="39.950000000000003" customHeight="1" x14ac:dyDescent="0.25">
      <c r="A22" s="27">
        <f ca="1">(AU94)</f>
        <v>0.27</v>
      </c>
      <c r="B22" s="28" t="s">
        <v>83</v>
      </c>
      <c r="C22" s="29"/>
      <c r="D22" s="81">
        <v>0</v>
      </c>
      <c r="E22" s="82">
        <v>60</v>
      </c>
      <c r="F22" s="82">
        <v>0</v>
      </c>
      <c r="G22" s="81">
        <v>26</v>
      </c>
      <c r="H22" s="83" t="s">
        <v>1</v>
      </c>
      <c r="I22" s="83" t="s">
        <v>1</v>
      </c>
      <c r="J22" s="83" t="s">
        <v>1</v>
      </c>
      <c r="K22" s="84">
        <v>0</v>
      </c>
      <c r="L22" s="30">
        <f ca="1">(AF94+AI64+BC22+AI94+AM94+AN94+AW94-M22)</f>
        <v>80613.163491367799</v>
      </c>
      <c r="M22" s="30">
        <f ca="1">(AL8+AN8+AP8+BB22)</f>
        <v>36699.801796999993</v>
      </c>
      <c r="N22" s="31">
        <f t="shared" ca="1" si="12"/>
        <v>117312.96528836779</v>
      </c>
      <c r="O22" s="85"/>
      <c r="P22" s="9"/>
      <c r="Q22" s="86"/>
      <c r="R22" s="19"/>
      <c r="S22" s="20"/>
      <c r="T22" s="75"/>
      <c r="U22" s="77"/>
      <c r="V22" s="59" t="s">
        <v>12</v>
      </c>
      <c r="W22" s="61" t="s">
        <v>36</v>
      </c>
      <c r="AA22" s="44">
        <f>(1500)</f>
        <v>1500</v>
      </c>
      <c r="AB22" s="44" t="s">
        <v>0</v>
      </c>
      <c r="AC22" s="45">
        <f>($AA$29*$AA$22)</f>
        <v>2081.8065000000001</v>
      </c>
      <c r="AD22" s="45">
        <f>($AB$29*$AA$22)</f>
        <v>2081.8065000000001</v>
      </c>
      <c r="AE22" s="52">
        <f t="shared" si="24"/>
        <v>46235</v>
      </c>
      <c r="AF22" s="52">
        <f t="shared" si="11"/>
        <v>46265</v>
      </c>
      <c r="AG22" s="53">
        <f t="shared" si="13"/>
        <v>31</v>
      </c>
      <c r="AH22" s="53">
        <f t="shared" si="14"/>
        <v>26</v>
      </c>
      <c r="AI22" s="53">
        <f t="shared" si="15"/>
        <v>5</v>
      </c>
      <c r="AJ22" s="45">
        <f ca="1">(AK22/AZ94)</f>
        <v>3965.439157461944</v>
      </c>
      <c r="AK22" s="45">
        <f>COUNTIF($A$1,"Deniz Taksi / Kaptan")*($AC$39)
+COUNTIF($A$1,"Deniz Taksi / Gemici")*($AC$40)</f>
        <v>2430.4573139999998</v>
      </c>
      <c r="AL22" s="45">
        <f ca="1">AN22/AG22</f>
        <v>3656.7163462580643</v>
      </c>
      <c r="AM22" s="45">
        <f>COUNTIF($A$1,"Deniz Taksi / Kaptan")*($AC$39)
+COUNTIF($A$1,"Deniz Taksi / Gemici")*($AC$40)</f>
        <v>2430.4573139999998</v>
      </c>
      <c r="AN22" s="54">
        <f ca="1">(AO22+AS22*-1+AW22*-1+AX22*-1+AH8*-1)</f>
        <v>113358.20673399999</v>
      </c>
      <c r="AO22" s="47">
        <f>(AK22*AG22)</f>
        <v>75344.176733999993</v>
      </c>
      <c r="AP22" s="47">
        <f ca="1">ROUND((AO22+AS22*-1+AW22*-1+AX22*-1+AH8*-1),2)</f>
        <v>113358.21</v>
      </c>
      <c r="AQ22" s="47">
        <f>(AF79)</f>
        <v>33030</v>
      </c>
      <c r="AR22" s="47">
        <f t="shared" ca="1" si="16"/>
        <v>80328.210000000006</v>
      </c>
      <c r="AS22" s="47">
        <f t="shared" ca="1" si="17"/>
        <v>-609.69000000000005</v>
      </c>
      <c r="AT22" s="47">
        <f t="shared" ca="1" si="18"/>
        <v>113358.21</v>
      </c>
      <c r="AU22" s="47">
        <f>(0)</f>
        <v>0</v>
      </c>
      <c r="AV22" s="47">
        <f t="shared" ca="1" si="19"/>
        <v>113358.21</v>
      </c>
      <c r="AW22" s="47">
        <f t="shared" ca="1" si="20"/>
        <v>-15870.15</v>
      </c>
      <c r="AX22" s="47">
        <f t="shared" ca="1" si="21"/>
        <v>-1133.58</v>
      </c>
      <c r="AY22" s="47">
        <f t="shared" ca="1" si="22"/>
        <v>96354.48000000001</v>
      </c>
      <c r="AZ22" s="47">
        <f>(0)</f>
        <v>0</v>
      </c>
      <c r="BA22" s="55">
        <f ca="1">(AL94*K22+BB22)*-1</f>
        <v>0</v>
      </c>
      <c r="BB22" s="55">
        <f ca="1">(AK8+AM8+AO8-AH36)*(K22*-1)</f>
        <v>0</v>
      </c>
      <c r="BC22" s="55">
        <f t="shared" ca="1" si="23"/>
        <v>0</v>
      </c>
      <c r="BD22" s="46">
        <v>20</v>
      </c>
      <c r="BE22" s="49">
        <v>10</v>
      </c>
      <c r="BF22" s="50">
        <v>0.22</v>
      </c>
    </row>
    <row r="23" spans="1:58" ht="39.950000000000003" customHeight="1" x14ac:dyDescent="0.25">
      <c r="A23" s="27">
        <f ca="1">(AU95)</f>
        <v>0.27120595102303002</v>
      </c>
      <c r="B23" s="28" t="s">
        <v>84</v>
      </c>
      <c r="C23" s="29"/>
      <c r="D23" s="81">
        <v>0</v>
      </c>
      <c r="E23" s="82">
        <v>60</v>
      </c>
      <c r="F23" s="82">
        <v>0</v>
      </c>
      <c r="G23" s="81">
        <v>26</v>
      </c>
      <c r="H23" s="83" t="s">
        <v>1</v>
      </c>
      <c r="I23" s="83" t="s">
        <v>1</v>
      </c>
      <c r="J23" s="83" t="s">
        <v>1</v>
      </c>
      <c r="K23" s="84">
        <v>0</v>
      </c>
      <c r="L23" s="30">
        <f ca="1">(AF95+AI65+BC23+AI95+AM95+AN95+AW95-M23)</f>
        <v>165287.76601345994</v>
      </c>
      <c r="M23" s="30">
        <f ca="1">(AL9+AN9+AP9+BB23)</f>
        <v>40527.772066549995</v>
      </c>
      <c r="N23" s="31">
        <f t="shared" ca="1" si="12"/>
        <v>205815.53808000992</v>
      </c>
      <c r="O23" s="85"/>
      <c r="P23" s="9"/>
      <c r="Q23" s="86"/>
      <c r="R23" s="19"/>
      <c r="S23" s="20"/>
      <c r="T23" s="75"/>
      <c r="U23" s="77"/>
      <c r="V23" s="59" t="s">
        <v>32</v>
      </c>
      <c r="W23" s="45" t="s">
        <v>41</v>
      </c>
      <c r="AA23" s="44">
        <f>(8000)</f>
        <v>8000</v>
      </c>
      <c r="AB23" s="44" t="s">
        <v>0</v>
      </c>
      <c r="AC23" s="45">
        <f>($AA$29*$AA$23)</f>
        <v>11102.968000000001</v>
      </c>
      <c r="AD23" s="45">
        <f>($AB$29*$AA$23)</f>
        <v>11102.968000000001</v>
      </c>
      <c r="AE23" s="52">
        <f t="shared" si="24"/>
        <v>46266</v>
      </c>
      <c r="AF23" s="52">
        <f t="shared" si="11"/>
        <v>46295</v>
      </c>
      <c r="AG23" s="53">
        <f t="shared" si="13"/>
        <v>30</v>
      </c>
      <c r="AH23" s="53">
        <f t="shared" si="14"/>
        <v>26</v>
      </c>
      <c r="AI23" s="53">
        <f t="shared" si="15"/>
        <v>4</v>
      </c>
      <c r="AJ23" s="45">
        <f ca="1">(AK23/AZ95)</f>
        <v>4567.8945843190586</v>
      </c>
      <c r="AK23" s="45">
        <f>COUNTIF($A$1,"Deniz Taksi / Kaptan")*($AD$39)
+COUNTIF($A$1,"Deniz Taksi / Gemici")*($AD$40)</f>
        <v>2795.0259110999996</v>
      </c>
      <c r="AL23" s="45">
        <f ca="1">AN23/AG23</f>
        <v>4248.3465777666661</v>
      </c>
      <c r="AM23" s="45">
        <f>COUNTIF($A$1,"Deniz Taksi / Kaptan")*($AD$39)
+COUNTIF($A$1,"Deniz Taksi / Gemici")*($AD$40)</f>
        <v>2795.0259110999996</v>
      </c>
      <c r="AN23" s="54">
        <f ca="1">(AO23+AS23*-1+AW23*-1+AX23*-1+AH9*-1)</f>
        <v>127450.39733299997</v>
      </c>
      <c r="AO23" s="47">
        <f>(AK23*AG23)</f>
        <v>83850.777332999991</v>
      </c>
      <c r="AP23" s="47">
        <f ca="1">ROUND((AO23+AS23*-1+AW23*-1+AX23*-1+AH9*-1),2)</f>
        <v>127450.4</v>
      </c>
      <c r="AQ23" s="47">
        <f>(AF80)</f>
        <v>33030</v>
      </c>
      <c r="AR23" s="47">
        <f t="shared" ca="1" si="16"/>
        <v>94420.4</v>
      </c>
      <c r="AS23" s="47">
        <f t="shared" ca="1" si="17"/>
        <v>-716.65</v>
      </c>
      <c r="AT23" s="47">
        <f t="shared" ca="1" si="18"/>
        <v>127450.4</v>
      </c>
      <c r="AU23" s="47">
        <f>(0)</f>
        <v>0</v>
      </c>
      <c r="AV23" s="47">
        <f t="shared" ca="1" si="19"/>
        <v>127450.4</v>
      </c>
      <c r="AW23" s="47">
        <f t="shared" ca="1" si="20"/>
        <v>-17843.060000000001</v>
      </c>
      <c r="AX23" s="47">
        <f t="shared" ca="1" si="21"/>
        <v>-1274.5</v>
      </c>
      <c r="AY23" s="47">
        <f t="shared" ca="1" si="22"/>
        <v>108332.84</v>
      </c>
      <c r="AZ23" s="47">
        <f>(0)</f>
        <v>0</v>
      </c>
      <c r="BA23" s="55">
        <f ca="1">(AL95*K23+BB23)*-1</f>
        <v>0</v>
      </c>
      <c r="BB23" s="55">
        <f ca="1">(AK9+AM9+AO9-AH37)*(K23*-1)</f>
        <v>0</v>
      </c>
      <c r="BC23" s="55">
        <f t="shared" ca="1" si="23"/>
        <v>0</v>
      </c>
      <c r="BD23" s="46">
        <v>21</v>
      </c>
      <c r="BE23" s="49">
        <v>10.5</v>
      </c>
      <c r="BF23" s="50">
        <v>0.23</v>
      </c>
    </row>
    <row r="24" spans="1:58" ht="39.950000000000003" customHeight="1" x14ac:dyDescent="0.25">
      <c r="A24" s="27">
        <f ca="1">(AU96)</f>
        <v>0.35</v>
      </c>
      <c r="B24" s="28" t="s">
        <v>85</v>
      </c>
      <c r="C24" s="29"/>
      <c r="D24" s="81">
        <v>0</v>
      </c>
      <c r="E24" s="82">
        <v>60</v>
      </c>
      <c r="F24" s="82">
        <v>0</v>
      </c>
      <c r="G24" s="81">
        <v>26</v>
      </c>
      <c r="H24" s="83" t="s">
        <v>1</v>
      </c>
      <c r="I24" s="83" t="s">
        <v>1</v>
      </c>
      <c r="J24" s="83" t="s">
        <v>1</v>
      </c>
      <c r="K24" s="84">
        <v>0</v>
      </c>
      <c r="L24" s="30">
        <f ca="1">(AF96+AI66+BC24+AI96+AM96+AN96+AW96-M24)</f>
        <v>91034.520032814835</v>
      </c>
      <c r="M24" s="30">
        <f ca="1">(AL10+AN10+AP10+BB24)</f>
        <v>40527.772066549995</v>
      </c>
      <c r="N24" s="31">
        <f t="shared" ca="1" si="12"/>
        <v>131562.29209936483</v>
      </c>
      <c r="O24" s="85"/>
      <c r="P24" s="9"/>
      <c r="Q24" s="86"/>
      <c r="R24" s="19"/>
      <c r="S24" s="20"/>
      <c r="T24" s="75"/>
      <c r="U24" s="77"/>
      <c r="V24" s="59" t="s">
        <v>16</v>
      </c>
      <c r="W24" s="61" t="s">
        <v>37</v>
      </c>
      <c r="AA24" s="44">
        <f>(500)</f>
        <v>500</v>
      </c>
      <c r="AB24" s="44" t="s">
        <v>0</v>
      </c>
      <c r="AC24" s="45">
        <f>($AA$29*$AA$24)</f>
        <v>693.93550000000005</v>
      </c>
      <c r="AD24" s="45">
        <f>($AB$29*$AA$24)</f>
        <v>693.93550000000005</v>
      </c>
      <c r="AE24" s="52">
        <f t="shared" si="24"/>
        <v>46296</v>
      </c>
      <c r="AF24" s="52">
        <f t="shared" si="11"/>
        <v>46326</v>
      </c>
      <c r="AG24" s="53">
        <f t="shared" si="13"/>
        <v>31</v>
      </c>
      <c r="AH24" s="53">
        <f t="shared" si="14"/>
        <v>27</v>
      </c>
      <c r="AI24" s="53">
        <f t="shared" si="15"/>
        <v>4</v>
      </c>
      <c r="AJ24" s="45">
        <f ca="1">(AK24/AZ96)</f>
        <v>5129.3349564148202</v>
      </c>
      <c r="AK24" s="45">
        <f>COUNTIF($A$1,"Deniz Taksi / Kaptan")*($AD$39)
+COUNTIF($A$1,"Deniz Taksi / Gemici")*($AD$40)</f>
        <v>2795.0259110999996</v>
      </c>
      <c r="AL24" s="45">
        <f ca="1">AN24/AG24</f>
        <v>4782.0865562612889</v>
      </c>
      <c r="AM24" s="45">
        <f>COUNTIF($A$1,"Deniz Taksi / Kaptan")*($AD$39)
+COUNTIF($A$1,"Deniz Taksi / Gemici")*($AD$40)</f>
        <v>2795.0259110999996</v>
      </c>
      <c r="AN24" s="54">
        <f ca="1">(AO24+AS24*-1+AW24*-1+AX24*-1+AH10*-1)</f>
        <v>148244.68324409996</v>
      </c>
      <c r="AO24" s="47">
        <f>(AK24*AG24)</f>
        <v>86645.803244099981</v>
      </c>
      <c r="AP24" s="47">
        <f ca="1">ROUND((AO24+AS24*-1+AW24*-1+AX24*-1+AH10*-1),2)</f>
        <v>148244.68</v>
      </c>
      <c r="AQ24" s="47">
        <f>(AF81)</f>
        <v>33030</v>
      </c>
      <c r="AR24" s="47">
        <f t="shared" ca="1" si="16"/>
        <v>115214.68</v>
      </c>
      <c r="AS24" s="47">
        <f t="shared" ca="1" si="17"/>
        <v>-874.48</v>
      </c>
      <c r="AT24" s="47">
        <f t="shared" ca="1" si="18"/>
        <v>148244.68</v>
      </c>
      <c r="AU24" s="47">
        <f>(0)</f>
        <v>0</v>
      </c>
      <c r="AV24" s="47">
        <f t="shared" ca="1" si="19"/>
        <v>148244.68</v>
      </c>
      <c r="AW24" s="47">
        <f t="shared" ca="1" si="20"/>
        <v>-20754.259999999998</v>
      </c>
      <c r="AX24" s="47">
        <f t="shared" ca="1" si="21"/>
        <v>-1482.45</v>
      </c>
      <c r="AY24" s="47">
        <f t="shared" ca="1" si="22"/>
        <v>126007.97</v>
      </c>
      <c r="AZ24" s="47">
        <f>(0)</f>
        <v>0</v>
      </c>
      <c r="BA24" s="55">
        <f ca="1">(AL96*K24+BB24)*-1</f>
        <v>0</v>
      </c>
      <c r="BB24" s="55">
        <f ca="1">(AK10+AM10+AO10-AH38)*(K24*-1)</f>
        <v>0</v>
      </c>
      <c r="BC24" s="55">
        <f t="shared" ca="1" si="23"/>
        <v>0</v>
      </c>
      <c r="BD24" s="46">
        <v>22</v>
      </c>
      <c r="BE24" s="49">
        <v>11</v>
      </c>
      <c r="BF24" s="50">
        <v>0.24</v>
      </c>
    </row>
    <row r="25" spans="1:58" ht="39.950000000000003" customHeight="1" x14ac:dyDescent="0.25">
      <c r="A25" s="27">
        <f ca="1">(AU97)</f>
        <v>0.35</v>
      </c>
      <c r="B25" s="28" t="s">
        <v>86</v>
      </c>
      <c r="C25" s="29"/>
      <c r="D25" s="81">
        <v>0</v>
      </c>
      <c r="E25" s="82">
        <v>60</v>
      </c>
      <c r="F25" s="82">
        <v>0</v>
      </c>
      <c r="G25" s="81">
        <v>26</v>
      </c>
      <c r="H25" s="83" t="s">
        <v>1</v>
      </c>
      <c r="I25" s="83" t="s">
        <v>1</v>
      </c>
      <c r="J25" s="83" t="s">
        <v>1</v>
      </c>
      <c r="K25" s="84">
        <v>0</v>
      </c>
      <c r="L25" s="30">
        <f ca="1">(AF97+AI67+BC25+AI97+AM97+AN97+AW97-M25)</f>
        <v>88246.25751345999</v>
      </c>
      <c r="M25" s="30">
        <f ca="1">(AL11+AN11+AP11+BB25)</f>
        <v>40527.772066549995</v>
      </c>
      <c r="N25" s="31">
        <f t="shared" ca="1" si="12"/>
        <v>128774.02958000998</v>
      </c>
      <c r="O25" s="85"/>
      <c r="P25" s="9"/>
      <c r="Q25" s="86"/>
      <c r="R25" s="19"/>
      <c r="S25" s="20"/>
      <c r="T25" s="75"/>
      <c r="U25" s="77"/>
      <c r="V25" s="59" t="s">
        <v>14</v>
      </c>
      <c r="W25" s="60" t="s">
        <v>90</v>
      </c>
      <c r="AA25" s="44">
        <f>(1000)</f>
        <v>1000</v>
      </c>
      <c r="AB25" s="44" t="s">
        <v>0</v>
      </c>
      <c r="AC25" s="45">
        <f>($AA$30*$AA$25)</f>
        <v>22722.792999999998</v>
      </c>
      <c r="AD25" s="45">
        <f>($AB$30*$AA$25)</f>
        <v>22722.792999999998</v>
      </c>
      <c r="AE25" s="52">
        <f t="shared" si="24"/>
        <v>46327</v>
      </c>
      <c r="AF25" s="52">
        <f t="shared" si="11"/>
        <v>46356</v>
      </c>
      <c r="AG25" s="53">
        <f t="shared" si="13"/>
        <v>30</v>
      </c>
      <c r="AH25" s="53">
        <f t="shared" si="14"/>
        <v>25</v>
      </c>
      <c r="AI25" s="53">
        <f t="shared" si="15"/>
        <v>5</v>
      </c>
      <c r="AJ25" s="45">
        <f ca="1">(AK25/AZ97)</f>
        <v>5129.3349564148202</v>
      </c>
      <c r="AK25" s="45">
        <f>COUNTIF($A$1,"Deniz Taksi / Kaptan")*($AD$39)
+COUNTIF($A$1,"Deniz Taksi / Gemici")*($AD$40)</f>
        <v>2795.0259110999996</v>
      </c>
      <c r="AL25" s="45">
        <f ca="1">AN25/AG25</f>
        <v>4770.5115777666661</v>
      </c>
      <c r="AM25" s="45">
        <f>COUNTIF($A$1,"Deniz Taksi / Kaptan")*($AD$39)
+COUNTIF($A$1,"Deniz Taksi / Gemici")*($AD$40)</f>
        <v>2795.0259110999996</v>
      </c>
      <c r="AN25" s="54">
        <f ca="1">(AO25+AS25*-1+AW25*-1+AX25*-1+AH11*-1)</f>
        <v>143115.34733299998</v>
      </c>
      <c r="AO25" s="47">
        <f>(AK25*AG25)</f>
        <v>83850.777332999991</v>
      </c>
      <c r="AP25" s="47">
        <f ca="1">ROUND((AO25+AS25*-1+AW25*-1+AX25*-1+AH11*-1),2)</f>
        <v>143115.35</v>
      </c>
      <c r="AQ25" s="47">
        <f>(AF82)</f>
        <v>33030</v>
      </c>
      <c r="AR25" s="47">
        <f t="shared" ca="1" si="16"/>
        <v>110085.35</v>
      </c>
      <c r="AS25" s="47">
        <f t="shared" ca="1" si="17"/>
        <v>-835.55</v>
      </c>
      <c r="AT25" s="47">
        <f t="shared" ca="1" si="18"/>
        <v>143115.35</v>
      </c>
      <c r="AU25" s="47">
        <f>(0)</f>
        <v>0</v>
      </c>
      <c r="AV25" s="47">
        <f t="shared" ca="1" si="19"/>
        <v>143115.35</v>
      </c>
      <c r="AW25" s="47">
        <f t="shared" ca="1" si="20"/>
        <v>-20036.150000000001</v>
      </c>
      <c r="AX25" s="47">
        <f t="shared" ca="1" si="21"/>
        <v>-1431.15</v>
      </c>
      <c r="AY25" s="47">
        <f t="shared" ca="1" si="22"/>
        <v>121648.05000000002</v>
      </c>
      <c r="AZ25" s="47">
        <f>(0)</f>
        <v>0</v>
      </c>
      <c r="BA25" s="55">
        <f ca="1">(AL97*K25+BB25)*-1</f>
        <v>0</v>
      </c>
      <c r="BB25" s="55">
        <f ca="1">(AK11+AM11+AO11-AH39)*(K25*-1)</f>
        <v>0</v>
      </c>
      <c r="BC25" s="55">
        <f t="shared" ca="1" si="23"/>
        <v>0</v>
      </c>
      <c r="BD25" s="46">
        <v>23</v>
      </c>
      <c r="BE25" s="49">
        <v>11.5</v>
      </c>
      <c r="BF25" s="50">
        <v>0.25</v>
      </c>
    </row>
    <row r="26" spans="1:58" ht="39.950000000000003" customHeight="1" x14ac:dyDescent="0.25">
      <c r="A26" s="27">
        <f ca="1">(AU98)</f>
        <v>0.35</v>
      </c>
      <c r="B26" s="28" t="s">
        <v>87</v>
      </c>
      <c r="C26" s="29"/>
      <c r="D26" s="81">
        <v>0</v>
      </c>
      <c r="E26" s="82">
        <v>60</v>
      </c>
      <c r="F26" s="82">
        <v>0</v>
      </c>
      <c r="G26" s="81">
        <v>26</v>
      </c>
      <c r="H26" s="83" t="s">
        <v>1</v>
      </c>
      <c r="I26" s="83" t="s">
        <v>1</v>
      </c>
      <c r="J26" s="83" t="s">
        <v>1</v>
      </c>
      <c r="K26" s="84">
        <v>0</v>
      </c>
      <c r="L26" s="30">
        <f ca="1">(AF98+AI68+BC26+AI98+AM98+AN98+AW98-M26)</f>
        <v>174885.29003281484</v>
      </c>
      <c r="M26" s="30">
        <f ca="1">(AL12+AN12+AP12+BB26)</f>
        <v>40527.772066549995</v>
      </c>
      <c r="N26" s="31">
        <f t="shared" ca="1" si="12"/>
        <v>215413.06209936482</v>
      </c>
      <c r="O26" s="85"/>
      <c r="P26" s="9"/>
      <c r="Q26" s="86"/>
      <c r="R26" s="19"/>
      <c r="S26" s="20"/>
      <c r="T26" s="75"/>
      <c r="U26" s="77"/>
      <c r="V26" s="59" t="s">
        <v>15</v>
      </c>
      <c r="W26" s="60" t="s">
        <v>91</v>
      </c>
      <c r="AA26" s="44">
        <f>($AA$22+$AA$23)</f>
        <v>9500</v>
      </c>
      <c r="AB26" s="44">
        <f>(2.15)</f>
        <v>2.15</v>
      </c>
      <c r="AC26" s="45">
        <f>($AA$29*$AA$26*$AB$26)</f>
        <v>28347.265175</v>
      </c>
      <c r="AD26" s="45">
        <f>($AB$29*$AA$26*$AB$26)</f>
        <v>28347.265175</v>
      </c>
      <c r="AE26" s="52">
        <f t="shared" si="24"/>
        <v>46357</v>
      </c>
      <c r="AF26" s="52">
        <f t="shared" si="11"/>
        <v>46387</v>
      </c>
      <c r="AG26" s="53">
        <f t="shared" si="13"/>
        <v>31</v>
      </c>
      <c r="AH26" s="53">
        <f t="shared" si="14"/>
        <v>27</v>
      </c>
      <c r="AI26" s="53">
        <f t="shared" si="15"/>
        <v>4</v>
      </c>
      <c r="AJ26" s="45">
        <f ca="1">(AK26/AZ98)</f>
        <v>5129.3349564148202</v>
      </c>
      <c r="AK26" s="45">
        <f>COUNTIF($A$1,"Deniz Taksi / Kaptan")*($AD$39)
+COUNTIF($A$1,"Deniz Taksi / Gemici")*($AD$40)</f>
        <v>2795.0259110999996</v>
      </c>
      <c r="AL26" s="45">
        <f ca="1">AN26/AG26</f>
        <v>4782.0865562612889</v>
      </c>
      <c r="AM26" s="45">
        <f>COUNTIF($A$1,"Deniz Taksi / Kaptan")*($AD$39)
+COUNTIF($A$1,"Deniz Taksi / Gemici")*($AD$40)</f>
        <v>2795.0259110999996</v>
      </c>
      <c r="AN26" s="54">
        <f ca="1">(AO26+AS26*-1+AW26*-1+AX26*-1+AH12*-1)</f>
        <v>148244.68324409996</v>
      </c>
      <c r="AO26" s="47">
        <f>(AK26*AG26)</f>
        <v>86645.803244099981</v>
      </c>
      <c r="AP26" s="47">
        <f ca="1">ROUND((AO26+AS26*-1+AW26*-1+AX26*-1+AH12*-1),2)</f>
        <v>148244.68</v>
      </c>
      <c r="AQ26" s="47">
        <f>(AF83)</f>
        <v>33030</v>
      </c>
      <c r="AR26" s="47">
        <f t="shared" ca="1" si="16"/>
        <v>115214.68</v>
      </c>
      <c r="AS26" s="47">
        <f t="shared" ca="1" si="17"/>
        <v>-874.48</v>
      </c>
      <c r="AT26" s="47">
        <f t="shared" ca="1" si="18"/>
        <v>148244.68</v>
      </c>
      <c r="AU26" s="47">
        <f>(0)</f>
        <v>0</v>
      </c>
      <c r="AV26" s="47">
        <f t="shared" ca="1" si="19"/>
        <v>148244.68</v>
      </c>
      <c r="AW26" s="47">
        <f t="shared" ca="1" si="20"/>
        <v>-20754.259999999998</v>
      </c>
      <c r="AX26" s="47">
        <f t="shared" ca="1" si="21"/>
        <v>-1482.45</v>
      </c>
      <c r="AY26" s="47">
        <f t="shared" ca="1" si="22"/>
        <v>126007.97</v>
      </c>
      <c r="AZ26" s="47">
        <f>(0)</f>
        <v>0</v>
      </c>
      <c r="BA26" s="55">
        <f ca="1">(AL98*K26+BB26)*-1</f>
        <v>0</v>
      </c>
      <c r="BB26" s="55">
        <f ca="1">(AK12+AM12+AO12-AH40)*(K26*-1)</f>
        <v>0</v>
      </c>
      <c r="BC26" s="55">
        <f t="shared" ca="1" si="23"/>
        <v>0</v>
      </c>
      <c r="BD26" s="46">
        <v>24</v>
      </c>
      <c r="BE26" s="49">
        <v>12</v>
      </c>
      <c r="BF26" s="50">
        <v>0.26</v>
      </c>
    </row>
    <row r="27" spans="1:58" ht="39.950000000000003" customHeight="1" x14ac:dyDescent="0.25">
      <c r="A27" s="32" t="s">
        <v>0</v>
      </c>
      <c r="B27" s="28" t="s">
        <v>63</v>
      </c>
      <c r="C27" s="29"/>
      <c r="D27" s="33" t="s">
        <v>0</v>
      </c>
      <c r="E27" s="34">
        <f>(E15+E16+E17+E18+E19+E20+E21+E22+E23+E24+E25+E26)</f>
        <v>720</v>
      </c>
      <c r="F27" s="34">
        <f>(F15+F16+F17+F18+F19+F20+F21+F22+F23+F24+F25+F26)</f>
        <v>0</v>
      </c>
      <c r="G27" s="35">
        <f>(G15+G16+G17+G18+G19+G20+G21+G22+G23+G24+G25+G26)</f>
        <v>312</v>
      </c>
      <c r="H27" s="36" t="s">
        <v>0</v>
      </c>
      <c r="I27" s="36" t="s">
        <v>0</v>
      </c>
      <c r="J27" s="36" t="s">
        <v>0</v>
      </c>
      <c r="K27" s="21" t="s">
        <v>0</v>
      </c>
      <c r="L27" s="37">
        <f t="shared" ref="L27" ca="1" si="25">(L15+L16+L17+L18+L19+L20+L21+L22+L23+L24+L25+L26)</f>
        <v>1268427.5018564244</v>
      </c>
      <c r="M27" s="37">
        <f t="shared" ref="M27" ca="1" si="26">(M15+M16+M17+M18+M19+M20+M21+M22+M23+M24+M25+M26)</f>
        <v>442357.75904819986</v>
      </c>
      <c r="N27" s="38">
        <f t="shared" ref="N27" ca="1" si="27">(N15+N16+N17+N18+N19+N20+N21+N22+N23+N24+N25+N26)</f>
        <v>1710785.2609046244</v>
      </c>
      <c r="O27" s="85"/>
      <c r="P27" s="9"/>
      <c r="Q27" s="86"/>
      <c r="R27" s="19"/>
      <c r="S27" s="20"/>
      <c r="T27" s="75"/>
      <c r="U27" s="77"/>
      <c r="V27" s="59" t="s">
        <v>33</v>
      </c>
      <c r="W27" s="61" t="s">
        <v>38</v>
      </c>
      <c r="AA27" s="44" t="s">
        <v>0</v>
      </c>
      <c r="AB27" s="44" t="s">
        <v>0</v>
      </c>
      <c r="AC27" s="45">
        <f>($AC$22+$AC$23+$AC$24+$AC$25+$AC$26)</f>
        <v>64948.768174999997</v>
      </c>
      <c r="AD27" s="45">
        <f>($AD$22+$AD$23+$AD$24+$AD$25+$AD$26)</f>
        <v>64948.768174999997</v>
      </c>
      <c r="AE27" s="62" t="s">
        <v>0</v>
      </c>
      <c r="AF27" s="62" t="s">
        <v>0</v>
      </c>
      <c r="AG27" s="63">
        <f>(AG15+AG16+AG17+AG18+AG19+AG20+AG21+AG22+AG23+AG24+AG25+AG26)</f>
        <v>365</v>
      </c>
      <c r="AH27" s="63">
        <f>(AH15+AH16+AH17+AH18+AH19+AH20+AH21+AH22+AH23+AH24+AH25+AH26)</f>
        <v>313</v>
      </c>
      <c r="AI27" s="63">
        <f>(AI15+AI16+AI17+AI18+AI19+AI20+AI21+AI22+AI23+AI24+AI25+AI26)</f>
        <v>52</v>
      </c>
      <c r="AJ27" s="47">
        <f ca="1">(AJ15+AJ16+AJ17+AJ18+AJ19+AJ20+AJ21+AJ22+AJ23+AJ24+AJ25+AJ26)</f>
        <v>49187.342776188641</v>
      </c>
      <c r="AK27" s="47">
        <f t="shared" ref="AK27:AM27" si="28">(AK15+AK16+AK17+AK18+AK19+AK20+AK21+AK22+AK23+AK24+AK25+AK26)</f>
        <v>29872.167528399987</v>
      </c>
      <c r="AL27" s="47">
        <f t="shared" ca="1" si="28"/>
        <v>45892.476772639624</v>
      </c>
      <c r="AM27" s="47">
        <f t="shared" si="28"/>
        <v>29872.167528399987</v>
      </c>
      <c r="AN27" s="47">
        <f t="shared" ref="AN27:AO27" ca="1" si="29">(AN15+AN16+AN17+AN18+AN19+AN20+AN21+AN22+AN23+AN24+AN25+AN26)</f>
        <v>1398202.6769301998</v>
      </c>
      <c r="AO27" s="47">
        <f t="shared" si="29"/>
        <v>909422.24693019979</v>
      </c>
      <c r="AP27" s="47">
        <f t="shared" ref="AP27:AZ27" ca="1" si="30">(AP15+AP16+AP17+AP18+AP19+AP20+AP21+AP22+AP23+AP24+AP25+AP26)</f>
        <v>1398202.69</v>
      </c>
      <c r="AQ27" s="47">
        <f t="shared" si="30"/>
        <v>396360</v>
      </c>
      <c r="AR27" s="47">
        <f t="shared" ca="1" si="30"/>
        <v>1001842.69</v>
      </c>
      <c r="AS27" s="47">
        <f t="shared" ca="1" si="30"/>
        <v>-7603.99</v>
      </c>
      <c r="AT27" s="47">
        <f t="shared" ca="1" si="30"/>
        <v>1398202.69</v>
      </c>
      <c r="AU27" s="47">
        <f t="shared" si="30"/>
        <v>0</v>
      </c>
      <c r="AV27" s="47">
        <f t="shared" ca="1" si="30"/>
        <v>1398202.69</v>
      </c>
      <c r="AW27" s="47">
        <f t="shared" ca="1" si="30"/>
        <v>-195748.41000000003</v>
      </c>
      <c r="AX27" s="47">
        <f t="shared" ca="1" si="30"/>
        <v>-13982.03</v>
      </c>
      <c r="AY27" s="47">
        <f t="shared" ca="1" si="30"/>
        <v>1188472.2499999998</v>
      </c>
      <c r="AZ27" s="47">
        <f t="shared" si="30"/>
        <v>0</v>
      </c>
      <c r="BA27" s="47">
        <f t="shared" ref="BA27:BC27" ca="1" si="31">(BA15+BA16+BA17+BA18+BA19+BA20+BA21+BA22+BA23+BA24+BA25+BA26)</f>
        <v>0</v>
      </c>
      <c r="BB27" s="47">
        <f t="shared" ca="1" si="31"/>
        <v>0</v>
      </c>
      <c r="BC27" s="47">
        <f t="shared" ca="1" si="31"/>
        <v>0</v>
      </c>
      <c r="BD27" s="46">
        <v>25</v>
      </c>
      <c r="BE27" s="49">
        <v>12.5</v>
      </c>
      <c r="BF27" s="50">
        <v>0.27</v>
      </c>
    </row>
    <row r="28" spans="1:58" ht="39.950000000000003" customHeight="1" x14ac:dyDescent="0.25">
      <c r="A28" s="27">
        <f ca="1">(AU100)</f>
        <v>0.26512485737888919</v>
      </c>
      <c r="B28" s="28" t="s">
        <v>64</v>
      </c>
      <c r="C28" s="29"/>
      <c r="D28" s="33" t="s">
        <v>0</v>
      </c>
      <c r="E28" s="35" t="s">
        <v>0</v>
      </c>
      <c r="F28" s="33" t="s">
        <v>0</v>
      </c>
      <c r="G28" s="33" t="s">
        <v>0</v>
      </c>
      <c r="H28" s="33" t="s">
        <v>0</v>
      </c>
      <c r="I28" s="33" t="s">
        <v>0</v>
      </c>
      <c r="J28" s="33" t="s">
        <v>0</v>
      </c>
      <c r="K28" s="33" t="s">
        <v>0</v>
      </c>
      <c r="L28" s="37">
        <f ca="1">(L27/12)</f>
        <v>105702.29182136869</v>
      </c>
      <c r="M28" s="37">
        <f ca="1">(M27/12)</f>
        <v>36863.146587349991</v>
      </c>
      <c r="N28" s="38">
        <f ca="1">(N27/12)</f>
        <v>142565.43840871871</v>
      </c>
      <c r="O28" s="85"/>
      <c r="P28" s="9"/>
      <c r="Q28" s="86"/>
      <c r="R28" s="39"/>
      <c r="S28" s="40"/>
      <c r="T28" s="41"/>
      <c r="U28" s="78"/>
      <c r="V28" s="59" t="s">
        <v>28</v>
      </c>
      <c r="W28" s="60" t="s">
        <v>92</v>
      </c>
      <c r="AE28" s="62" t="s">
        <v>0</v>
      </c>
      <c r="AF28" s="62" t="s">
        <v>0</v>
      </c>
      <c r="AG28" s="62" t="s">
        <v>0</v>
      </c>
      <c r="AH28" s="62" t="s">
        <v>0</v>
      </c>
      <c r="AI28" s="62" t="s">
        <v>0</v>
      </c>
      <c r="AJ28" s="47">
        <f ca="1">(AJ27/12)</f>
        <v>4098.9452313490538</v>
      </c>
      <c r="AK28" s="47">
        <f t="shared" ref="AK28:AM28" si="32">(AK27/12)</f>
        <v>2489.3472940333322</v>
      </c>
      <c r="AL28" s="47">
        <f t="shared" ca="1" si="32"/>
        <v>3824.3730643866352</v>
      </c>
      <c r="AM28" s="47">
        <f t="shared" si="32"/>
        <v>2489.3472940333322</v>
      </c>
      <c r="AN28" s="47">
        <f t="shared" ref="AN28:AO28" ca="1" si="33">(AN27/12)</f>
        <v>116516.88974418333</v>
      </c>
      <c r="AO28" s="47">
        <f t="shared" si="33"/>
        <v>75785.187244183311</v>
      </c>
      <c r="AP28" s="47">
        <f t="shared" ref="AP28:AZ28" ca="1" si="34">(AP27/12)</f>
        <v>116516.89083333332</v>
      </c>
      <c r="AQ28" s="47">
        <f t="shared" si="34"/>
        <v>33030</v>
      </c>
      <c r="AR28" s="47">
        <f t="shared" ca="1" si="34"/>
        <v>83486.890833333324</v>
      </c>
      <c r="AS28" s="47">
        <f t="shared" ca="1" si="34"/>
        <v>-633.66583333333335</v>
      </c>
      <c r="AT28" s="47">
        <f t="shared" ca="1" si="34"/>
        <v>116516.89083333332</v>
      </c>
      <c r="AU28" s="47">
        <f t="shared" si="34"/>
        <v>0</v>
      </c>
      <c r="AV28" s="47">
        <f t="shared" ca="1" si="34"/>
        <v>116516.89083333332</v>
      </c>
      <c r="AW28" s="47">
        <f t="shared" ca="1" si="34"/>
        <v>-16312.367500000002</v>
      </c>
      <c r="AX28" s="47">
        <f t="shared" ca="1" si="34"/>
        <v>-1165.1691666666668</v>
      </c>
      <c r="AY28" s="47">
        <f t="shared" ca="1" si="34"/>
        <v>99039.354166666642</v>
      </c>
      <c r="AZ28" s="47">
        <f t="shared" si="34"/>
        <v>0</v>
      </c>
      <c r="BA28" s="47">
        <f t="shared" ref="BA28:BC28" ca="1" si="35">(BA27/12)</f>
        <v>0</v>
      </c>
      <c r="BB28" s="47">
        <f t="shared" ca="1" si="35"/>
        <v>0</v>
      </c>
      <c r="BC28" s="47">
        <f t="shared" ca="1" si="35"/>
        <v>0</v>
      </c>
      <c r="BD28" s="46">
        <v>26</v>
      </c>
      <c r="BE28" s="49">
        <v>13</v>
      </c>
      <c r="BF28" s="50">
        <v>0.28000000000000003</v>
      </c>
    </row>
    <row r="29" spans="1:58" ht="39.950000000000003" hidden="1" customHeight="1" x14ac:dyDescent="0.25">
      <c r="V29" s="59" t="s">
        <v>34</v>
      </c>
      <c r="W29" s="61" t="s">
        <v>39</v>
      </c>
      <c r="AA29" s="64">
        <v>1.3878710000000001</v>
      </c>
      <c r="AB29" s="64">
        <v>1.3878710000000001</v>
      </c>
      <c r="AC29" s="44" t="s">
        <v>0</v>
      </c>
      <c r="AD29" s="57" t="s">
        <v>0</v>
      </c>
      <c r="AE29" s="47">
        <f ca="1">IF(AQ1-AR1&gt;=0,AQ1-AR1,0)</f>
        <v>1567.6599999999999</v>
      </c>
      <c r="AF29" s="47">
        <f ca="1">(ROUND(AE29*0.00759*-1,2))</f>
        <v>-11.9</v>
      </c>
      <c r="AG29" s="47">
        <f ca="1">(AQ1)</f>
        <v>9367.66</v>
      </c>
      <c r="AH29" s="47">
        <f ca="1">IF($AC$13*G15&gt;=AG29,AG29,$AC$13*G15)</f>
        <v>4108</v>
      </c>
      <c r="AI29" s="47">
        <f ca="1">(AG29-AH29)</f>
        <v>5259.66</v>
      </c>
      <c r="AJ29" s="47">
        <f ca="1">(ROUND(AI29*0.14*-1,2))</f>
        <v>-736.35</v>
      </c>
      <c r="AK29" s="47">
        <f ca="1">(ROUND(AI29*0.01*-1,2))</f>
        <v>-52.6</v>
      </c>
      <c r="AL29" s="47">
        <f ca="1">(AQ1+AJ29+AK29)</f>
        <v>8578.7099999999991</v>
      </c>
      <c r="AM29" s="47">
        <f ca="1">IF($AC$14*G15&gt;=AL29,AL29,$AC$14*G15)</f>
        <v>7800</v>
      </c>
      <c r="AN29" s="47">
        <f ca="1">IF(AL29-AM29&gt;=0,AL29-AM29,0)</f>
        <v>778.70999999999913</v>
      </c>
      <c r="AO29" s="47">
        <f ca="1">(ROUND(AN29*AU87*-1,2))</f>
        <v>-116.81</v>
      </c>
      <c r="AP29" s="63">
        <v>30</v>
      </c>
      <c r="AQ29" s="47">
        <f ca="1">(AE43/AZ87)</f>
        <v>3843.840483417493</v>
      </c>
      <c r="AR29" s="44" t="s">
        <v>1</v>
      </c>
      <c r="AS29" s="44" t="s">
        <v>59</v>
      </c>
      <c r="BD29" s="46">
        <v>27</v>
      </c>
      <c r="BE29" s="49">
        <v>13.5</v>
      </c>
      <c r="BF29" s="50">
        <v>0.28999999999999998</v>
      </c>
    </row>
    <row r="30" spans="1:58" ht="39.950000000000003" hidden="1" customHeight="1" x14ac:dyDescent="0.25">
      <c r="V30" s="59" t="s">
        <v>13</v>
      </c>
      <c r="W30" s="60" t="s">
        <v>93</v>
      </c>
      <c r="AA30" s="64">
        <v>22.722792999999999</v>
      </c>
      <c r="AB30" s="64">
        <v>22.722792999999999</v>
      </c>
      <c r="AC30" s="44" t="s">
        <v>0</v>
      </c>
      <c r="AD30" s="57" t="s">
        <v>0</v>
      </c>
      <c r="AE30" s="47">
        <f ca="1">IF(AQ2-AR2&gt;=0,AQ2-AR2,0)</f>
        <v>1573</v>
      </c>
      <c r="AF30" s="47">
        <f t="shared" ref="AF30:AF40" ca="1" si="36">(ROUND(AE30*0.00759*-1,2))</f>
        <v>-11.94</v>
      </c>
      <c r="AG30" s="47">
        <f ca="1">(AQ2)</f>
        <v>9373</v>
      </c>
      <c r="AH30" s="47">
        <f ca="1">IF($AC$13*G16&gt;=AG30,AG30,$AC$13*G16)</f>
        <v>4108</v>
      </c>
      <c r="AI30" s="47">
        <f t="shared" ref="AI30:AI40" ca="1" si="37">(AG30-AH30)</f>
        <v>5265</v>
      </c>
      <c r="AJ30" s="47">
        <f t="shared" ref="AJ30:AJ40" ca="1" si="38">(ROUND(AI30*0.14*-1,2))</f>
        <v>-737.1</v>
      </c>
      <c r="AK30" s="47">
        <f t="shared" ref="AK30:AK40" ca="1" si="39">(ROUND(AI30*0.01*-1,2))</f>
        <v>-52.65</v>
      </c>
      <c r="AL30" s="47">
        <f ca="1">(AQ2+AJ30+AK30)</f>
        <v>8583.25</v>
      </c>
      <c r="AM30" s="47">
        <f ca="1">IF($AC$14*G16&gt;=AL30,AL30,$AC$14*G16)</f>
        <v>7800</v>
      </c>
      <c r="AN30" s="47">
        <f t="shared" ref="AN30:AN40" ca="1" si="40">IF(AL30-AM30&gt;=0,AL30-AM30,0)</f>
        <v>783.25</v>
      </c>
      <c r="AO30" s="47">
        <f ca="1">(ROUND(AN30*AU88*-1,2))</f>
        <v>-121.31</v>
      </c>
      <c r="AP30" s="63">
        <v>30</v>
      </c>
      <c r="AQ30" s="47">
        <f ca="1">(AE44/AZ88)</f>
        <v>4253.1661095014624</v>
      </c>
      <c r="AR30" s="57" t="s">
        <v>40</v>
      </c>
      <c r="AS30" s="65">
        <v>2209.5100000000002</v>
      </c>
      <c r="BD30" s="46">
        <v>28</v>
      </c>
      <c r="BE30" s="49">
        <v>14</v>
      </c>
      <c r="BF30" s="50">
        <v>0.3</v>
      </c>
    </row>
    <row r="31" spans="1:58" ht="39.950000000000003" hidden="1" customHeight="1" x14ac:dyDescent="0.25">
      <c r="V31" s="59" t="s">
        <v>27</v>
      </c>
      <c r="W31" s="60" t="s">
        <v>94</v>
      </c>
      <c r="AA31" s="64">
        <v>0.44144099999999997</v>
      </c>
      <c r="AB31" s="64">
        <v>0.44144099999999997</v>
      </c>
      <c r="AC31" s="44" t="s">
        <v>0</v>
      </c>
      <c r="AD31" s="57" t="s">
        <v>0</v>
      </c>
      <c r="AE31" s="47">
        <f ca="1">IF(AQ3-AR3&gt;=0,AQ3-AR3,0)</f>
        <v>5720.2800000000007</v>
      </c>
      <c r="AF31" s="47">
        <f t="shared" ca="1" si="36"/>
        <v>-43.42</v>
      </c>
      <c r="AG31" s="47">
        <f ca="1">(AQ3)</f>
        <v>13520.28</v>
      </c>
      <c r="AH31" s="47">
        <f ca="1">IF($AC$13*G17&gt;=AG31,AG31,$AC$13*G17)</f>
        <v>4108</v>
      </c>
      <c r="AI31" s="47">
        <f t="shared" ca="1" si="37"/>
        <v>9412.2800000000007</v>
      </c>
      <c r="AJ31" s="47">
        <f t="shared" ca="1" si="38"/>
        <v>-1317.72</v>
      </c>
      <c r="AK31" s="47">
        <f t="shared" ca="1" si="39"/>
        <v>-94.12</v>
      </c>
      <c r="AL31" s="47">
        <f ca="1">(AQ3+AJ31+AK31)</f>
        <v>12108.44</v>
      </c>
      <c r="AM31" s="47">
        <f ca="1">IF($AC$14*G17&gt;=AL31,AL31,$AC$14*G17)</f>
        <v>7800</v>
      </c>
      <c r="AN31" s="47">
        <f t="shared" ca="1" si="40"/>
        <v>4308.4400000000005</v>
      </c>
      <c r="AO31" s="47">
        <f ca="1">(ROUND(AN31*AU89*-1,2))</f>
        <v>-885.02</v>
      </c>
      <c r="AP31" s="63">
        <v>30</v>
      </c>
      <c r="AQ31" s="47">
        <f ca="1">(AE45/AZ89)</f>
        <v>4938.5534073753361</v>
      </c>
      <c r="AR31" s="57" t="s">
        <v>45</v>
      </c>
      <c r="AS31" s="65">
        <v>5070.24</v>
      </c>
      <c r="BD31" s="46">
        <v>29</v>
      </c>
      <c r="BE31" s="49">
        <v>14.5</v>
      </c>
      <c r="BF31" s="50">
        <v>0.31</v>
      </c>
    </row>
    <row r="32" spans="1:58" ht="39.950000000000003" hidden="1" customHeight="1" x14ac:dyDescent="0.25">
      <c r="V32" s="66" t="s">
        <v>29</v>
      </c>
      <c r="W32" s="61" t="s">
        <v>60</v>
      </c>
      <c r="AE32" s="47">
        <f ca="1">IF(AQ4-AR4&gt;=0,AQ4-AR4,0)</f>
        <v>6174.27</v>
      </c>
      <c r="AF32" s="47">
        <f t="shared" ca="1" si="36"/>
        <v>-46.86</v>
      </c>
      <c r="AG32" s="47">
        <f ca="1">(AQ4)</f>
        <v>13974.27</v>
      </c>
      <c r="AH32" s="47">
        <f ca="1">IF($AC$13*G18&gt;=AG32,AG32,$AC$13*G18)</f>
        <v>4108</v>
      </c>
      <c r="AI32" s="47">
        <f t="shared" ca="1" si="37"/>
        <v>9866.27</v>
      </c>
      <c r="AJ32" s="47">
        <f t="shared" ca="1" si="38"/>
        <v>-1381.28</v>
      </c>
      <c r="AK32" s="47">
        <f t="shared" ca="1" si="39"/>
        <v>-98.66</v>
      </c>
      <c r="AL32" s="47">
        <f ca="1">(AQ4+AJ32+AK32)</f>
        <v>12494.33</v>
      </c>
      <c r="AM32" s="47">
        <f ca="1">IF($AC$14*G18&gt;=AL32,AL32,$AC$14*G18)</f>
        <v>7800</v>
      </c>
      <c r="AN32" s="47">
        <f t="shared" ca="1" si="40"/>
        <v>4694.33</v>
      </c>
      <c r="AO32" s="47">
        <f ca="1">(ROUND(AN32*AU90*-1,2))</f>
        <v>-1267.47</v>
      </c>
      <c r="AP32" s="63">
        <v>30</v>
      </c>
      <c r="AQ32" s="47">
        <f ca="1">(AE46/AZ90)</f>
        <v>5380.8878954495767</v>
      </c>
      <c r="AR32" s="57" t="s">
        <v>46</v>
      </c>
      <c r="AS32" s="65">
        <v>5070.24</v>
      </c>
      <c r="BD32" s="46">
        <v>30</v>
      </c>
      <c r="BE32" s="49">
        <v>15</v>
      </c>
      <c r="BF32" s="50">
        <v>0.32</v>
      </c>
    </row>
    <row r="33" spans="22:58" ht="39.950000000000003" hidden="1" customHeight="1" x14ac:dyDescent="0.25">
      <c r="V33" s="59" t="s">
        <v>35</v>
      </c>
      <c r="W33" s="60" t="s">
        <v>61</v>
      </c>
      <c r="AA33" s="67">
        <f>($AA$34*2)</f>
        <v>19000</v>
      </c>
      <c r="AB33" s="44" t="s">
        <v>0</v>
      </c>
      <c r="AC33" s="45">
        <f>($AA$29*$AA$33)</f>
        <v>26369.549000000003</v>
      </c>
      <c r="AD33" s="45">
        <f>($AB$29*$AA$33)</f>
        <v>26369.549000000003</v>
      </c>
      <c r="AE33" s="47">
        <f ca="1">IF(AQ5-AR5&gt;=0,AQ5-AR5,0)</f>
        <v>6174.27</v>
      </c>
      <c r="AF33" s="47">
        <f t="shared" ca="1" si="36"/>
        <v>-46.86</v>
      </c>
      <c r="AG33" s="47">
        <f ca="1">(AQ5)</f>
        <v>13974.27</v>
      </c>
      <c r="AH33" s="47">
        <f ca="1">IF($AC$13*G19&gt;=AG33,AG33,$AC$13*G19)</f>
        <v>4108</v>
      </c>
      <c r="AI33" s="47">
        <f t="shared" ca="1" si="37"/>
        <v>9866.27</v>
      </c>
      <c r="AJ33" s="47">
        <f t="shared" ca="1" si="38"/>
        <v>-1381.28</v>
      </c>
      <c r="AK33" s="47">
        <f t="shared" ca="1" si="39"/>
        <v>-98.66</v>
      </c>
      <c r="AL33" s="47">
        <f ca="1">(AQ5+AJ33+AK33)</f>
        <v>12494.33</v>
      </c>
      <c r="AM33" s="47">
        <f ca="1">IF($AC$14*G19&gt;=AL33,AL33,$AC$14*G19)</f>
        <v>7800</v>
      </c>
      <c r="AN33" s="47">
        <f t="shared" ca="1" si="40"/>
        <v>4694.33</v>
      </c>
      <c r="AO33" s="47">
        <f ca="1">(ROUND(AN33*AU91*-1,2))</f>
        <v>-1267.47</v>
      </c>
      <c r="AP33" s="63">
        <v>30</v>
      </c>
      <c r="AQ33" s="47">
        <f ca="1">(AE47/AZ91)</f>
        <v>5380.8878954495767</v>
      </c>
      <c r="AR33" s="57" t="s">
        <v>47</v>
      </c>
      <c r="AS33" s="65">
        <v>23258</v>
      </c>
      <c r="BD33" s="46">
        <v>31</v>
      </c>
      <c r="BE33" s="49">
        <v>15.5</v>
      </c>
      <c r="BF33" s="50">
        <v>0.33</v>
      </c>
    </row>
    <row r="34" spans="22:58" ht="39.950000000000003" hidden="1" customHeight="1" x14ac:dyDescent="0.25">
      <c r="AA34" s="67">
        <f>(9500)</f>
        <v>9500</v>
      </c>
      <c r="AB34" s="44" t="s">
        <v>0</v>
      </c>
      <c r="AC34" s="45">
        <f>($AA$29*$AA$34)</f>
        <v>13184.774500000001</v>
      </c>
      <c r="AD34" s="45">
        <f>($AB$29*$AA$34)</f>
        <v>13184.774500000001</v>
      </c>
      <c r="AE34" s="47">
        <f ca="1">IF(AQ6-AR6&gt;=0,AQ6-AR6,0)</f>
        <v>6174.27</v>
      </c>
      <c r="AF34" s="47">
        <f t="shared" ca="1" si="36"/>
        <v>-46.86</v>
      </c>
      <c r="AG34" s="47">
        <f ca="1">(AQ6)</f>
        <v>13974.27</v>
      </c>
      <c r="AH34" s="47">
        <f ca="1">IF($AC$13*G20&gt;=AG34,AG34,$AC$13*G20)</f>
        <v>4108</v>
      </c>
      <c r="AI34" s="47">
        <f t="shared" ca="1" si="37"/>
        <v>9866.27</v>
      </c>
      <c r="AJ34" s="47">
        <f t="shared" ca="1" si="38"/>
        <v>-1381.28</v>
      </c>
      <c r="AK34" s="47">
        <f t="shared" ca="1" si="39"/>
        <v>-98.66</v>
      </c>
      <c r="AL34" s="47">
        <f ca="1">(AQ6+AJ34+AK34)</f>
        <v>12494.33</v>
      </c>
      <c r="AM34" s="47">
        <f ca="1">IF($AC$14*G20&gt;=AL34,AL34,$AC$14*G20)</f>
        <v>7800</v>
      </c>
      <c r="AN34" s="47">
        <f t="shared" ca="1" si="40"/>
        <v>4694.33</v>
      </c>
      <c r="AO34" s="47">
        <f ca="1">(ROUND(AN34*AU92*-1,2))</f>
        <v>-1267.47</v>
      </c>
      <c r="AP34" s="63">
        <v>30</v>
      </c>
      <c r="AQ34" s="47">
        <f ca="1">(AE48/AZ92)</f>
        <v>5380.8878954495767</v>
      </c>
      <c r="AR34" s="57" t="s">
        <v>48</v>
      </c>
      <c r="AS34" s="65">
        <v>23258</v>
      </c>
      <c r="BD34" s="46">
        <v>32</v>
      </c>
      <c r="BE34" s="49">
        <v>16</v>
      </c>
      <c r="BF34" s="50">
        <v>0.34</v>
      </c>
    </row>
    <row r="35" spans="22:58" ht="39.950000000000003" hidden="1" customHeight="1" x14ac:dyDescent="0.25">
      <c r="AE35" s="47">
        <f ca="1">IF(AQ7-AR7&gt;=0,AQ7-AR7,0)</f>
        <v>6174.27</v>
      </c>
      <c r="AF35" s="47">
        <f t="shared" ca="1" si="36"/>
        <v>-46.86</v>
      </c>
      <c r="AG35" s="47">
        <f ca="1">(AQ7)</f>
        <v>13974.27</v>
      </c>
      <c r="AH35" s="47">
        <f ca="1">IF($AD$13*G21&gt;=AG35,AG35,$AD$13*G21)</f>
        <v>4108</v>
      </c>
      <c r="AI35" s="47">
        <f t="shared" ca="1" si="37"/>
        <v>9866.27</v>
      </c>
      <c r="AJ35" s="47">
        <f t="shared" ca="1" si="38"/>
        <v>-1381.28</v>
      </c>
      <c r="AK35" s="47">
        <f t="shared" ca="1" si="39"/>
        <v>-98.66</v>
      </c>
      <c r="AL35" s="47">
        <f ca="1">(AQ7+AJ35+AK35)</f>
        <v>12494.33</v>
      </c>
      <c r="AM35" s="47">
        <f ca="1">IF($AD$14*G21&gt;=AL35,AL35,$AD$14*G21)</f>
        <v>7800</v>
      </c>
      <c r="AN35" s="47">
        <f t="shared" ca="1" si="40"/>
        <v>4694.33</v>
      </c>
      <c r="AO35" s="47">
        <f ca="1">(ROUND(AN35*AU93*-1,2))</f>
        <v>-1267.47</v>
      </c>
      <c r="AP35" s="63">
        <v>30</v>
      </c>
      <c r="AQ35" s="47">
        <f ca="1">(AE49/AZ93)</f>
        <v>5380.8878954495767</v>
      </c>
      <c r="AR35" s="57" t="s">
        <v>2</v>
      </c>
      <c r="AS35" s="65">
        <v>13954.8</v>
      </c>
      <c r="BD35" s="46">
        <v>33</v>
      </c>
      <c r="BE35" s="49">
        <v>16.5</v>
      </c>
      <c r="BF35" s="50">
        <v>0.35</v>
      </c>
    </row>
    <row r="36" spans="22:58" ht="39.950000000000003" hidden="1" customHeight="1" x14ac:dyDescent="0.25">
      <c r="AA36" s="45">
        <v>12000</v>
      </c>
      <c r="AB36" s="44" t="s">
        <v>0</v>
      </c>
      <c r="AC36" s="44" t="s">
        <v>0</v>
      </c>
      <c r="AD36" s="44" t="s">
        <v>0</v>
      </c>
      <c r="AE36" s="47">
        <f ca="1">IF(AQ8-AR8&gt;=0,AQ8-AR8,0)</f>
        <v>6174.27</v>
      </c>
      <c r="AF36" s="47">
        <f t="shared" ca="1" si="36"/>
        <v>-46.86</v>
      </c>
      <c r="AG36" s="47">
        <f ca="1">(AQ8)</f>
        <v>13974.27</v>
      </c>
      <c r="AH36" s="47">
        <f ca="1">IF($AD$13*G22&gt;=AG36,AG36,$AD$13*G22)</f>
        <v>4108</v>
      </c>
      <c r="AI36" s="47">
        <f t="shared" ca="1" si="37"/>
        <v>9866.27</v>
      </c>
      <c r="AJ36" s="47">
        <f t="shared" ca="1" si="38"/>
        <v>-1381.28</v>
      </c>
      <c r="AK36" s="47">
        <f t="shared" ca="1" si="39"/>
        <v>-98.66</v>
      </c>
      <c r="AL36" s="47">
        <f ca="1">(AQ8+AJ36+AK36)</f>
        <v>12494.33</v>
      </c>
      <c r="AM36" s="47">
        <f ca="1">IF($AD$14*G22&gt;=AL36,AL36,$AD$14*G22)</f>
        <v>7800</v>
      </c>
      <c r="AN36" s="47">
        <f t="shared" ca="1" si="40"/>
        <v>4694.33</v>
      </c>
      <c r="AO36" s="47">
        <f ca="1">(ROUND(AN36*AU94*-1,2))</f>
        <v>-1267.47</v>
      </c>
      <c r="AP36" s="63">
        <v>30</v>
      </c>
      <c r="AQ36" s="47">
        <f ca="1">(AE50/AZ94)</f>
        <v>5380.8878954495767</v>
      </c>
      <c r="AR36" s="57" t="s">
        <v>51</v>
      </c>
      <c r="AS36" s="65">
        <v>3363.11</v>
      </c>
      <c r="BD36" s="46">
        <v>34</v>
      </c>
      <c r="BE36" s="49">
        <v>17</v>
      </c>
      <c r="BF36" s="50">
        <v>0.36</v>
      </c>
    </row>
    <row r="37" spans="22:58" ht="39.950000000000003" hidden="1" customHeight="1" x14ac:dyDescent="0.25">
      <c r="AA37" s="45">
        <v>7000</v>
      </c>
      <c r="AB37" s="44" t="s">
        <v>0</v>
      </c>
      <c r="AC37" s="44" t="s">
        <v>0</v>
      </c>
      <c r="AD37" s="44" t="s">
        <v>0</v>
      </c>
      <c r="AE37" s="47">
        <f ca="1">IF(AQ9-AR9&gt;=0,AQ9-AR9,0)</f>
        <v>6183.52</v>
      </c>
      <c r="AF37" s="47">
        <f t="shared" ca="1" si="36"/>
        <v>-46.93</v>
      </c>
      <c r="AG37" s="47">
        <f ca="1">(AQ9)</f>
        <v>13983.52</v>
      </c>
      <c r="AH37" s="47">
        <f ca="1">IF($AD$13*G23&gt;=AG37,AG37,$AD$13*G23)</f>
        <v>4108</v>
      </c>
      <c r="AI37" s="47">
        <f t="shared" ca="1" si="37"/>
        <v>9875.52</v>
      </c>
      <c r="AJ37" s="47">
        <f t="shared" ca="1" si="38"/>
        <v>-1382.57</v>
      </c>
      <c r="AK37" s="47">
        <f t="shared" ca="1" si="39"/>
        <v>-98.76</v>
      </c>
      <c r="AL37" s="47">
        <f ca="1">(AQ9+AJ37+AK37)</f>
        <v>12502.19</v>
      </c>
      <c r="AM37" s="47">
        <f ca="1">IF($AD$14*G23&gt;=AL37,AL37,$AD$14*G23)</f>
        <v>7800</v>
      </c>
      <c r="AN37" s="47">
        <f t="shared" ca="1" si="40"/>
        <v>4702.1900000000005</v>
      </c>
      <c r="AO37" s="47">
        <f ca="1">(ROUND(AN37*AU95*-1,2))</f>
        <v>-1275.26</v>
      </c>
      <c r="AP37" s="63">
        <v>30</v>
      </c>
      <c r="AQ37" s="47">
        <f ca="1">(AE51/AZ95)</f>
        <v>5389.9022113735491</v>
      </c>
      <c r="AR37" s="57" t="s">
        <v>52</v>
      </c>
      <c r="AS37" s="65">
        <v>3363.11</v>
      </c>
      <c r="BD37" s="46">
        <v>35</v>
      </c>
      <c r="BE37" s="49">
        <v>17.5</v>
      </c>
      <c r="BF37" s="50">
        <v>0.37</v>
      </c>
    </row>
    <row r="38" spans="22:58" ht="39.950000000000003" hidden="1" customHeight="1" x14ac:dyDescent="0.25">
      <c r="AA38" s="45">
        <v>3000</v>
      </c>
      <c r="AB38" s="44" t="s">
        <v>0</v>
      </c>
      <c r="AC38" s="44" t="s">
        <v>0</v>
      </c>
      <c r="AD38" s="44" t="s">
        <v>0</v>
      </c>
      <c r="AE38" s="47">
        <f ca="1">IF(AQ10-AR10&gt;=0,AQ10-AR10,0)</f>
        <v>6863.4500000000007</v>
      </c>
      <c r="AF38" s="47">
        <f t="shared" ca="1" si="36"/>
        <v>-52.09</v>
      </c>
      <c r="AG38" s="47">
        <f ca="1">(AQ10)</f>
        <v>14663.45</v>
      </c>
      <c r="AH38" s="47">
        <f ca="1">IF($AD$13*G24&gt;=AG38,AG38,$AD$13*G24)</f>
        <v>4108</v>
      </c>
      <c r="AI38" s="47">
        <f t="shared" ca="1" si="37"/>
        <v>10555.45</v>
      </c>
      <c r="AJ38" s="47">
        <f t="shared" ca="1" si="38"/>
        <v>-1477.76</v>
      </c>
      <c r="AK38" s="47">
        <f t="shared" ca="1" si="39"/>
        <v>-105.55</v>
      </c>
      <c r="AL38" s="47">
        <f ca="1">(AQ10+AJ38+AK38)</f>
        <v>13080.140000000001</v>
      </c>
      <c r="AM38" s="47">
        <f ca="1">IF($AD$14*G24&gt;=AL38,AL38,$AD$14*G24)</f>
        <v>7800</v>
      </c>
      <c r="AN38" s="47">
        <f t="shared" ca="1" si="40"/>
        <v>5280.1400000000012</v>
      </c>
      <c r="AO38" s="47">
        <f ca="1">(ROUND(AN38*AU96*-1,2))</f>
        <v>-1848.05</v>
      </c>
      <c r="AP38" s="63">
        <v>30</v>
      </c>
      <c r="AQ38" s="47">
        <f ca="1">(AE52/AZ96)</f>
        <v>6052.3756216622924</v>
      </c>
      <c r="AR38" s="57" t="s">
        <v>53</v>
      </c>
      <c r="AS38" s="65">
        <v>4213.1899999999996</v>
      </c>
      <c r="BD38" s="46">
        <v>36</v>
      </c>
      <c r="BE38" s="49">
        <v>18</v>
      </c>
      <c r="BF38" s="50">
        <v>0.38</v>
      </c>
    </row>
    <row r="39" spans="22:58" ht="39.950000000000003" hidden="1" customHeight="1" x14ac:dyDescent="0.25">
      <c r="AA39" s="44" t="s">
        <v>72</v>
      </c>
      <c r="AB39" s="45">
        <v>2083.04</v>
      </c>
      <c r="AC39" s="45">
        <f>AB39*1.1829</f>
        <v>2464.0280160000002</v>
      </c>
      <c r="AD39" s="45">
        <f>AC39*1.15</f>
        <v>2833.6322184000001</v>
      </c>
      <c r="AE39" s="47">
        <f ca="1">IF(AQ11-AR11&gt;=0,AQ11-AR11,0)</f>
        <v>6863.4500000000007</v>
      </c>
      <c r="AF39" s="47">
        <f t="shared" ca="1" si="36"/>
        <v>-52.09</v>
      </c>
      <c r="AG39" s="47">
        <f ca="1">(AQ11)</f>
        <v>14663.45</v>
      </c>
      <c r="AH39" s="47">
        <f ca="1">IF($AD$13*G25&gt;=AG39,AG39,$AD$13*G25)</f>
        <v>4108</v>
      </c>
      <c r="AI39" s="47">
        <f t="shared" ca="1" si="37"/>
        <v>10555.45</v>
      </c>
      <c r="AJ39" s="47">
        <f t="shared" ca="1" si="38"/>
        <v>-1477.76</v>
      </c>
      <c r="AK39" s="47">
        <f t="shared" ca="1" si="39"/>
        <v>-105.55</v>
      </c>
      <c r="AL39" s="47">
        <f ca="1">(AQ11+AJ39+AK39)</f>
        <v>13080.140000000001</v>
      </c>
      <c r="AM39" s="47">
        <f ca="1">IF($AD$14*G25&gt;=AL39,AL39,$AD$14*G25)</f>
        <v>7800</v>
      </c>
      <c r="AN39" s="47">
        <f t="shared" ca="1" si="40"/>
        <v>5280.1400000000012</v>
      </c>
      <c r="AO39" s="47">
        <f ca="1">(ROUND(AN39*AU97*-1,2))</f>
        <v>-1848.05</v>
      </c>
      <c r="AP39" s="63">
        <v>30</v>
      </c>
      <c r="AQ39" s="47">
        <f ca="1">(AE53/AZ97)</f>
        <v>6052.3756216622924</v>
      </c>
      <c r="AR39" s="57" t="s">
        <v>54</v>
      </c>
      <c r="AS39" s="65">
        <v>6305.24</v>
      </c>
      <c r="BD39" s="46">
        <v>37</v>
      </c>
      <c r="BE39" s="49">
        <v>18.5</v>
      </c>
      <c r="BF39" s="50">
        <v>0.39</v>
      </c>
    </row>
    <row r="40" spans="22:58" ht="39.950000000000003" hidden="1" customHeight="1" x14ac:dyDescent="0.25">
      <c r="AA40" s="44" t="s">
        <v>73</v>
      </c>
      <c r="AB40" s="45">
        <v>2054.66</v>
      </c>
      <c r="AC40" s="45">
        <f>AB40*1.1829</f>
        <v>2430.4573139999998</v>
      </c>
      <c r="AD40" s="45">
        <f>AC40*1.15</f>
        <v>2795.0259110999996</v>
      </c>
      <c r="AE40" s="47">
        <f ca="1">IF(AQ12-AR12&gt;=0,AQ12-AR12,0)</f>
        <v>6863.4500000000007</v>
      </c>
      <c r="AF40" s="47">
        <f t="shared" ca="1" si="36"/>
        <v>-52.09</v>
      </c>
      <c r="AG40" s="47">
        <f ca="1">(AQ12)</f>
        <v>14663.45</v>
      </c>
      <c r="AH40" s="47">
        <f ca="1">IF($AD$13*G26&gt;=AG40,AG40,$AD$13*G26)</f>
        <v>4108</v>
      </c>
      <c r="AI40" s="47">
        <f t="shared" ca="1" si="37"/>
        <v>10555.45</v>
      </c>
      <c r="AJ40" s="47">
        <f t="shared" ca="1" si="38"/>
        <v>-1477.76</v>
      </c>
      <c r="AK40" s="47">
        <f t="shared" ca="1" si="39"/>
        <v>-105.55</v>
      </c>
      <c r="AL40" s="47">
        <f ca="1">(AQ12+AJ40+AK40)</f>
        <v>13080.140000000001</v>
      </c>
      <c r="AM40" s="47">
        <f ca="1">IF($AD$14*G26&gt;=AL40,AL40,$AD$14*G26)</f>
        <v>7800</v>
      </c>
      <c r="AN40" s="47">
        <f t="shared" ca="1" si="40"/>
        <v>5280.1400000000012</v>
      </c>
      <c r="AO40" s="47">
        <f ca="1">(ROUND(AN40*AU98*-1,2))</f>
        <v>-1848.05</v>
      </c>
      <c r="AP40" s="63">
        <v>30</v>
      </c>
      <c r="AQ40" s="47">
        <f ca="1">(AE54/AZ98)</f>
        <v>6052.3756216622924</v>
      </c>
      <c r="AR40" s="57" t="s">
        <v>49</v>
      </c>
      <c r="AS40" s="65">
        <v>4213.1899999999996</v>
      </c>
      <c r="BD40" s="46">
        <v>38</v>
      </c>
      <c r="BE40" s="49">
        <v>19</v>
      </c>
      <c r="BF40" s="50">
        <v>0.4</v>
      </c>
    </row>
    <row r="41" spans="22:58" ht="39.950000000000003" hidden="1" customHeight="1" x14ac:dyDescent="0.25">
      <c r="AE41" s="47">
        <f ca="1">(AE29+AE30+AE31+AE32+AE33+AE34+AE35+AE36+AE37+AE38+AE39+AE40)</f>
        <v>66506.16</v>
      </c>
      <c r="AF41" s="47">
        <f ca="1">(AF29+AF30+AF31+AF32+AF33+AF34+AF35+AF36+AF37+AF38+AF39+AF40)</f>
        <v>-504.7600000000001</v>
      </c>
      <c r="AG41" s="47">
        <f ca="1">(AG29+AG30+AG31+AG32+AG33+AG34+AG35+AG36+AG37+AG38+AG39+AG40)</f>
        <v>160106.16000000003</v>
      </c>
      <c r="AH41" s="47">
        <f ca="1">(AH29+AH30+AH31+AH32+AH33+AH34+AH35+AH36+AH37+AH38+AH39+AH40)</f>
        <v>49296</v>
      </c>
      <c r="AI41" s="47">
        <f ca="1">(AI29+AI30+AI31+AI32+AI33+AI34+AI35+AI36+AI37+AI38+AI39+AI40)</f>
        <v>110810.16</v>
      </c>
      <c r="AJ41" s="47">
        <f ca="1">(AJ29+AJ30+AJ31+AJ32+AJ33+AJ34+AJ35+AJ36+AJ37+AJ38+AJ39+AJ40)</f>
        <v>-15513.42</v>
      </c>
      <c r="AK41" s="47">
        <f ca="1">(AK29+AK30+AK31+AK32+AK33+AK34+AK35+AK36+AK37+AK38+AK39+AK40)</f>
        <v>-1108.0799999999997</v>
      </c>
      <c r="AL41" s="47">
        <f ca="1">(AL29+AL30+AL31+AL32+AL33+AL34+AL35+AL36+AL37+AL38+AL39+AL40)</f>
        <v>143484.66</v>
      </c>
      <c r="AM41" s="47">
        <f ca="1">(AM29+AM30+AM31+AM32+AM33+AM34+AM35+AM36+AM37+AM38+AM39+AM40)</f>
        <v>93600</v>
      </c>
      <c r="AN41" s="47">
        <f ca="1">(AN29+AN30+AN31+AN32+AN33+AN34+AN35+AN36+AN37+AN38+AN39+AN40)</f>
        <v>49884.66</v>
      </c>
      <c r="AO41" s="47">
        <f ca="1">(AO29+AO30+AO31+AO32+AO33+AO34+AO35+AO36+AO37+AO38+AO39+AO40)</f>
        <v>-14279.899999999998</v>
      </c>
      <c r="AP41" s="63">
        <f>(AP29+AP30+AP31+AP32+AP33+AP34+AP35+AP36+AP37+AP38+AP39+AP40)</f>
        <v>360</v>
      </c>
      <c r="AQ41" s="47">
        <f ca="1">(AQ29+AQ30+AQ31+AQ32+AQ33+AQ34+AQ35+AQ36+AQ37+AQ38+AQ39+AQ40)</f>
        <v>63487.028553902601</v>
      </c>
      <c r="AR41" s="57" t="s">
        <v>50</v>
      </c>
      <c r="AS41" s="65">
        <v>6305.24</v>
      </c>
      <c r="BD41" s="46">
        <v>39</v>
      </c>
      <c r="BE41" s="49">
        <v>19.5</v>
      </c>
      <c r="BF41" s="50">
        <v>0.41</v>
      </c>
    </row>
    <row r="42" spans="22:58" ht="39.950000000000003" hidden="1" customHeight="1" x14ac:dyDescent="0.25">
      <c r="AE42" s="47">
        <f ca="1">(AE41/12)</f>
        <v>5542.18</v>
      </c>
      <c r="AF42" s="47">
        <f ca="1">(AF41/12)</f>
        <v>-42.06333333333334</v>
      </c>
      <c r="AG42" s="47">
        <f ca="1">(AG41/12)</f>
        <v>13342.180000000002</v>
      </c>
      <c r="AH42" s="47">
        <f ca="1">(AH41/12)</f>
        <v>4108</v>
      </c>
      <c r="AI42" s="47">
        <f ca="1">(AI41/12)</f>
        <v>9234.18</v>
      </c>
      <c r="AJ42" s="47">
        <f ca="1">(AJ41/12)</f>
        <v>-1292.7850000000001</v>
      </c>
      <c r="AK42" s="47">
        <f ca="1">(AK41/12)</f>
        <v>-92.339999999999975</v>
      </c>
      <c r="AL42" s="47">
        <f ca="1">(AL41/12)</f>
        <v>11957.055</v>
      </c>
      <c r="AM42" s="47">
        <f ca="1">(AM41/12)</f>
        <v>7800</v>
      </c>
      <c r="AN42" s="47">
        <f ca="1">(AN41/12)</f>
        <v>4157.0550000000003</v>
      </c>
      <c r="AO42" s="47">
        <f ca="1">(AO41/12)</f>
        <v>-1189.9916666666666</v>
      </c>
      <c r="AP42" s="62" t="s">
        <v>0</v>
      </c>
      <c r="AQ42" s="47">
        <f ca="1">(AQ41/12)</f>
        <v>5290.5857128252164</v>
      </c>
      <c r="AR42" s="57" t="s">
        <v>8</v>
      </c>
      <c r="AS42" s="65">
        <v>5814.5</v>
      </c>
      <c r="BD42" s="46">
        <v>40</v>
      </c>
      <c r="BE42" s="49">
        <v>20</v>
      </c>
      <c r="BF42" s="50">
        <v>0.42</v>
      </c>
    </row>
    <row r="43" spans="22:58" ht="39.950000000000003" hidden="1" customHeight="1" x14ac:dyDescent="0.25">
      <c r="AE43" s="47">
        <f>(2748/30*AP29)</f>
        <v>2748</v>
      </c>
      <c r="AF43" s="63">
        <v>10</v>
      </c>
      <c r="AG43" s="47">
        <f>(0)</f>
        <v>0</v>
      </c>
      <c r="AH43" s="47">
        <f>(0)</f>
        <v>0</v>
      </c>
      <c r="AI43" s="47">
        <f ca="1">(AJ43/AZ87)</f>
        <v>28740.121134128767</v>
      </c>
      <c r="AJ43" s="47">
        <f>(AK15*AF43)</f>
        <v>20546.599999999999</v>
      </c>
      <c r="AK43" s="63">
        <v>30</v>
      </c>
      <c r="AL43" s="47">
        <f>(6136/30*AK43)</f>
        <v>6136</v>
      </c>
      <c r="AM43" s="47">
        <f ca="1">(AL43*AZ87)</f>
        <v>4386.6877600000007</v>
      </c>
      <c r="AN43" s="63">
        <v>30</v>
      </c>
      <c r="AO43" s="47">
        <f ca="1">(AP43/AZ87)</f>
        <v>0</v>
      </c>
      <c r="AP43" s="47">
        <f t="shared" ref="AP43:AP44" si="41">COUNTIF($A$1,"Deniz Taksi / Kaptan")*(2860/30*AN43)</f>
        <v>0</v>
      </c>
      <c r="AR43" s="57" t="s">
        <v>26</v>
      </c>
      <c r="AS43" s="65">
        <v>2907.25</v>
      </c>
      <c r="BD43" s="46">
        <v>41</v>
      </c>
      <c r="BE43" s="49">
        <v>20.5</v>
      </c>
      <c r="BF43" s="50">
        <v>0.43</v>
      </c>
    </row>
    <row r="44" spans="22:58" ht="39.950000000000003" hidden="1" customHeight="1" x14ac:dyDescent="0.25">
      <c r="AE44" s="47">
        <f>(2748/30*15+3298/30*15)</f>
        <v>3023</v>
      </c>
      <c r="AF44" s="63">
        <v>10</v>
      </c>
      <c r="AG44" s="47">
        <f>(0)</f>
        <v>0</v>
      </c>
      <c r="AH44" s="47">
        <f>(0)</f>
        <v>0</v>
      </c>
      <c r="AI44" s="47">
        <f ca="1">(AJ44/AZ88)</f>
        <v>28907.741576408451</v>
      </c>
      <c r="AJ44" s="47">
        <f>(AK16*AF44)</f>
        <v>20546.599999999999</v>
      </c>
      <c r="AK44" s="63">
        <v>30</v>
      </c>
      <c r="AL44" s="47">
        <f t="shared" ref="AL44" si="42">(6136/30*AK44)</f>
        <v>6136</v>
      </c>
      <c r="AM44" s="47">
        <f ca="1">(AL44*AZ88)</f>
        <v>4361.2517175291441</v>
      </c>
      <c r="AN44" s="63">
        <v>30</v>
      </c>
      <c r="AO44" s="47">
        <f ca="1">(AP44/AZ88)</f>
        <v>0</v>
      </c>
      <c r="AP44" s="47">
        <f t="shared" si="41"/>
        <v>0</v>
      </c>
      <c r="AR44" s="57" t="s">
        <v>23</v>
      </c>
      <c r="AS44" s="65">
        <v>40701.5</v>
      </c>
      <c r="BD44" s="46">
        <v>42</v>
      </c>
      <c r="BE44" s="49">
        <v>21</v>
      </c>
      <c r="BF44" s="50">
        <v>0.44</v>
      </c>
    </row>
    <row r="45" spans="22:58" ht="39.950000000000003" hidden="1" customHeight="1" x14ac:dyDescent="0.25">
      <c r="AE45" s="47">
        <f>(3298/30*AP31)</f>
        <v>3298</v>
      </c>
      <c r="AF45" s="63">
        <v>10</v>
      </c>
      <c r="AG45" s="47">
        <f ca="1">(AI43+AI44+AI45)</f>
        <v>94042.475353153975</v>
      </c>
      <c r="AH45" s="47">
        <f>(AJ43+AJ44+AJ45)</f>
        <v>65397.77313999999</v>
      </c>
      <c r="AI45" s="47">
        <f ca="1">(AJ45/AZ89)</f>
        <v>36394.612642616754</v>
      </c>
      <c r="AJ45" s="47">
        <f>(AK17*AF45)</f>
        <v>24304.573139999997</v>
      </c>
      <c r="AK45" s="63">
        <v>30</v>
      </c>
      <c r="AL45" s="47">
        <f>(7135.55/30*AK45)</f>
        <v>7135.55</v>
      </c>
      <c r="AM45" s="47">
        <f ca="1">(AL45*AZ89)</f>
        <v>4765.1694653854056</v>
      </c>
      <c r="AN45" s="63">
        <v>30</v>
      </c>
      <c r="AO45" s="47">
        <f ca="1">(AP45/AZ89)</f>
        <v>0</v>
      </c>
      <c r="AP45" s="47">
        <f>COUNTIF($A$1,"Deniz Taksi / Kaptan")*(3325.89/30*AN45)</f>
        <v>0</v>
      </c>
      <c r="BD45" s="46">
        <v>43</v>
      </c>
      <c r="BE45" s="49">
        <v>21.5</v>
      </c>
      <c r="BF45" s="50">
        <v>0.45</v>
      </c>
    </row>
    <row r="46" spans="22:58" ht="39.950000000000003" hidden="1" customHeight="1" x14ac:dyDescent="0.25">
      <c r="AE46" s="47">
        <f>(3298/30*AP32)</f>
        <v>3298</v>
      </c>
      <c r="AF46" s="63">
        <v>10</v>
      </c>
      <c r="AG46" s="47">
        <f>(0)</f>
        <v>0</v>
      </c>
      <c r="AH46" s="47">
        <f>(0)</f>
        <v>0</v>
      </c>
      <c r="AI46" s="47">
        <f ca="1">(AJ46/AZ90)</f>
        <v>39654.391574619433</v>
      </c>
      <c r="AJ46" s="47">
        <f>(AK18*AF46)</f>
        <v>24304.573139999997</v>
      </c>
      <c r="AK46" s="63">
        <v>30</v>
      </c>
      <c r="AL46" s="47">
        <f t="shared" ref="AL46:AL54" si="43">(7135.55/30*AK46)</f>
        <v>7135.55</v>
      </c>
      <c r="AM46" s="47">
        <f ca="1">(AL46*AZ90)</f>
        <v>4373.4499504999994</v>
      </c>
      <c r="AN46" s="63">
        <v>30</v>
      </c>
      <c r="AO46" s="47">
        <f ca="1">(AP46/AZ90)</f>
        <v>0</v>
      </c>
      <c r="AP46" s="47">
        <f t="shared" ref="AP46:AP54" si="44">COUNTIF($A$1,"Deniz Taksi / Kaptan")*(3325.89/30*AN46)</f>
        <v>0</v>
      </c>
      <c r="BD46" s="46">
        <v>44</v>
      </c>
      <c r="BE46" s="49">
        <v>22</v>
      </c>
      <c r="BF46" s="50">
        <v>0.46</v>
      </c>
    </row>
    <row r="47" spans="22:58" ht="39.950000000000003" hidden="1" customHeight="1" x14ac:dyDescent="0.25">
      <c r="AE47" s="47">
        <f>(3298/30*AP33)</f>
        <v>3298</v>
      </c>
      <c r="AF47" s="63">
        <v>10</v>
      </c>
      <c r="AG47" s="47">
        <f>(0)</f>
        <v>0</v>
      </c>
      <c r="AH47" s="47">
        <f>(0)</f>
        <v>0</v>
      </c>
      <c r="AI47" s="47">
        <f ca="1">(AJ47/AZ91)</f>
        <v>39654.391574619433</v>
      </c>
      <c r="AJ47" s="47">
        <f>(AK19*AF47)</f>
        <v>24304.573139999997</v>
      </c>
      <c r="AK47" s="63">
        <v>30</v>
      </c>
      <c r="AL47" s="47">
        <f t="shared" si="43"/>
        <v>7135.55</v>
      </c>
      <c r="AM47" s="47">
        <f ca="1">(AL47*AZ91)</f>
        <v>4373.4499504999994</v>
      </c>
      <c r="AN47" s="63">
        <v>30</v>
      </c>
      <c r="AO47" s="47">
        <f ca="1">(AP47/AZ91)</f>
        <v>0</v>
      </c>
      <c r="AP47" s="47">
        <f t="shared" si="44"/>
        <v>0</v>
      </c>
      <c r="BD47" s="46">
        <v>45</v>
      </c>
      <c r="BE47" s="49">
        <v>22.5</v>
      </c>
      <c r="BF47" s="50">
        <v>0.47</v>
      </c>
    </row>
    <row r="48" spans="22:58" ht="39.950000000000003" hidden="1" customHeight="1" x14ac:dyDescent="0.25">
      <c r="AE48" s="47">
        <f>(3298/30*AP34)</f>
        <v>3298</v>
      </c>
      <c r="AF48" s="63">
        <v>10</v>
      </c>
      <c r="AG48" s="47">
        <f ca="1">(AI46+AI47+AI48)</f>
        <v>118963.1747238583</v>
      </c>
      <c r="AH48" s="47">
        <f>(AJ46+AJ47+AJ48)</f>
        <v>72913.719419999994</v>
      </c>
      <c r="AI48" s="47">
        <f ca="1">(AJ48/AZ92)</f>
        <v>39654.391574619433</v>
      </c>
      <c r="AJ48" s="47">
        <f>(AK20*AF48)</f>
        <v>24304.573139999997</v>
      </c>
      <c r="AK48" s="63">
        <v>30</v>
      </c>
      <c r="AL48" s="47">
        <f t="shared" si="43"/>
        <v>7135.55</v>
      </c>
      <c r="AM48" s="47">
        <f ca="1">(AL48*AZ92)</f>
        <v>4373.4499504999994</v>
      </c>
      <c r="AN48" s="63">
        <v>30</v>
      </c>
      <c r="AO48" s="47">
        <f ca="1">(AP48/AZ92)</f>
        <v>0</v>
      </c>
      <c r="AP48" s="47">
        <f t="shared" si="44"/>
        <v>0</v>
      </c>
      <c r="BD48" s="46">
        <v>46</v>
      </c>
      <c r="BE48" s="49">
        <v>23</v>
      </c>
      <c r="BF48" s="50">
        <v>0.48</v>
      </c>
    </row>
    <row r="49" spans="31:58" ht="39.950000000000003" hidden="1" customHeight="1" x14ac:dyDescent="0.25">
      <c r="AE49" s="47">
        <f>(3298/30*AP35)</f>
        <v>3298</v>
      </c>
      <c r="AF49" s="63">
        <v>10</v>
      </c>
      <c r="AG49" s="47">
        <f>(0)</f>
        <v>0</v>
      </c>
      <c r="AH49" s="47">
        <f>(0)</f>
        <v>0</v>
      </c>
      <c r="AI49" s="47">
        <f ca="1">(AJ49/AZ93)</f>
        <v>39654.391574619433</v>
      </c>
      <c r="AJ49" s="47">
        <f>(AK21*AF49)</f>
        <v>24304.573139999997</v>
      </c>
      <c r="AK49" s="63">
        <v>30</v>
      </c>
      <c r="AL49" s="47">
        <f t="shared" si="43"/>
        <v>7135.55</v>
      </c>
      <c r="AM49" s="47">
        <f ca="1">(AL49*AZ93)</f>
        <v>4373.4499504999994</v>
      </c>
      <c r="AN49" s="63">
        <v>30</v>
      </c>
      <c r="AO49" s="47">
        <f ca="1">(AP49/AZ93)</f>
        <v>0</v>
      </c>
      <c r="AP49" s="47">
        <f t="shared" si="44"/>
        <v>0</v>
      </c>
      <c r="BD49" s="46">
        <v>47</v>
      </c>
      <c r="BE49" s="49">
        <v>23.5</v>
      </c>
      <c r="BF49" s="50">
        <v>0.49</v>
      </c>
    </row>
    <row r="50" spans="31:58" ht="39.950000000000003" hidden="1" customHeight="1" x14ac:dyDescent="0.25">
      <c r="AE50" s="47">
        <f>(3298/30*AP36)</f>
        <v>3298</v>
      </c>
      <c r="AF50" s="63">
        <v>10</v>
      </c>
      <c r="AG50" s="47">
        <f>(0)</f>
        <v>0</v>
      </c>
      <c r="AH50" s="47">
        <f>(0)</f>
        <v>0</v>
      </c>
      <c r="AI50" s="47">
        <f ca="1">(AJ50/AZ94)</f>
        <v>39654.391574619433</v>
      </c>
      <c r="AJ50" s="47">
        <f>(AK22*AF50)</f>
        <v>24304.573139999997</v>
      </c>
      <c r="AK50" s="63">
        <v>30</v>
      </c>
      <c r="AL50" s="47">
        <f t="shared" si="43"/>
        <v>7135.55</v>
      </c>
      <c r="AM50" s="47">
        <f ca="1">(AL50*AZ94)</f>
        <v>4373.4499504999994</v>
      </c>
      <c r="AN50" s="63">
        <v>30</v>
      </c>
      <c r="AO50" s="47">
        <f ca="1">(AP50/AZ94)</f>
        <v>0</v>
      </c>
      <c r="AP50" s="47">
        <f t="shared" si="44"/>
        <v>0</v>
      </c>
      <c r="BD50" s="46">
        <v>48</v>
      </c>
      <c r="BE50" s="49">
        <v>24</v>
      </c>
      <c r="BF50" s="50">
        <v>0.5</v>
      </c>
    </row>
    <row r="51" spans="31:58" ht="39.950000000000003" hidden="1" customHeight="1" x14ac:dyDescent="0.25">
      <c r="AE51" s="47">
        <f>(3298/30*AP37)</f>
        <v>3298</v>
      </c>
      <c r="AF51" s="63">
        <v>10</v>
      </c>
      <c r="AG51" s="47">
        <f ca="1">(AI49+AI50+AI51)</f>
        <v>124987.72899242945</v>
      </c>
      <c r="AH51" s="47">
        <f>(AJ49+AJ50+AJ51)</f>
        <v>76559.405390999993</v>
      </c>
      <c r="AI51" s="47">
        <f ca="1">(AJ51/AZ95)</f>
        <v>45678.945843190588</v>
      </c>
      <c r="AJ51" s="47">
        <f>(AK23*AF51)</f>
        <v>27950.259110999996</v>
      </c>
      <c r="AK51" s="63">
        <v>30</v>
      </c>
      <c r="AL51" s="47">
        <f t="shared" si="43"/>
        <v>7135.55</v>
      </c>
      <c r="AM51" s="47">
        <f ca="1">(AL51*AZ95)</f>
        <v>4366.1355952509757</v>
      </c>
      <c r="AN51" s="63">
        <v>30</v>
      </c>
      <c r="AO51" s="47">
        <f ca="1">(AP51/AZ95)</f>
        <v>0</v>
      </c>
      <c r="AP51" s="47">
        <f t="shared" si="44"/>
        <v>0</v>
      </c>
      <c r="BD51" s="46">
        <v>49</v>
      </c>
      <c r="BE51" s="49">
        <v>24.5</v>
      </c>
      <c r="BF51" s="68" t="s">
        <v>0</v>
      </c>
    </row>
    <row r="52" spans="31:58" ht="39.950000000000003" hidden="1" customHeight="1" x14ac:dyDescent="0.25">
      <c r="AE52" s="47">
        <f>(3298/30*AP38)</f>
        <v>3298</v>
      </c>
      <c r="AF52" s="63">
        <v>10</v>
      </c>
      <c r="AG52" s="47">
        <f>(0)</f>
        <v>0</v>
      </c>
      <c r="AH52" s="47">
        <f>(0)</f>
        <v>0</v>
      </c>
      <c r="AI52" s="47">
        <f ca="1">(AJ52/AZ96)</f>
        <v>51293.3495641482</v>
      </c>
      <c r="AJ52" s="47">
        <f>(AK24*AF52)</f>
        <v>27950.259110999996</v>
      </c>
      <c r="AK52" s="63">
        <v>30</v>
      </c>
      <c r="AL52" s="47">
        <f t="shared" si="43"/>
        <v>7135.55</v>
      </c>
      <c r="AM52" s="47">
        <f ca="1">(AL52*AZ96)</f>
        <v>3888.2325505000003</v>
      </c>
      <c r="AN52" s="63">
        <v>30</v>
      </c>
      <c r="AO52" s="47">
        <f ca="1">(AP52/AZ96)</f>
        <v>0</v>
      </c>
      <c r="AP52" s="47">
        <f t="shared" si="44"/>
        <v>0</v>
      </c>
      <c r="BD52" s="46">
        <v>50</v>
      </c>
      <c r="BE52" s="49">
        <v>25</v>
      </c>
      <c r="BF52" s="68" t="s">
        <v>0</v>
      </c>
    </row>
    <row r="53" spans="31:58" ht="39.950000000000003" hidden="1" customHeight="1" x14ac:dyDescent="0.25">
      <c r="AE53" s="47">
        <f>(3298/30*AP39)</f>
        <v>3298</v>
      </c>
      <c r="AF53" s="63">
        <v>10</v>
      </c>
      <c r="AG53" s="47">
        <f>(0)</f>
        <v>0</v>
      </c>
      <c r="AH53" s="47">
        <f>(0)</f>
        <v>0</v>
      </c>
      <c r="AI53" s="47">
        <f ca="1">(AJ53/AZ97)</f>
        <v>51293.3495641482</v>
      </c>
      <c r="AJ53" s="47">
        <f>(AK25*AF53)</f>
        <v>27950.259110999996</v>
      </c>
      <c r="AK53" s="63">
        <v>30</v>
      </c>
      <c r="AL53" s="47">
        <f t="shared" si="43"/>
        <v>7135.55</v>
      </c>
      <c r="AM53" s="47">
        <f ca="1">(AL53*AZ97)</f>
        <v>3888.2325505000003</v>
      </c>
      <c r="AN53" s="63">
        <v>30</v>
      </c>
      <c r="AO53" s="47">
        <f ca="1">(AP53/AZ97)</f>
        <v>0</v>
      </c>
      <c r="AP53" s="47">
        <f t="shared" si="44"/>
        <v>0</v>
      </c>
      <c r="BD53" s="46">
        <v>51</v>
      </c>
      <c r="BE53" s="49">
        <v>25.5</v>
      </c>
      <c r="BF53" s="68" t="s">
        <v>0</v>
      </c>
    </row>
    <row r="54" spans="31:58" ht="39.950000000000003" hidden="1" customHeight="1" x14ac:dyDescent="0.25">
      <c r="AE54" s="47">
        <f>(3298/30*AP40)</f>
        <v>3298</v>
      </c>
      <c r="AF54" s="63">
        <v>10</v>
      </c>
      <c r="AG54" s="47">
        <f ca="1">(AI52+AI53+AI54)</f>
        <v>153880.0486924446</v>
      </c>
      <c r="AH54" s="47">
        <f>(AJ52+AJ53+AJ54)</f>
        <v>83850.777332999991</v>
      </c>
      <c r="AI54" s="47">
        <f ca="1">(AJ54/AZ98)</f>
        <v>51293.3495641482</v>
      </c>
      <c r="AJ54" s="47">
        <f>(AK26*AF54)</f>
        <v>27950.259110999996</v>
      </c>
      <c r="AK54" s="63">
        <v>30</v>
      </c>
      <c r="AL54" s="47">
        <f t="shared" si="43"/>
        <v>7135.55</v>
      </c>
      <c r="AM54" s="47">
        <f ca="1">(AL54*AZ98)</f>
        <v>3888.2325505000003</v>
      </c>
      <c r="AN54" s="63">
        <v>30</v>
      </c>
      <c r="AO54" s="47">
        <f ca="1">(AP54/AZ98)</f>
        <v>0</v>
      </c>
      <c r="AP54" s="47">
        <f t="shared" si="44"/>
        <v>0</v>
      </c>
      <c r="BD54" s="46">
        <v>52</v>
      </c>
      <c r="BE54" s="49">
        <v>26</v>
      </c>
      <c r="BF54" s="68" t="s">
        <v>0</v>
      </c>
    </row>
    <row r="55" spans="31:58" ht="39.950000000000003" hidden="1" customHeight="1" x14ac:dyDescent="0.25">
      <c r="AE55" s="47">
        <f>(AE43+AE44+AE45+AE46+AE47+AE48+AE49+AE50+AE51+AE52+AE53+AE54)</f>
        <v>38751</v>
      </c>
      <c r="AF55" s="62" t="s">
        <v>0</v>
      </c>
      <c r="AG55" s="47">
        <f t="shared" ref="AG55:AH55" ca="1" si="45">(AG43+AG44+AG45+AG46+AG47+AG48+AG49+AG50+AG51+AG52+AG53+AG54)</f>
        <v>491873.42776188627</v>
      </c>
      <c r="AH55" s="47">
        <f t="shared" si="45"/>
        <v>298721.67528399994</v>
      </c>
      <c r="AI55" s="47">
        <f t="shared" ref="AI55:AJ55" ca="1" si="46">(AI43+AI44+AI45+AI46+AI47+AI48+AI49+AI50+AI51+AI52+AI53+AI54)</f>
        <v>491873.42776188639</v>
      </c>
      <c r="AJ55" s="47">
        <f t="shared" si="46"/>
        <v>298721.67528399994</v>
      </c>
      <c r="AK55" s="63">
        <f>(AK43+AK44+AK45+AK46+AK47+AK48+AK49+AK50+AK51+AK52+AK53+AK54)</f>
        <v>360</v>
      </c>
      <c r="AL55" s="47">
        <f t="shared" ref="AL55:AM55" si="47">(AL43+AL44+AL45+AL46+AL47+AL48+AL49+AL50+AL51+AL52+AL53+AL54)</f>
        <v>83627.500000000015</v>
      </c>
      <c r="AM55" s="47">
        <f t="shared" ca="1" si="47"/>
        <v>51411.191942165511</v>
      </c>
      <c r="AN55" s="63">
        <f>(AN43+AN44+AN45+AN46+AN47+AN48+AN49+AN50+AN51+AN52+AN53+AN54)</f>
        <v>360</v>
      </c>
      <c r="AO55" s="47">
        <f t="shared" ref="AO55:AP55" ca="1" si="48">(AO43+AO44+AO45+AO46+AO47+AO48+AO49+AO50+AO51+AO52+AO53+AO54)</f>
        <v>0</v>
      </c>
      <c r="AP55" s="47">
        <f t="shared" si="48"/>
        <v>0</v>
      </c>
      <c r="BD55" s="46">
        <v>53</v>
      </c>
      <c r="BE55" s="49">
        <v>26.5</v>
      </c>
      <c r="BF55" s="68" t="s">
        <v>0</v>
      </c>
    </row>
    <row r="56" spans="31:58" ht="39.950000000000003" hidden="1" customHeight="1" x14ac:dyDescent="0.25">
      <c r="AE56" s="47">
        <f>(AE55/12)</f>
        <v>3229.25</v>
      </c>
      <c r="AF56" s="62" t="s">
        <v>0</v>
      </c>
      <c r="AG56" s="47">
        <f t="shared" ref="AG56:AH56" ca="1" si="49">(AG55/12)</f>
        <v>40989.452313490525</v>
      </c>
      <c r="AH56" s="47">
        <f t="shared" si="49"/>
        <v>24893.472940333329</v>
      </c>
      <c r="AI56" s="47">
        <f t="shared" ref="AI56:AJ56" ca="1" si="50">(AI55/12)</f>
        <v>40989.452313490532</v>
      </c>
      <c r="AJ56" s="47">
        <f t="shared" si="50"/>
        <v>24893.472940333329</v>
      </c>
      <c r="AK56" s="62" t="s">
        <v>0</v>
      </c>
      <c r="AL56" s="47">
        <f t="shared" ref="AL56:AM56" si="51">(AL55/12)</f>
        <v>6968.9583333333348</v>
      </c>
      <c r="AM56" s="47">
        <f t="shared" ca="1" si="51"/>
        <v>4284.265995180459</v>
      </c>
      <c r="AN56" s="62" t="s">
        <v>0</v>
      </c>
      <c r="AO56" s="47">
        <f t="shared" ref="AO56:AP56" ca="1" si="52">(AO55/12)</f>
        <v>0</v>
      </c>
      <c r="AP56" s="47">
        <f t="shared" si="52"/>
        <v>0</v>
      </c>
      <c r="BD56" s="46">
        <v>54</v>
      </c>
      <c r="BE56" s="49">
        <v>27</v>
      </c>
      <c r="BF56" s="68" t="s">
        <v>0</v>
      </c>
    </row>
    <row r="57" spans="31:58" ht="39.950000000000003" hidden="1" customHeight="1" x14ac:dyDescent="0.25">
      <c r="AE57" s="65">
        <f ca="1">COUNTIF(H15,"Yok")*(0)
+COUNTIF(H15,"Askerlik Yardımı")*($AS$30/AZ87)
+COUNTIF(H15,"Cenaze Yardımı (Anne-Baba)")*($AS$31+$AS$31*0.00759)
+COUNTIF(H15,"Cenaze Yardımı (Eş-Çocuk)")*($AS$32+$AS$32*0.00759)
+COUNTIF(H15,"Cenaze Yardımı (İşçi-İş Kazası Sonucu)")*($AS$33+$AS$33*0.00759)
+COUNTIF(H15,"Cenaze Yardımı (İşçi-Tabii Sebepler Sonucu)")*($AS$34+$AS$34*0.00759)
+COUNTIF(H15,"Doğal Afet Yardımı")*($AS$35+$AS$35*0.00759)
+COUNTIF(H15,"Eğitim Yardımı (Çocuk-İlköğretim)")*($AS$36/AZ87)
+COUNTIF(H15,"Eğitim Yardımı (Çocuk-Ortaöğretim)")*($AS$37/AZ87)
+COUNTIF(H15,"Eğitim Yardımı (Çocuk-Lise)")*($AS$38/AZ87)
+COUNTIF(H15,"Eğitim Yardımı (Çocuk-Yükseköğretim)")*($AS$39/AZ87)
+COUNTIF(H15,"Eğitim Yardımı (İşçi-Lise)")*($AS$40/AZ87)
+COUNTIF(H15,"Eğitim Yardımı (İşçi-Yükseköğretim)")*($AS$41/AZ87)
+COUNTIF(H15,"Evlilik Yardımı")*($AS$42+$AS$42*0.00759)
+COUNTIF(H15,"Gıda Yardımı")*($AS$43/AZ87)
+COUNTIF(H15,"İş Kazası veya Meslek Hastalığı Tazminatı")*($AS$44+$AS$44*0.00759)
+COUNTIF(I15,"Yok")*(0)
+COUNTIF(I15,"Askerlik Yardımı")*($AS$30/AZ87)
+COUNTIF(I15,"Cenaze Yardımı (Anne-Baba)")*($AS$31+$AS$31*0.00759)
+COUNTIF(I15,"Cenaze Yardımı (Eş-Çocuk)")*($AS$32+$AS$32*0.00759)
+COUNTIF(I15,"Cenaze Yardımı (İşçi-İş Kazası Sonucu)")*($AS$33+$AS$33*0.00759)
+COUNTIF(I15,"Cenaze Yardımı (İşçi-Tabii Sebepler Sonucu)")*($AS$34+$AS$34*0.00759)
+COUNTIF(I15,"Doğal Afet Yardımı")*($AS$35+$AS$35*0.00759)
+COUNTIF(I15,"Eğitim Yardımı (Çocuk-İlköğretim)")*($AS$36/AZ87)
+COUNTIF(I15,"Eğitim Yardımı (Çocuk-Ortaöğretim)")*($AS$37/AZ87)
+COUNTIF(I15,"Eğitim Yardımı (Çocuk-Lise)")*($AS$38/AZ87)
+COUNTIF(I15,"Eğitim Yardımı (Çocuk-Yükseköğretim)")*($AS$39/AZ87)
+COUNTIF(I15,"Eğitim Yardımı (İşçi-Lise)")*($AS$40/AZ87)
+COUNTIF(I15,"Eğitim Yardımı (İşçi-Yükseköğretim)")*($AS$41/AZ87)
+COUNTIF(I15,"Evlilik Yardımı")*($AS$42+$AS$42*0.00759)
+COUNTIF(I15,"Gıda Yardımı")*($AS$43/AZ87)
+COUNTIF(I15,"İş Kazası veya Meslek Hastalığı Tazminatı")*($AS$44+$AS$44*0.00759)
+COUNTIF(J15,"Yok")*(0)
+COUNTIF(J15,"Askerlik Yardımı")*($AS$30/AZ87)
+COUNTIF(J15,"Cenaze Yardımı (Anne-Baba)")*($AS$31+$AS$31*0.00759)
+COUNTIF(J15,"Cenaze Yardımı (Eş-Çocuk)")*($AS$32+$AS$32*0.00759)
+COUNTIF(J15,"Cenaze Yardımı (İşçi-İş Kazası Sonucu)")*($AS$33+$AS$33*0.00759)
+COUNTIF(J15,"Cenaze Yardımı (İşçi-Tabii Sebepler Sonucu)")*($AS$34+$AS$34*0.00759)
+COUNTIF(J15,"Doğal Afet Yardımı")*($AS$35+$AS$35*0.00759)
+COUNTIF(J15,"Eğitim Yardımı (Çocuk-İlköğretim)")*($AS$36/AZ87)
+COUNTIF(J15,"Eğitim Yardımı (Çocuk-Ortaöğretim)")*($AS$37/AZ87)
+COUNTIF(J15,"Eğitim Yardımı (Çocuk-Lise)")*($AS$38/AZ87)
+COUNTIF(J15,"Eğitim Yardımı (Çocuk-Yükseköğretim)")*($AS$39/AZ87)
+COUNTIF(J15,"Eğitim Yardımı (İşçi-Lise)")*($AS$40/AZ87)
+COUNTIF(J15,"Eğitim Yardımı (İşçi-Yükseköğretim)")*($AS$41/AZ87)
+COUNTIF(J15,"Evlilik Yardımı")*($AS$42+$AS$42*0.00759)
+COUNTIF(J15,"Gıda Yardımı")*($AS$43/AZ87)
+COUNTIF(J15,"İş Kazası veya Meslek Hastalığı Tazminatı")*($AS$44+$AS$44*0.00759)</f>
        <v>0</v>
      </c>
      <c r="AF57" s="65">
        <f>COUNTIF(H15,"Yok")*(0)
+COUNTIF(H15,"Askerlik Yardımı")*(0)
+COUNTIF(H15,"Cenaze Yardımı (Anne-Baba)")*($AS$31+$AS$31*0.00759)
+COUNTIF(H15,"Cenaze Yardımı (Eş-Çocuk)")*($AS$32+$AS$32*0.00759)
+COUNTIF(H15,"Cenaze Yardımı (İşçi-İş Kazası Sonucu)")*($AS$33+$AS$33*0.00759)
+COUNTIF(H15,"Cenaze Yardımı (İşçi-Tabii Sebepler Sonucu)")*($AS$34+$AS$34*0.00759)
+COUNTIF(H15,"Doğal Afet Yardımı")*($AS$35+$AS$35*0.00759)
+COUNTIF(H15,"Eğitim Yardımı (Çocuk-İlköğretim)")*(0)
+COUNTIF(H15,"Eğitim Yardımı (Çocuk-Ortaöğretim)")*(0)
+COUNTIF(H15,"Eğitim Yardımı (Çocuk-Lise)")*(0)
+COUNTIF(H15,"Eğitim Yardımı (Çocuk-Yükseköğretim)")*(0)
+COUNTIF(H15,"Eğitim Yardımı (İşçi-Lise)")*(0)
+COUNTIF(H15,"Eğitim Yardımı (İşçi-Yükseköğretim)")*(0)
+COUNTIF(H15,"Evlilik Yardımı")*($AS$42+$AS$42*0.00759)
+COUNTIF(H15,"Gıda Yardımı")*(0)
+COUNTIF(H15,"İş Kazası veya Meslek Hastalığı Tazminatı")*($AS$44+$AS$44*0.00759)
+COUNTIF(I15,"Yok")*(0)
+COUNTIF(I15,"Askerlik Yardımı")*(0)
+COUNTIF(I15,"Cenaze Yardımı (Anne-Baba)")*($AS$31+$AS$31*0.00759)
+COUNTIF(I15,"Cenaze Yardımı (Eş-Çocuk)")*($AS$32+$AS$32*0.00759)
+COUNTIF(I15,"Cenaze Yardımı (İşçi-İş Kazası Sonucu)")*($AS$33+$AS$33*0.00759)
+COUNTIF(I15,"Cenaze Yardımı (İşçi-Tabii Sebepler Sonucu)")*($AS$34+$AS$34*0.00759)
+COUNTIF(I15,"Doğal Afet Yardımı")*($AS$35+$AS$35*0.00759)
+COUNTIF(I15,"Eğitim Yardımı (Çocuk-İlköğretim)")*(0)
+COUNTIF(I15,"Eğitim Yardımı (Çocuk-Ortaöğretim)")*(0)
+COUNTIF(I15,"Eğitim Yardımı (Çocuk-Lise)")*(0)
+COUNTIF(I15,"Eğitim Yardımı (Çocuk-Yükseköğretim)")*(0)
+COUNTIF(I15,"Eğitim Yardımı (İşçi-Lise)")*(0)
+COUNTIF(I15,"Eğitim Yardımı (İşçi-Yükseköğretim)")*(0)
+COUNTIF(I15,"Evlilik Yardımı")*($AS$42+$AS$42*0.00759)
+COUNTIF(I15,"Gıda Yardımı")*(0)
+COUNTIF(I15,"İş Kazası veya Meslek Hastalığı Tazminatı")*($AS$44+$AS$44*0.00759)
+COUNTIF(J15,"Yok")*(0)
+COUNTIF(J15,"Askerlik Yardımı")*(0)
+COUNTIF(J15,"Cenaze Yardımı (Anne-Baba)")*($AS$31+$AS$31*0.00759)
+COUNTIF(J15,"Cenaze Yardımı (Eş-Çocuk)")*($AS$32+$AS$32*0.00759)
+COUNTIF(J15,"Cenaze Yardımı (İşçi-İş Kazası Sonucu)")*($AS$33+$AS$33*0.00759)
+COUNTIF(J15,"Cenaze Yardımı (İşçi-Tabii Sebepler Sonucu)")*($AS$34+$AS$34*0.00759)
+COUNTIF(J15,"Doğal Afet Yardımı")*($AS$35+$AS$35*0.00759)
+COUNTIF(J15,"Eğitim Yardımı (Çocuk-İlköğretim)")*(0)
+COUNTIF(J15,"Eğitim Yardımı (Çocuk-Ortaöğretim)")*(0)
+COUNTIF(J15,"Eğitim Yardımı (Çocuk-Lise)")*(0)
+COUNTIF(J15,"Eğitim Yardımı (Çocuk-Yükseköğretim)")*(0)
+COUNTIF(J15,"Eğitim Yardımı (İşçi-Lise)")*(0)
+COUNTIF(J15,"Eğitim Yardımı (İşçi-Yükseköğretim)")*(0)
+COUNTIF(J15,"Evlilik Yardımı")*($AS$42+$AS$42*0.00759)
+COUNTIF(J15,"Gıda Yardımı")*(0)
+COUNTIF(J15,"İş Kazası veya Meslek Hastalığı Tazminatı")*($AS$44+$AS$44*0.00759)</f>
        <v>0</v>
      </c>
      <c r="AG57" s="65">
        <f>COUNTIF(H15,"Yok")*(0)
+COUNTIF(H15,"Askerlik Yardımı")*($AS$30)
+COUNTIF(H15,"Cenaze Yardımı (Anne-Baba)")*($AS$31)
+COUNTIF(H15,"Cenaze Yardımı (Eş-Çocuk)")*($AS$32)
+COUNTIF(H15,"Cenaze Yardımı (İşçi-İş Kazası Sonucu)")*($AS$33)
+COUNTIF(H15,"Cenaze Yardımı (İşçi-Tabii Sebepler Sonucu)")*($AS$34)
+COUNTIF(H15,"Doğal Afet Yardımı")*($AS$35)
+COUNTIF(H15,"Eğitim Yardımı (Çocuk-İlköğretim)")*($AS$36)
+COUNTIF(H15,"Eğitim Yardımı (Çocuk-Ortaöğretim)")*($AS$37)
+COUNTIF(H15,"Eğitim Yardımı (Çocuk-Lise)")*($AS$38)
+COUNTIF(H15,"Eğitim Yardımı (Çocuk-Yükseköğretim)")*($AS$39)
+COUNTIF(H15,"Eğitim Yardımı (İşçi-Lise)")*($AS$40)
+COUNTIF(H15,"Eğitim Yardımı (İşçi-Yükseköğretim)")*($AS$41)
+COUNTIF(H15,"Evlilik Yardımı")*($AS$42)
+COUNTIF(H15,"Gıda Yardımı")*($AS$43)
+COUNTIF(H15,"İş Kazası veya Meslek Hastalığı Tazminatı")*($AS$44)
+COUNTIF(I15,"Yok")*(0)
+COUNTIF(I15,"Askerlik Yardımı")*($AS$30)
+COUNTIF(I15,"Cenaze Yardımı (Anne-Baba)")*($AS$31)
+COUNTIF(I15,"Cenaze Yardımı (Eş-Çocuk)")*($AS$32)
+COUNTIF(I15,"Cenaze Yardımı (İşçi-İş Kazası Sonucu)")*($AS$33)
+COUNTIF(I15,"Cenaze Yardımı (İşçi-Tabii Sebepler Sonucu)")*($AS$34)
+COUNTIF(I15,"Doğal Afet Yardımı")*($AS$35)
+COUNTIF(I15,"Eğitim Yardımı (Çocuk-İlköğretim)")*($AS$36)
+COUNTIF(I15,"Eğitim Yardımı (Çocuk-Ortaöğretim)")*($AS$37)
+COUNTIF(I15,"Eğitim Yardımı (Çocuk-Lise)")*($AS$38)
+COUNTIF(I15,"Eğitim Yardımı (Çocuk-Yükseköğretim)")*($AS$39)
+COUNTIF(I15,"Eğitim Yardımı (İşçi-Lise)")*($AS$40)
+COUNTIF(I15,"Eğitim Yardımı (İşçi-Yükseköğretim)")*($AS$41)
+COUNTIF(I15,"Evlilik Yardımı")*($AS$42)
+COUNTIF(I15,"Gıda Yardımı")*($AS$43)
+COUNTIF(I15,"İş Kazası veya Meslek Hastalığı Tazminatı")*($AS$44)
+COUNTIF(J15,"Yok")*(0)
+COUNTIF(J15,"Askerlik Yardımı")*($AS$30)
+COUNTIF(J15,"Cenaze Yardımı (Anne-Baba)")*($AS$31)
+COUNTIF(J15,"Cenaze Yardımı (Eş-Çocuk)")*($AS$32)
+COUNTIF(J15,"Cenaze Yardımı (İşçi-İş Kazası Sonucu)")*($AS$33)
+COUNTIF(J15,"Cenaze Yardımı (İşçi-Tabii Sebepler Sonucu)")*($AS$34)
+COUNTIF(J15,"Doğal Afet Yardımı")*($AS$35)
+COUNTIF(J15,"Eğitim Yardımı (Çocuk-İlköğretim)")*($AS$36)
+COUNTIF(J15,"Eğitim Yardımı (Çocuk-Ortaöğretim)")*($AS$37)
+COUNTIF(J15,"Eğitim Yardımı (Çocuk-Lise)")*($AS$38)
+COUNTIF(J15,"Eğitim Yardımı (Çocuk-Yükseköğretim)")*($AS$39)
+COUNTIF(J15,"Eğitim Yardımı (İşçi-Lise)")*($AS$40)
+COUNTIF(J15,"Eğitim Yardımı (İşçi-Yükseköğretim)")*($AS$41)
+COUNTIF(J15,"Evlilik Yardımı")*($AS$42)
+COUNTIF(J15,"Gıda Yardımı")*($AS$43)
+COUNTIF(J15,"İş Kazası veya Meslek Hastalığı Tazminatı")*($AS$44)</f>
        <v>0</v>
      </c>
      <c r="AH57" s="69" t="s">
        <v>9</v>
      </c>
      <c r="AI57" s="47">
        <f ca="1">COUNTIF(AH57,"Var")*(AL15*0.9*-1)</f>
        <v>-2405.4096774193549</v>
      </c>
      <c r="AJ57" s="47">
        <f ca="1">(AI57*-1)</f>
        <v>2405.4096774193549</v>
      </c>
      <c r="AK57" s="47">
        <f ca="1">(AF87)</f>
        <v>132377.63</v>
      </c>
      <c r="AL57" s="47">
        <f ca="1">(AK57*0.205)</f>
        <v>27137.414150000001</v>
      </c>
      <c r="AM57" s="47">
        <f ca="1">(AK57*0.01)</f>
        <v>1323.7763</v>
      </c>
      <c r="AN57" s="47">
        <f ca="1">(AK57*0.05*-1)</f>
        <v>-6618.8815000000004</v>
      </c>
      <c r="AO57" s="47">
        <f ca="1">(AK57+AL57+AM57+AN57)</f>
        <v>154219.93895000001</v>
      </c>
      <c r="BD57" s="46">
        <v>55</v>
      </c>
      <c r="BE57" s="49">
        <v>27.5</v>
      </c>
      <c r="BF57" s="68" t="s">
        <v>0</v>
      </c>
    </row>
    <row r="58" spans="31:58" ht="39.950000000000003" hidden="1" customHeight="1" x14ac:dyDescent="0.25">
      <c r="AE58" s="65">
        <f ca="1">COUNTIF(H16,"Yok")*(0)
+COUNTIF(H16,"Askerlik Yardımı")*($AS$30/AZ88)
+COUNTIF(H16,"Cenaze Yardımı (Anne-Baba)")*($AS$31+$AS$31*0.00759)
+COUNTIF(H16,"Cenaze Yardımı (Eş-Çocuk)")*($AS$32+$AS$32*0.00759)
+COUNTIF(H16,"Cenaze Yardımı (İşçi-İş Kazası Sonucu)")*($AS$33+$AS$33*0.00759)
+COUNTIF(H16,"Cenaze Yardımı (İşçi-Tabii Sebepler Sonucu)")*($AS$34+$AS$34*0.00759)
+COUNTIF(H16,"Doğal Afet Yardımı")*($AS$35+$AS$35*0.00759)
+COUNTIF(H16,"Eğitim Yardımı (Çocuk-İlköğretim)")*($AS$36/AZ88)
+COUNTIF(H16,"Eğitim Yardımı (Çocuk-Ortaöğretim)")*($AS$37/AZ88)
+COUNTIF(H16,"Eğitim Yardımı (Çocuk-Lise)")*($AS$38/AZ88)
+COUNTIF(H16,"Eğitim Yardımı (Çocuk-Yükseköğretim)")*($AS$39/AZ88)
+COUNTIF(H16,"Eğitim Yardımı (İşçi-Lise)")*($AS$40/AZ88)
+COUNTIF(H16,"Eğitim Yardımı (İşçi-Yükseköğretim)")*($AS$41/AZ88)
+COUNTIF(H16,"Evlilik Yardımı")*($AS$42+$AS$42*0.00759)
+COUNTIF(H16,"Gıda Yardımı")*($AS$43/AZ88)
+COUNTIF(H16,"İş Kazası veya Meslek Hastalığı Tazminatı")*($AS$44+$AS$44*0.00759)
+COUNTIF(I16,"Yok")*(0)
+COUNTIF(I16,"Askerlik Yardımı")*($AS$30/AZ88)
+COUNTIF(I16,"Cenaze Yardımı (Anne-Baba)")*($AS$31+$AS$31*0.00759)
+COUNTIF(I16,"Cenaze Yardımı (Eş-Çocuk)")*($AS$32+$AS$32*0.00759)
+COUNTIF(I16,"Cenaze Yardımı (İşçi-İş Kazası Sonucu)")*($AS$33+$AS$33*0.00759)
+COUNTIF(I16,"Cenaze Yardımı (İşçi-Tabii Sebepler Sonucu)")*($AS$34+$AS$34*0.00759)
+COUNTIF(I16,"Doğal Afet Yardımı")*($AS$35+$AS$35*0.00759)
+COUNTIF(I16,"Eğitim Yardımı (Çocuk-İlköğretim)")*($AS$36/AZ88)
+COUNTIF(I16,"Eğitim Yardımı (Çocuk-Ortaöğretim)")*($AS$37/AZ88)
+COUNTIF(I16,"Eğitim Yardımı (Çocuk-Lise)")*($AS$38/AZ88)
+COUNTIF(I16,"Eğitim Yardımı (Çocuk-Yükseköğretim)")*($AS$39/AZ88)
+COUNTIF(I16,"Eğitim Yardımı (İşçi-Lise)")*($AS$40/AZ88)
+COUNTIF(I16,"Eğitim Yardımı (İşçi-Yükseköğretim)")*($AS$41/AZ88)
+COUNTIF(I16,"Evlilik Yardımı")*($AS$42+$AS$42*0.00759)
+COUNTIF(I16,"Gıda Yardımı")*($AS$43/AZ88)
+COUNTIF(I16,"İş Kazası veya Meslek Hastalığı Tazminatı")*($AS$44+$AS$44*0.00759)
+COUNTIF(J16,"Yok")*(0)
+COUNTIF(J16,"Askerlik Yardımı")*($AS$30/AZ88)
+COUNTIF(J16,"Cenaze Yardımı (Anne-Baba)")*($AS$31+$AS$31*0.00759)
+COUNTIF(J16,"Cenaze Yardımı (Eş-Çocuk)")*($AS$32+$AS$32*0.00759)
+COUNTIF(J16,"Cenaze Yardımı (İşçi-İş Kazası Sonucu)")*($AS$33+$AS$33*0.00759)
+COUNTIF(J16,"Cenaze Yardımı (İşçi-Tabii Sebepler Sonucu)")*($AS$34+$AS$34*0.00759)
+COUNTIF(J16,"Doğal Afet Yardımı")*($AS$35+$AS$35*0.00759)
+COUNTIF(J16,"Eğitim Yardımı (Çocuk-İlköğretim)")*($AS$36/AZ88)
+COUNTIF(J16,"Eğitim Yardımı (Çocuk-Ortaöğretim)")*($AS$37/AZ88)
+COUNTIF(J16,"Eğitim Yardımı (Çocuk-Lise)")*($AS$38/AZ88)
+COUNTIF(J16,"Eğitim Yardımı (Çocuk-Yükseköğretim)")*($AS$39/AZ88)
+COUNTIF(J16,"Eğitim Yardımı (İşçi-Lise)")*($AS$40/AZ88)
+COUNTIF(J16,"Eğitim Yardımı (İşçi-Yükseköğretim)")*($AS$41/AZ88)
+COUNTIF(J16,"Evlilik Yardımı")*($AS$42+$AS$42*0.00759)
+COUNTIF(J16,"Gıda Yardımı")*($AS$43/AZ88)
+COUNTIF(J16,"İş Kazası veya Meslek Hastalığı Tazminatı")*($AS$44+$AS$44*0.00759)</f>
        <v>0</v>
      </c>
      <c r="AF58" s="65">
        <f>COUNTIF(H16,"Yok")*(0)
+COUNTIF(H16,"Askerlik Yardımı")*(0)
+COUNTIF(H16,"Cenaze Yardımı (Anne-Baba)")*($AS$31+$AS$31*0.00759)
+COUNTIF(H16,"Cenaze Yardımı (Eş-Çocuk)")*($AS$32+$AS$32*0.00759)
+COUNTIF(H16,"Cenaze Yardımı (İşçi-İş Kazası Sonucu)")*($AS$33+$AS$33*0.00759)
+COUNTIF(H16,"Cenaze Yardımı (İşçi-Tabii Sebepler Sonucu)")*($AS$34+$AS$34*0.00759)
+COUNTIF(H16,"Doğal Afet Yardımı")*($AS$35+$AS$35*0.00759)
+COUNTIF(H16,"Eğitim Yardımı (Çocuk-İlköğretim)")*(0)
+COUNTIF(H16,"Eğitim Yardımı (Çocuk-Ortaöğretim)")*(0)
+COUNTIF(H16,"Eğitim Yardımı (Çocuk-Lise)")*(0)
+COUNTIF(H16,"Eğitim Yardımı (Çocuk-Yükseköğretim)")*(0)
+COUNTIF(H16,"Eğitim Yardımı (İşçi-Lise)")*(0)
+COUNTIF(H16,"Eğitim Yardımı (İşçi-Yükseköğretim)")*(0)
+COUNTIF(H16,"Evlilik Yardımı")*($AS$42+$AS$42*0.00759)
+COUNTIF(H16,"Gıda Yardımı")*(0)
+COUNTIF(H16,"İş Kazası veya Meslek Hastalığı Tazminatı")*($AS$44+$AS$44*0.00759)
+COUNTIF(I16,"Yok")*(0)
+COUNTIF(I16,"Askerlik Yardımı")*(0)
+COUNTIF(I16,"Cenaze Yardımı (Anne-Baba)")*($AS$31+$AS$31*0.00759)
+COUNTIF(I16,"Cenaze Yardımı (Eş-Çocuk)")*($AS$32+$AS$32*0.00759)
+COUNTIF(I16,"Cenaze Yardımı (İşçi-İş Kazası Sonucu)")*($AS$33+$AS$33*0.00759)
+COUNTIF(I16,"Cenaze Yardımı (İşçi-Tabii Sebepler Sonucu)")*($AS$34+$AS$34*0.00759)
+COUNTIF(I16,"Doğal Afet Yardımı")*($AS$35+$AS$35*0.00759)
+COUNTIF(I16,"Eğitim Yardımı (Çocuk-İlköğretim)")*(0)
+COUNTIF(I16,"Eğitim Yardımı (Çocuk-Ortaöğretim)")*(0)
+COUNTIF(I16,"Eğitim Yardımı (Çocuk-Lise)")*(0)
+COUNTIF(I16,"Eğitim Yardımı (Çocuk-Yükseköğretim)")*(0)
+COUNTIF(I16,"Eğitim Yardımı (İşçi-Lise)")*(0)
+COUNTIF(I16,"Eğitim Yardımı (İşçi-Yükseköğretim)")*(0)
+COUNTIF(I16,"Evlilik Yardımı")*($AS$42+$AS$42*0.00759)
+COUNTIF(I16,"Gıda Yardımı")*(0)
+COUNTIF(I16,"İş Kazası veya Meslek Hastalığı Tazminatı")*($AS$44+$AS$44*0.00759)
+COUNTIF(J16,"Yok")*(0)
+COUNTIF(J16,"Askerlik Yardımı")*(0)
+COUNTIF(J16,"Cenaze Yardımı (Anne-Baba)")*($AS$31+$AS$31*0.00759)
+COUNTIF(J16,"Cenaze Yardımı (Eş-Çocuk)")*($AS$32+$AS$32*0.00759)
+COUNTIF(J16,"Cenaze Yardımı (İşçi-İş Kazası Sonucu)")*($AS$33+$AS$33*0.00759)
+COUNTIF(J16,"Cenaze Yardımı (İşçi-Tabii Sebepler Sonucu)")*($AS$34+$AS$34*0.00759)
+COUNTIF(J16,"Doğal Afet Yardımı")*($AS$35+$AS$35*0.00759)
+COUNTIF(J16,"Eğitim Yardımı (Çocuk-İlköğretim)")*(0)
+COUNTIF(J16,"Eğitim Yardımı (Çocuk-Ortaöğretim)")*(0)
+COUNTIF(J16,"Eğitim Yardımı (Çocuk-Lise)")*(0)
+COUNTIF(J16,"Eğitim Yardımı (Çocuk-Yükseköğretim)")*(0)
+COUNTIF(J16,"Eğitim Yardımı (İşçi-Lise)")*(0)
+COUNTIF(J16,"Eğitim Yardımı (İşçi-Yükseköğretim)")*(0)
+COUNTIF(J16,"Evlilik Yardımı")*($AS$42+$AS$42*0.00759)
+COUNTIF(J16,"Gıda Yardımı")*(0)
+COUNTIF(J16,"İş Kazası veya Meslek Hastalığı Tazminatı")*($AS$44+$AS$44*0.00759)</f>
        <v>0</v>
      </c>
      <c r="AG58" s="65">
        <f>COUNTIF(H16,"Yok")*(0)
+COUNTIF(H16,"Askerlik Yardımı")*($AS$30)
+COUNTIF(H16,"Cenaze Yardımı (Anne-Baba)")*($AS$31)
+COUNTIF(H16,"Cenaze Yardımı (Eş-Çocuk)")*($AS$32)
+COUNTIF(H16,"Cenaze Yardımı (İşçi-İş Kazası Sonucu)")*($AS$33)
+COUNTIF(H16,"Cenaze Yardımı (İşçi-Tabii Sebepler Sonucu)")*($AS$34)
+COUNTIF(H16,"Doğal Afet Yardımı")*($AS$35)
+COUNTIF(H16,"Eğitim Yardımı (Çocuk-İlköğretim)")*($AS$36)
+COUNTIF(H16,"Eğitim Yardımı (Çocuk-Ortaöğretim)")*($AS$37)
+COUNTIF(H16,"Eğitim Yardımı (Çocuk-Lise)")*($AS$38)
+COUNTIF(H16,"Eğitim Yardımı (Çocuk-Yükseköğretim)")*($AS$39)
+COUNTIF(H16,"Eğitim Yardımı (İşçi-Lise)")*($AS$40)
+COUNTIF(H16,"Eğitim Yardımı (İşçi-Yükseköğretim)")*($AS$41)
+COUNTIF(H16,"Evlilik Yardımı")*($AS$42)
+COUNTIF(H16,"Gıda Yardımı")*($AS$43)
+COUNTIF(H16,"İş Kazası veya Meslek Hastalığı Tazminatı")*($AS$44)
+COUNTIF(I16,"Yok")*(0)
+COUNTIF(I16,"Askerlik Yardımı")*($AS$30)
+COUNTIF(I16,"Cenaze Yardımı (Anne-Baba)")*($AS$31)
+COUNTIF(I16,"Cenaze Yardımı (Eş-Çocuk)")*($AS$32)
+COUNTIF(I16,"Cenaze Yardımı (İşçi-İş Kazası Sonucu)")*($AS$33)
+COUNTIF(I16,"Cenaze Yardımı (İşçi-Tabii Sebepler Sonucu)")*($AS$34)
+COUNTIF(I16,"Doğal Afet Yardımı")*($AS$35)
+COUNTIF(I16,"Eğitim Yardımı (Çocuk-İlköğretim)")*($AS$36)
+COUNTIF(I16,"Eğitim Yardımı (Çocuk-Ortaöğretim)")*($AS$37)
+COUNTIF(I16,"Eğitim Yardımı (Çocuk-Lise)")*($AS$38)
+COUNTIF(I16,"Eğitim Yardımı (Çocuk-Yükseköğretim)")*($AS$39)
+COUNTIF(I16,"Eğitim Yardımı (İşçi-Lise)")*($AS$40)
+COUNTIF(I16,"Eğitim Yardımı (İşçi-Yükseköğretim)")*($AS$41)
+COUNTIF(I16,"Evlilik Yardımı")*($AS$42)
+COUNTIF(I16,"Gıda Yardımı")*($AS$43)
+COUNTIF(I16,"İş Kazası veya Meslek Hastalığı Tazminatı")*($AS$44)
+COUNTIF(J16,"Yok")*(0)
+COUNTIF(J16,"Askerlik Yardımı")*($AS$30)
+COUNTIF(J16,"Cenaze Yardımı (Anne-Baba)")*($AS$31)
+COUNTIF(J16,"Cenaze Yardımı (Eş-Çocuk)")*($AS$32)
+COUNTIF(J16,"Cenaze Yardımı (İşçi-İş Kazası Sonucu)")*($AS$33)
+COUNTIF(J16,"Cenaze Yardımı (İşçi-Tabii Sebepler Sonucu)")*($AS$34)
+COUNTIF(J16,"Doğal Afet Yardımı")*($AS$35)
+COUNTIF(J16,"Eğitim Yardımı (Çocuk-İlköğretim)")*($AS$36)
+COUNTIF(J16,"Eğitim Yardımı (Çocuk-Ortaöğretim)")*($AS$37)
+COUNTIF(J16,"Eğitim Yardımı (Çocuk-Lise)")*($AS$38)
+COUNTIF(J16,"Eğitim Yardımı (Çocuk-Yükseköğretim)")*($AS$39)
+COUNTIF(J16,"Eğitim Yardımı (İşçi-Lise)")*($AS$40)
+COUNTIF(J16,"Eğitim Yardımı (İşçi-Yükseköğretim)")*($AS$41)
+COUNTIF(J16,"Evlilik Yardımı")*($AS$42)
+COUNTIF(J16,"Gıda Yardımı")*($AS$43)
+COUNTIF(J16,"İş Kazası veya Meslek Hastalığı Tazminatı")*($AS$44)</f>
        <v>0</v>
      </c>
      <c r="AH58" s="69" t="s">
        <v>9</v>
      </c>
      <c r="AI58" s="47">
        <f ca="1">COUNTIF(AH58,"Var")*(AL16*0.9*-1)</f>
        <v>-2399.9110714285716</v>
      </c>
      <c r="AJ58" s="47">
        <f t="shared" ref="AJ58:AJ68" ca="1" si="53">(AI58*-1)</f>
        <v>2399.9110714285716</v>
      </c>
      <c r="AK58" s="47">
        <f ca="1">(AF88)</f>
        <v>124779.18</v>
      </c>
      <c r="AL58" s="47">
        <f t="shared" ref="AL58:AL68" ca="1" si="54">(AK58*0.205)</f>
        <v>25579.731899999999</v>
      </c>
      <c r="AM58" s="47">
        <f t="shared" ref="AM58:AM68" ca="1" si="55">(AK58*0.01)</f>
        <v>1247.7918</v>
      </c>
      <c r="AN58" s="47">
        <f t="shared" ref="AN58:AN68" ca="1" si="56">(AK58*0.05*-1)</f>
        <v>-6238.9589999999998</v>
      </c>
      <c r="AO58" s="47">
        <f t="shared" ref="AO58:AO68" ca="1" si="57">(AK58+AL58+AM58+AN58)</f>
        <v>145367.74470000001</v>
      </c>
      <c r="BD58" s="46">
        <v>56</v>
      </c>
      <c r="BE58" s="49">
        <v>28</v>
      </c>
      <c r="BF58" s="68" t="s">
        <v>0</v>
      </c>
    </row>
    <row r="59" spans="31:58" ht="39.950000000000003" hidden="1" customHeight="1" x14ac:dyDescent="0.25">
      <c r="AE59" s="65">
        <f ca="1">COUNTIF(H17,"Yok")*(0)
+COUNTIF(H17,"Askerlik Yardımı")*($AS$30/AZ89)
+COUNTIF(H17,"Cenaze Yardımı (Anne-Baba)")*($AS$31+$AS$31*0.00759)
+COUNTIF(H17,"Cenaze Yardımı (Eş-Çocuk)")*($AS$32+$AS$32*0.00759)
+COUNTIF(H17,"Cenaze Yardımı (İşçi-İş Kazası Sonucu)")*($AS$33+$AS$33*0.00759)
+COUNTIF(H17,"Cenaze Yardımı (İşçi-Tabii Sebepler Sonucu)")*($AS$34+$AS$34*0.00759)
+COUNTIF(H17,"Doğal Afet Yardımı")*($AS$35+$AS$35*0.00759)
+COUNTIF(H17,"Eğitim Yardımı (Çocuk-İlköğretim)")*($AS$36/AZ89)
+COUNTIF(H17,"Eğitim Yardımı (Çocuk-Ortaöğretim)")*($AS$37/AZ89)
+COUNTIF(H17,"Eğitim Yardımı (Çocuk-Lise)")*($AS$38/AZ89)
+COUNTIF(H17,"Eğitim Yardımı (Çocuk-Yükseköğretim)")*($AS$39/AZ89)
+COUNTIF(H17,"Eğitim Yardımı (İşçi-Lise)")*($AS$40/AZ89)
+COUNTIF(H17,"Eğitim Yardımı (İşçi-Yükseköğretim)")*($AS$41/AZ89)
+COUNTIF(H17,"Evlilik Yardımı")*($AS$42+$AS$42*0.00759)
+COUNTIF(H17,"Gıda Yardımı")*($AS$43/AZ89)
+COUNTIF(H17,"İş Kazası veya Meslek Hastalığı Tazminatı")*($AS$44+$AS$44*0.00759)
+COUNTIF(I17,"Yok")*(0)
+COUNTIF(I17,"Askerlik Yardımı")*($AS$30/AZ89)
+COUNTIF(I17,"Cenaze Yardımı (Anne-Baba)")*($AS$31+$AS$31*0.00759)
+COUNTIF(I17,"Cenaze Yardımı (Eş-Çocuk)")*($AS$32+$AS$32*0.00759)
+COUNTIF(I17,"Cenaze Yardımı (İşçi-İş Kazası Sonucu)")*($AS$33+$AS$33*0.00759)
+COUNTIF(I17,"Cenaze Yardımı (İşçi-Tabii Sebepler Sonucu)")*($AS$34+$AS$34*0.00759)
+COUNTIF(I17,"Doğal Afet Yardımı")*($AS$35+$AS$35*0.00759)
+COUNTIF(I17,"Eğitim Yardımı (Çocuk-İlköğretim)")*($AS$36/AZ89)
+COUNTIF(I17,"Eğitim Yardımı (Çocuk-Ortaöğretim)")*($AS$37/AZ89)
+COUNTIF(I17,"Eğitim Yardımı (Çocuk-Lise)")*($AS$38/AZ89)
+COUNTIF(I17,"Eğitim Yardımı (Çocuk-Yükseköğretim)")*($AS$39/AZ89)
+COUNTIF(I17,"Eğitim Yardımı (İşçi-Lise)")*($AS$40/AZ89)
+COUNTIF(I17,"Eğitim Yardımı (İşçi-Yükseköğretim)")*($AS$41/AZ89)
+COUNTIF(I17,"Evlilik Yardımı")*($AS$42+$AS$42*0.00759)
+COUNTIF(I17,"Gıda Yardımı")*($AS$43/AZ89)
+COUNTIF(I17,"İş Kazası veya Meslek Hastalığı Tazminatı")*($AS$44+$AS$44*0.00759)
+COUNTIF(J17,"Yok")*(0)
+COUNTIF(J17,"Askerlik Yardımı")*($AS$30/AZ89)
+COUNTIF(J17,"Cenaze Yardımı (Anne-Baba)")*($AS$31+$AS$31*0.00759)
+COUNTIF(J17,"Cenaze Yardımı (Eş-Çocuk)")*($AS$32+$AS$32*0.00759)
+COUNTIF(J17,"Cenaze Yardımı (İşçi-İş Kazası Sonucu)")*($AS$33+$AS$33*0.00759)
+COUNTIF(J17,"Cenaze Yardımı (İşçi-Tabii Sebepler Sonucu)")*($AS$34+$AS$34*0.00759)
+COUNTIF(J17,"Doğal Afet Yardımı")*($AS$35+$AS$35*0.00759)
+COUNTIF(J17,"Eğitim Yardımı (Çocuk-İlköğretim)")*($AS$36/AZ89)
+COUNTIF(J17,"Eğitim Yardımı (Çocuk-Ortaöğretim)")*($AS$37/AZ89)
+COUNTIF(J17,"Eğitim Yardımı (Çocuk-Lise)")*($AS$38/AZ89)
+COUNTIF(J17,"Eğitim Yardımı (Çocuk-Yükseköğretim)")*($AS$39/AZ89)
+COUNTIF(J17,"Eğitim Yardımı (İşçi-Lise)")*($AS$40/AZ89)
+COUNTIF(J17,"Eğitim Yardımı (İşçi-Yükseköğretim)")*($AS$41/AZ89)
+COUNTIF(J17,"Evlilik Yardımı")*($AS$42+$AS$42*0.00759)
+COUNTIF(J17,"Gıda Yardımı")*($AS$43/AZ89)
+COUNTIF(J17,"İş Kazası veya Meslek Hastalığı Tazminatı")*($AS$44+$AS$44*0.00759)</f>
        <v>0</v>
      </c>
      <c r="AF59" s="65">
        <f>COUNTIF(H17,"Yok")*(0)
+COUNTIF(H17,"Askerlik Yardımı")*(0)
+COUNTIF(H17,"Cenaze Yardımı (Anne-Baba)")*($AS$31+$AS$31*0.00759)
+COUNTIF(H17,"Cenaze Yardımı (Eş-Çocuk)")*($AS$32+$AS$32*0.00759)
+COUNTIF(H17,"Cenaze Yardımı (İşçi-İş Kazası Sonucu)")*($AS$33+$AS$33*0.00759)
+COUNTIF(H17,"Cenaze Yardımı (İşçi-Tabii Sebepler Sonucu)")*($AS$34+$AS$34*0.00759)
+COUNTIF(H17,"Doğal Afet Yardımı")*($AS$35+$AS$35*0.00759)
+COUNTIF(H17,"Eğitim Yardımı (Çocuk-İlköğretim)")*(0)
+COUNTIF(H17,"Eğitim Yardımı (Çocuk-Ortaöğretim)")*(0)
+COUNTIF(H17,"Eğitim Yardımı (Çocuk-Lise)")*(0)
+COUNTIF(H17,"Eğitim Yardımı (Çocuk-Yükseköğretim)")*(0)
+COUNTIF(H17,"Eğitim Yardımı (İşçi-Lise)")*(0)
+COUNTIF(H17,"Eğitim Yardımı (İşçi-Yükseköğretim)")*(0)
+COUNTIF(H17,"Evlilik Yardımı")*($AS$42+$AS$42*0.00759)
+COUNTIF(H17,"Gıda Yardımı")*(0)
+COUNTIF(H17,"İş Kazası veya Meslek Hastalığı Tazminatı")*($AS$44+$AS$44*0.00759)
+COUNTIF(I17,"Yok")*(0)
+COUNTIF(I17,"Askerlik Yardımı")*(0)
+COUNTIF(I17,"Cenaze Yardımı (Anne-Baba)")*($AS$31+$AS$31*0.00759)
+COUNTIF(I17,"Cenaze Yardımı (Eş-Çocuk)")*($AS$32+$AS$32*0.00759)
+COUNTIF(I17,"Cenaze Yardımı (İşçi-İş Kazası Sonucu)")*($AS$33+$AS$33*0.00759)
+COUNTIF(I17,"Cenaze Yardımı (İşçi-Tabii Sebepler Sonucu)")*($AS$34+$AS$34*0.00759)
+COUNTIF(I17,"Doğal Afet Yardımı")*($AS$35+$AS$35*0.00759)
+COUNTIF(I17,"Eğitim Yardımı (Çocuk-İlköğretim)")*(0)
+COUNTIF(I17,"Eğitim Yardımı (Çocuk-Ortaöğretim)")*(0)
+COUNTIF(I17,"Eğitim Yardımı (Çocuk-Lise)")*(0)
+COUNTIF(I17,"Eğitim Yardımı (Çocuk-Yükseköğretim)")*(0)
+COUNTIF(I17,"Eğitim Yardımı (İşçi-Lise)")*(0)
+COUNTIF(I17,"Eğitim Yardımı (İşçi-Yükseköğretim)")*(0)
+COUNTIF(I17,"Evlilik Yardımı")*($AS$42+$AS$42*0.00759)
+COUNTIF(I17,"Gıda Yardımı")*(0)
+COUNTIF(I17,"İş Kazası veya Meslek Hastalığı Tazminatı")*($AS$44+$AS$44*0.00759)
+COUNTIF(J17,"Yok")*(0)
+COUNTIF(J17,"Askerlik Yardımı")*(0)
+COUNTIF(J17,"Cenaze Yardımı (Anne-Baba)")*($AS$31+$AS$31*0.00759)
+COUNTIF(J17,"Cenaze Yardımı (Eş-Çocuk)")*($AS$32+$AS$32*0.00759)
+COUNTIF(J17,"Cenaze Yardımı (İşçi-İş Kazası Sonucu)")*($AS$33+$AS$33*0.00759)
+COUNTIF(J17,"Cenaze Yardımı (İşçi-Tabii Sebepler Sonucu)")*($AS$34+$AS$34*0.00759)
+COUNTIF(J17,"Doğal Afet Yardımı")*($AS$35+$AS$35*0.00759)
+COUNTIF(J17,"Eğitim Yardımı (Çocuk-İlköğretim)")*(0)
+COUNTIF(J17,"Eğitim Yardımı (Çocuk-Ortaöğretim)")*(0)
+COUNTIF(J17,"Eğitim Yardımı (Çocuk-Lise)")*(0)
+COUNTIF(J17,"Eğitim Yardımı (Çocuk-Yükseköğretim)")*(0)
+COUNTIF(J17,"Eğitim Yardımı (İşçi-Lise)")*(0)
+COUNTIF(J17,"Eğitim Yardımı (İşçi-Yükseköğretim)")*(0)
+COUNTIF(J17,"Evlilik Yardımı")*($AS$42+$AS$42*0.00759)
+COUNTIF(J17,"Gıda Yardımı")*(0)
+COUNTIF(J17,"İş Kazası veya Meslek Hastalığı Tazminatı")*($AS$44+$AS$44*0.00759)</f>
        <v>0</v>
      </c>
      <c r="AG59" s="65">
        <f>COUNTIF(H17,"Yok")*(0)
+COUNTIF(H17,"Askerlik Yardımı")*($AS$30)
+COUNTIF(H17,"Cenaze Yardımı (Anne-Baba)")*($AS$31)
+COUNTIF(H17,"Cenaze Yardımı (Eş-Çocuk)")*($AS$32)
+COUNTIF(H17,"Cenaze Yardımı (İşçi-İş Kazası Sonucu)")*($AS$33)
+COUNTIF(H17,"Cenaze Yardımı (İşçi-Tabii Sebepler Sonucu)")*($AS$34)
+COUNTIF(H17,"Doğal Afet Yardımı")*($AS$35)
+COUNTIF(H17,"Eğitim Yardımı (Çocuk-İlköğretim)")*($AS$36)
+COUNTIF(H17,"Eğitim Yardımı (Çocuk-Ortaöğretim)")*($AS$37)
+COUNTIF(H17,"Eğitim Yardımı (Çocuk-Lise)")*($AS$38)
+COUNTIF(H17,"Eğitim Yardımı (Çocuk-Yükseköğretim)")*($AS$39)
+COUNTIF(H17,"Eğitim Yardımı (İşçi-Lise)")*($AS$40)
+COUNTIF(H17,"Eğitim Yardımı (İşçi-Yükseköğretim)")*($AS$41)
+COUNTIF(H17,"Evlilik Yardımı")*($AS$42)
+COUNTIF(H17,"Gıda Yardımı")*($AS$43)
+COUNTIF(H17,"İş Kazası veya Meslek Hastalığı Tazminatı")*($AS$44)
+COUNTIF(I17,"Yok")*(0)
+COUNTIF(I17,"Askerlik Yardımı")*($AS$30)
+COUNTIF(I17,"Cenaze Yardımı (Anne-Baba)")*($AS$31)
+COUNTIF(I17,"Cenaze Yardımı (Eş-Çocuk)")*($AS$32)
+COUNTIF(I17,"Cenaze Yardımı (İşçi-İş Kazası Sonucu)")*($AS$33)
+COUNTIF(I17,"Cenaze Yardımı (İşçi-Tabii Sebepler Sonucu)")*($AS$34)
+COUNTIF(I17,"Doğal Afet Yardımı")*($AS$35)
+COUNTIF(I17,"Eğitim Yardımı (Çocuk-İlköğretim)")*($AS$36)
+COUNTIF(I17,"Eğitim Yardımı (Çocuk-Ortaöğretim)")*($AS$37)
+COUNTIF(I17,"Eğitim Yardımı (Çocuk-Lise)")*($AS$38)
+COUNTIF(I17,"Eğitim Yardımı (Çocuk-Yükseköğretim)")*($AS$39)
+COUNTIF(I17,"Eğitim Yardımı (İşçi-Lise)")*($AS$40)
+COUNTIF(I17,"Eğitim Yardımı (İşçi-Yükseköğretim)")*($AS$41)
+COUNTIF(I17,"Evlilik Yardımı")*($AS$42)
+COUNTIF(I17,"Gıda Yardımı")*($AS$43)
+COUNTIF(I17,"İş Kazası veya Meslek Hastalığı Tazminatı")*($AS$44)
+COUNTIF(J17,"Yok")*(0)
+COUNTIF(J17,"Askerlik Yardımı")*($AS$30)
+COUNTIF(J17,"Cenaze Yardımı (Anne-Baba)")*($AS$31)
+COUNTIF(J17,"Cenaze Yardımı (Eş-Çocuk)")*($AS$32)
+COUNTIF(J17,"Cenaze Yardımı (İşçi-İş Kazası Sonucu)")*($AS$33)
+COUNTIF(J17,"Cenaze Yardımı (İşçi-Tabii Sebepler Sonucu)")*($AS$34)
+COUNTIF(J17,"Doğal Afet Yardımı")*($AS$35)
+COUNTIF(J17,"Eğitim Yardımı (Çocuk-İlköğretim)")*($AS$36)
+COUNTIF(J17,"Eğitim Yardımı (Çocuk-Ortaöğretim)")*($AS$37)
+COUNTIF(J17,"Eğitim Yardımı (Çocuk-Lise)")*($AS$38)
+COUNTIF(J17,"Eğitim Yardımı (Çocuk-Yükseköğretim)")*($AS$39)
+COUNTIF(J17,"Eğitim Yardımı (İşçi-Lise)")*($AS$40)
+COUNTIF(J17,"Eğitim Yardımı (İşçi-Yükseköğretim)")*($AS$41)
+COUNTIF(J17,"Evlilik Yardımı")*($AS$42)
+COUNTIF(J17,"Gıda Yardımı")*($AS$43)
+COUNTIF(J17,"İş Kazası veya Meslek Hastalığı Tazminatı")*($AS$44)</f>
        <v>0</v>
      </c>
      <c r="AH59" s="69" t="s">
        <v>9</v>
      </c>
      <c r="AI59" s="47">
        <f ca="1">COUNTIF(AH59,"Var")*(AL17*0.9*-1)</f>
        <v>-3081.5331309870962</v>
      </c>
      <c r="AJ59" s="47">
        <f t="shared" ca="1" si="53"/>
        <v>3081.5331309870962</v>
      </c>
      <c r="AK59" s="47">
        <f ca="1">(AF89)</f>
        <v>265449.38</v>
      </c>
      <c r="AL59" s="47">
        <f t="shared" ca="1" si="54"/>
        <v>54417.122899999995</v>
      </c>
      <c r="AM59" s="47">
        <f t="shared" ca="1" si="55"/>
        <v>2654.4938000000002</v>
      </c>
      <c r="AN59" s="47">
        <f t="shared" ca="1" si="56"/>
        <v>-13272.469000000001</v>
      </c>
      <c r="AO59" s="47">
        <f t="shared" ca="1" si="57"/>
        <v>309248.52770000004</v>
      </c>
      <c r="BD59" s="46">
        <v>57</v>
      </c>
      <c r="BE59" s="49">
        <v>28.5</v>
      </c>
      <c r="BF59" s="68" t="s">
        <v>0</v>
      </c>
    </row>
    <row r="60" spans="31:58" ht="39.950000000000003" hidden="1" customHeight="1" x14ac:dyDescent="0.25">
      <c r="AE60" s="65">
        <f ca="1">COUNTIF(H18,"Yok")*(0)
+COUNTIF(H18,"Askerlik Yardımı")*($AS$30/AZ90)
+COUNTIF(H18,"Cenaze Yardımı (Anne-Baba)")*($AS$31+$AS$31*0.00759)
+COUNTIF(H18,"Cenaze Yardımı (Eş-Çocuk)")*($AS$32+$AS$32*0.00759)
+COUNTIF(H18,"Cenaze Yardımı (İşçi-İş Kazası Sonucu)")*($AS$33+$AS$33*0.00759)
+COUNTIF(H18,"Cenaze Yardımı (İşçi-Tabii Sebepler Sonucu)")*($AS$34+$AS$34*0.00759)
+COUNTIF(H18,"Doğal Afet Yardımı")*($AS$35+$AS$35*0.00759)
+COUNTIF(H18,"Eğitim Yardımı (Çocuk-İlköğretim)")*($AS$36/AZ90)
+COUNTIF(H18,"Eğitim Yardımı (Çocuk-Ortaöğretim)")*($AS$37/AZ90)
+COUNTIF(H18,"Eğitim Yardımı (Çocuk-Lise)")*($AS$38/AZ90)
+COUNTIF(H18,"Eğitim Yardımı (Çocuk-Yükseköğretim)")*($AS$39/AZ90)
+COUNTIF(H18,"Eğitim Yardımı (İşçi-Lise)")*($AS$40/AZ90)
+COUNTIF(H18,"Eğitim Yardımı (İşçi-Yükseköğretim)")*($AS$41/AZ90)
+COUNTIF(H18,"Evlilik Yardımı")*($AS$42+$AS$42*0.00759)
+COUNTIF(H18,"Gıda Yardımı")*($AS$43/AZ90)
+COUNTIF(H18,"İş Kazası veya Meslek Hastalığı Tazminatı")*($AS$44+$AS$44*0.00759)
+COUNTIF(I18,"Yok")*(0)
+COUNTIF(I18,"Askerlik Yardımı")*($AS$30/AZ90)
+COUNTIF(I18,"Cenaze Yardımı (Anne-Baba)")*($AS$31+$AS$31*0.00759)
+COUNTIF(I18,"Cenaze Yardımı (Eş-Çocuk)")*($AS$32+$AS$32*0.00759)
+COUNTIF(I18,"Cenaze Yardımı (İşçi-İş Kazası Sonucu)")*($AS$33+$AS$33*0.00759)
+COUNTIF(I18,"Cenaze Yardımı (İşçi-Tabii Sebepler Sonucu)")*($AS$34+$AS$34*0.00759)
+COUNTIF(I18,"Doğal Afet Yardımı")*($AS$35+$AS$35*0.00759)
+COUNTIF(I18,"Eğitim Yardımı (Çocuk-İlköğretim)")*($AS$36/AZ90)
+COUNTIF(I18,"Eğitim Yardımı (Çocuk-Ortaöğretim)")*($AS$37/AZ90)
+COUNTIF(I18,"Eğitim Yardımı (Çocuk-Lise)")*($AS$38/AZ90)
+COUNTIF(I18,"Eğitim Yardımı (Çocuk-Yükseköğretim)")*($AS$39/AZ90)
+COUNTIF(I18,"Eğitim Yardımı (İşçi-Lise)")*($AS$40/AZ90)
+COUNTIF(I18,"Eğitim Yardımı (İşçi-Yükseköğretim)")*($AS$41/AZ90)
+COUNTIF(I18,"Evlilik Yardımı")*($AS$42+$AS$42*0.00759)
+COUNTIF(I18,"Gıda Yardımı")*($AS$43/AZ90)
+COUNTIF(I18,"İş Kazası veya Meslek Hastalığı Tazminatı")*($AS$44+$AS$44*0.00759)
+COUNTIF(J18,"Yok")*(0)
+COUNTIF(J18,"Askerlik Yardımı")*($AS$30/AZ90)
+COUNTIF(J18,"Cenaze Yardımı (Anne-Baba)")*($AS$31+$AS$31*0.00759)
+COUNTIF(J18,"Cenaze Yardımı (Eş-Çocuk)")*($AS$32+$AS$32*0.00759)
+COUNTIF(J18,"Cenaze Yardımı (İşçi-İş Kazası Sonucu)")*($AS$33+$AS$33*0.00759)
+COUNTIF(J18,"Cenaze Yardımı (İşçi-Tabii Sebepler Sonucu)")*($AS$34+$AS$34*0.00759)
+COUNTIF(J18,"Doğal Afet Yardımı")*($AS$35+$AS$35*0.00759)
+COUNTIF(J18,"Eğitim Yardımı (Çocuk-İlköğretim)")*($AS$36/AZ90)
+COUNTIF(J18,"Eğitim Yardımı (Çocuk-Ortaöğretim)")*($AS$37/AZ90)
+COUNTIF(J18,"Eğitim Yardımı (Çocuk-Lise)")*($AS$38/AZ90)
+COUNTIF(J18,"Eğitim Yardımı (Çocuk-Yükseköğretim)")*($AS$39/AZ90)
+COUNTIF(J18,"Eğitim Yardımı (İşçi-Lise)")*($AS$40/AZ90)
+COUNTIF(J18,"Eğitim Yardımı (İşçi-Yükseköğretim)")*($AS$41/AZ90)
+COUNTIF(J18,"Evlilik Yardımı")*($AS$42+$AS$42*0.00759)
+COUNTIF(J18,"Gıda Yardımı")*($AS$43/AZ90)
+COUNTIF(J18,"İş Kazası veya Meslek Hastalığı Tazminatı")*($AS$44+$AS$44*0.00759)</f>
        <v>0</v>
      </c>
      <c r="AF60" s="65">
        <f>COUNTIF(H18,"Yok")*(0)
+COUNTIF(H18,"Askerlik Yardımı")*(0)
+COUNTIF(H18,"Cenaze Yardımı (Anne-Baba)")*($AS$31+$AS$31*0.00759)
+COUNTIF(H18,"Cenaze Yardımı (Eş-Çocuk)")*($AS$32+$AS$32*0.00759)
+COUNTIF(H18,"Cenaze Yardımı (İşçi-İş Kazası Sonucu)")*($AS$33+$AS$33*0.00759)
+COUNTIF(H18,"Cenaze Yardımı (İşçi-Tabii Sebepler Sonucu)")*($AS$34+$AS$34*0.00759)
+COUNTIF(H18,"Doğal Afet Yardımı")*($AS$35+$AS$35*0.00759)
+COUNTIF(H18,"Eğitim Yardımı (Çocuk-İlköğretim)")*(0)
+COUNTIF(H18,"Eğitim Yardımı (Çocuk-Ortaöğretim)")*(0)
+COUNTIF(H18,"Eğitim Yardımı (Çocuk-Lise)")*(0)
+COUNTIF(H18,"Eğitim Yardımı (Çocuk-Yükseköğretim)")*(0)
+COUNTIF(H18,"Eğitim Yardımı (İşçi-Lise)")*(0)
+COUNTIF(H18,"Eğitim Yardımı (İşçi-Yükseköğretim)")*(0)
+COUNTIF(H18,"Evlilik Yardımı")*($AS$42+$AS$42*0.00759)
+COUNTIF(H18,"Gıda Yardımı")*(0)
+COUNTIF(H18,"İş Kazası veya Meslek Hastalığı Tazminatı")*($AS$44+$AS$44*0.00759)
+COUNTIF(I18,"Yok")*(0)
+COUNTIF(I18,"Askerlik Yardımı")*(0)
+COUNTIF(I18,"Cenaze Yardımı (Anne-Baba)")*($AS$31+$AS$31*0.00759)
+COUNTIF(I18,"Cenaze Yardımı (Eş-Çocuk)")*($AS$32+$AS$32*0.00759)
+COUNTIF(I18,"Cenaze Yardımı (İşçi-İş Kazası Sonucu)")*($AS$33+$AS$33*0.00759)
+COUNTIF(I18,"Cenaze Yardımı (İşçi-Tabii Sebepler Sonucu)")*($AS$34+$AS$34*0.00759)
+COUNTIF(I18,"Doğal Afet Yardımı")*($AS$35+$AS$35*0.00759)
+COUNTIF(I18,"Eğitim Yardımı (Çocuk-İlköğretim)")*(0)
+COUNTIF(I18,"Eğitim Yardımı (Çocuk-Ortaöğretim)")*(0)
+COUNTIF(I18,"Eğitim Yardımı (Çocuk-Lise)")*(0)
+COUNTIF(I18,"Eğitim Yardımı (Çocuk-Yükseköğretim)")*(0)
+COUNTIF(I18,"Eğitim Yardımı (İşçi-Lise)")*(0)
+COUNTIF(I18,"Eğitim Yardımı (İşçi-Yükseköğretim)")*(0)
+COUNTIF(I18,"Evlilik Yardımı")*($AS$42+$AS$42*0.00759)
+COUNTIF(I18,"Gıda Yardımı")*(0)
+COUNTIF(I18,"İş Kazası veya Meslek Hastalığı Tazminatı")*($AS$44+$AS$44*0.00759)
+COUNTIF(J18,"Yok")*(0)
+COUNTIF(J18,"Askerlik Yardımı")*(0)
+COUNTIF(J18,"Cenaze Yardımı (Anne-Baba)")*($AS$31+$AS$31*0.00759)
+COUNTIF(J18,"Cenaze Yardımı (Eş-Çocuk)")*($AS$32+$AS$32*0.00759)
+COUNTIF(J18,"Cenaze Yardımı (İşçi-İş Kazası Sonucu)")*($AS$33+$AS$33*0.00759)
+COUNTIF(J18,"Cenaze Yardımı (İşçi-Tabii Sebepler Sonucu)")*($AS$34+$AS$34*0.00759)
+COUNTIF(J18,"Doğal Afet Yardımı")*($AS$35+$AS$35*0.00759)
+COUNTIF(J18,"Eğitim Yardımı (Çocuk-İlköğretim)")*(0)
+COUNTIF(J18,"Eğitim Yardımı (Çocuk-Ortaöğretim)")*(0)
+COUNTIF(J18,"Eğitim Yardımı (Çocuk-Lise)")*(0)
+COUNTIF(J18,"Eğitim Yardımı (Çocuk-Yükseköğretim)")*(0)
+COUNTIF(J18,"Eğitim Yardımı (İşçi-Lise)")*(0)
+COUNTIF(J18,"Eğitim Yardımı (İşçi-Yükseköğretim)")*(0)
+COUNTIF(J18,"Evlilik Yardımı")*($AS$42+$AS$42*0.00759)
+COUNTIF(J18,"Gıda Yardımı")*(0)
+COUNTIF(J18,"İş Kazası veya Meslek Hastalığı Tazminatı")*($AS$44+$AS$44*0.00759)</f>
        <v>0</v>
      </c>
      <c r="AG60" s="65">
        <f>COUNTIF(H18,"Yok")*(0)
+COUNTIF(H18,"Askerlik Yardımı")*($AS$30)
+COUNTIF(H18,"Cenaze Yardımı (Anne-Baba)")*($AS$31)
+COUNTIF(H18,"Cenaze Yardımı (Eş-Çocuk)")*($AS$32)
+COUNTIF(H18,"Cenaze Yardımı (İşçi-İş Kazası Sonucu)")*($AS$33)
+COUNTIF(H18,"Cenaze Yardımı (İşçi-Tabii Sebepler Sonucu)")*($AS$34)
+COUNTIF(H18,"Doğal Afet Yardımı")*($AS$35)
+COUNTIF(H18,"Eğitim Yardımı (Çocuk-İlköğretim)")*($AS$36)
+COUNTIF(H18,"Eğitim Yardımı (Çocuk-Ortaöğretim)")*($AS$37)
+COUNTIF(H18,"Eğitim Yardımı (Çocuk-Lise)")*($AS$38)
+COUNTIF(H18,"Eğitim Yardımı (Çocuk-Yükseköğretim)")*($AS$39)
+COUNTIF(H18,"Eğitim Yardımı (İşçi-Lise)")*($AS$40)
+COUNTIF(H18,"Eğitim Yardımı (İşçi-Yükseköğretim)")*($AS$41)
+COUNTIF(H18,"Evlilik Yardımı")*($AS$42)
+COUNTIF(H18,"Gıda Yardımı")*($AS$43)
+COUNTIF(H18,"İş Kazası veya Meslek Hastalığı Tazminatı")*($AS$44)
+COUNTIF(I18,"Yok")*(0)
+COUNTIF(I18,"Askerlik Yardımı")*($AS$30)
+COUNTIF(I18,"Cenaze Yardımı (Anne-Baba)")*($AS$31)
+COUNTIF(I18,"Cenaze Yardımı (Eş-Çocuk)")*($AS$32)
+COUNTIF(I18,"Cenaze Yardımı (İşçi-İş Kazası Sonucu)")*($AS$33)
+COUNTIF(I18,"Cenaze Yardımı (İşçi-Tabii Sebepler Sonucu)")*($AS$34)
+COUNTIF(I18,"Doğal Afet Yardımı")*($AS$35)
+COUNTIF(I18,"Eğitim Yardımı (Çocuk-İlköğretim)")*($AS$36)
+COUNTIF(I18,"Eğitim Yardımı (Çocuk-Ortaöğretim)")*($AS$37)
+COUNTIF(I18,"Eğitim Yardımı (Çocuk-Lise)")*($AS$38)
+COUNTIF(I18,"Eğitim Yardımı (Çocuk-Yükseköğretim)")*($AS$39)
+COUNTIF(I18,"Eğitim Yardımı (İşçi-Lise)")*($AS$40)
+COUNTIF(I18,"Eğitim Yardımı (İşçi-Yükseköğretim)")*($AS$41)
+COUNTIF(I18,"Evlilik Yardımı")*($AS$42)
+COUNTIF(I18,"Gıda Yardımı")*($AS$43)
+COUNTIF(I18,"İş Kazası veya Meslek Hastalığı Tazminatı")*($AS$44)
+COUNTIF(J18,"Yok")*(0)
+COUNTIF(J18,"Askerlik Yardımı")*($AS$30)
+COUNTIF(J18,"Cenaze Yardımı (Anne-Baba)")*($AS$31)
+COUNTIF(J18,"Cenaze Yardımı (Eş-Çocuk)")*($AS$32)
+COUNTIF(J18,"Cenaze Yardımı (İşçi-İş Kazası Sonucu)")*($AS$33)
+COUNTIF(J18,"Cenaze Yardımı (İşçi-Tabii Sebepler Sonucu)")*($AS$34)
+COUNTIF(J18,"Doğal Afet Yardımı")*($AS$35)
+COUNTIF(J18,"Eğitim Yardımı (Çocuk-İlköğretim)")*($AS$36)
+COUNTIF(J18,"Eğitim Yardımı (Çocuk-Ortaöğretim)")*($AS$37)
+COUNTIF(J18,"Eğitim Yardımı (Çocuk-Lise)")*($AS$38)
+COUNTIF(J18,"Eğitim Yardımı (Çocuk-Yükseköğretim)")*($AS$39)
+COUNTIF(J18,"Eğitim Yardımı (İşçi-Lise)")*($AS$40)
+COUNTIF(J18,"Eğitim Yardımı (İşçi-Yükseköğretim)")*($AS$41)
+COUNTIF(J18,"Evlilik Yardımı")*($AS$42)
+COUNTIF(J18,"Gıda Yardımı")*($AS$43)
+COUNTIF(J18,"İş Kazası veya Meslek Hastalığı Tazminatı")*($AS$44)</f>
        <v>0</v>
      </c>
      <c r="AH60" s="69" t="s">
        <v>9</v>
      </c>
      <c r="AI60" s="47">
        <f ca="1">COUNTIF(AH60,"Var")*(AL18*0.9*-1)</f>
        <v>-3350.4935825999996</v>
      </c>
      <c r="AJ60" s="47">
        <f t="shared" ca="1" si="53"/>
        <v>3350.4935825999996</v>
      </c>
      <c r="AK60" s="47">
        <f ca="1">(AF90)</f>
        <v>179810.93</v>
      </c>
      <c r="AL60" s="47">
        <f t="shared" ca="1" si="54"/>
        <v>36861.24065</v>
      </c>
      <c r="AM60" s="47">
        <f t="shared" ca="1" si="55"/>
        <v>1798.1093000000001</v>
      </c>
      <c r="AN60" s="47">
        <f t="shared" ca="1" si="56"/>
        <v>-8990.5465000000004</v>
      </c>
      <c r="AO60" s="47">
        <f t="shared" ca="1" si="57"/>
        <v>209479.73345</v>
      </c>
      <c r="BD60" s="46">
        <v>58</v>
      </c>
      <c r="BE60" s="49">
        <v>29</v>
      </c>
      <c r="BF60" s="68" t="s">
        <v>0</v>
      </c>
    </row>
    <row r="61" spans="31:58" ht="39.950000000000003" hidden="1" customHeight="1" x14ac:dyDescent="0.25">
      <c r="AE61" s="65">
        <f ca="1">COUNTIF(H19,"Yok")*(0)
+COUNTIF(H19,"Askerlik Yardımı")*($AS$30/AZ91)
+COUNTIF(H19,"Cenaze Yardımı (Anne-Baba)")*($AS$31+$AS$31*0.00759)
+COUNTIF(H19,"Cenaze Yardımı (Eş-Çocuk)")*($AS$32+$AS$32*0.00759)
+COUNTIF(H19,"Cenaze Yardımı (İşçi-İş Kazası Sonucu)")*($AS$33+$AS$33*0.00759)
+COUNTIF(H19,"Cenaze Yardımı (İşçi-Tabii Sebepler Sonucu)")*($AS$34+$AS$34*0.00759)
+COUNTIF(H19,"Doğal Afet Yardımı")*($AS$35+$AS$35*0.00759)
+COUNTIF(H19,"Eğitim Yardımı (Çocuk-İlköğretim)")*($AS$36/AZ91)
+COUNTIF(H19,"Eğitim Yardımı (Çocuk-Ortaöğretim)")*($AS$37/AZ91)
+COUNTIF(H19,"Eğitim Yardımı (Çocuk-Lise)")*($AS$38/AZ91)
+COUNTIF(H19,"Eğitim Yardımı (Çocuk-Yükseköğretim)")*($AS$39/AZ91)
+COUNTIF(H19,"Eğitim Yardımı (İşçi-Lise)")*($AS$40/AZ91)
+COUNTIF(H19,"Eğitim Yardımı (İşçi-Yükseköğretim)")*($AS$41/AZ91)
+COUNTIF(H19,"Evlilik Yardımı")*($AS$42+$AS$42*0.00759)
+COUNTIF(H19,"Gıda Yardımı")*($AS$43/AZ91)
+COUNTIF(H19,"İş Kazası veya Meslek Hastalığı Tazminatı")*($AS$44+$AS$44*0.00759)
+COUNTIF(I19,"Yok")*(0)
+COUNTIF(I19,"Askerlik Yardımı")*($AS$30/AZ91)
+COUNTIF(I19,"Cenaze Yardımı (Anne-Baba)")*($AS$31+$AS$31*0.00759)
+COUNTIF(I19,"Cenaze Yardımı (Eş-Çocuk)")*($AS$32+$AS$32*0.00759)
+COUNTIF(I19,"Cenaze Yardımı (İşçi-İş Kazası Sonucu)")*($AS$33+$AS$33*0.00759)
+COUNTIF(I19,"Cenaze Yardımı (İşçi-Tabii Sebepler Sonucu)")*($AS$34+$AS$34*0.00759)
+COUNTIF(I19,"Doğal Afet Yardımı")*($AS$35+$AS$35*0.00759)
+COUNTIF(I19,"Eğitim Yardımı (Çocuk-İlköğretim)")*($AS$36/AZ91)
+COUNTIF(I19,"Eğitim Yardımı (Çocuk-Ortaöğretim)")*($AS$37/AZ91)
+COUNTIF(I19,"Eğitim Yardımı (Çocuk-Lise)")*($AS$38/AZ91)
+COUNTIF(I19,"Eğitim Yardımı (Çocuk-Yükseköğretim)")*($AS$39/AZ91)
+COUNTIF(I19,"Eğitim Yardımı (İşçi-Lise)")*($AS$40/AZ91)
+COUNTIF(I19,"Eğitim Yardımı (İşçi-Yükseköğretim)")*($AS$41/AZ91)
+COUNTIF(I19,"Evlilik Yardımı")*($AS$42+$AS$42*0.00759)
+COUNTIF(I19,"Gıda Yardımı")*($AS$43/AZ91)
+COUNTIF(I19,"İş Kazası veya Meslek Hastalığı Tazminatı")*($AS$44+$AS$44*0.00759)
+COUNTIF(J19,"Yok")*(0)
+COUNTIF(J19,"Askerlik Yardımı")*($AS$30/AZ91)
+COUNTIF(J19,"Cenaze Yardımı (Anne-Baba)")*($AS$31+$AS$31*0.00759)
+COUNTIF(J19,"Cenaze Yardımı (Eş-Çocuk)")*($AS$32+$AS$32*0.00759)
+COUNTIF(J19,"Cenaze Yardımı (İşçi-İş Kazası Sonucu)")*($AS$33+$AS$33*0.00759)
+COUNTIF(J19,"Cenaze Yardımı (İşçi-Tabii Sebepler Sonucu)")*($AS$34+$AS$34*0.00759)
+COUNTIF(J19,"Doğal Afet Yardımı")*($AS$35+$AS$35*0.00759)
+COUNTIF(J19,"Eğitim Yardımı (Çocuk-İlköğretim)")*($AS$36/AZ91)
+COUNTIF(J19,"Eğitim Yardımı (Çocuk-Ortaöğretim)")*($AS$37/AZ91)
+COUNTIF(J19,"Eğitim Yardımı (Çocuk-Lise)")*($AS$38/AZ91)
+COUNTIF(J19,"Eğitim Yardımı (Çocuk-Yükseköğretim)")*($AS$39/AZ91)
+COUNTIF(J19,"Eğitim Yardımı (İşçi-Lise)")*($AS$40/AZ91)
+COUNTIF(J19,"Eğitim Yardımı (İşçi-Yükseköğretim)")*($AS$41/AZ91)
+COUNTIF(J19,"Evlilik Yardımı")*($AS$42+$AS$42*0.00759)
+COUNTIF(J19,"Gıda Yardımı")*($AS$43/AZ91)
+COUNTIF(J19,"İş Kazası veya Meslek Hastalığı Tazminatı")*($AS$44+$AS$44*0.00759)</f>
        <v>0</v>
      </c>
      <c r="AF61" s="65">
        <f>COUNTIF(H19,"Yok")*(0)
+COUNTIF(H19,"Askerlik Yardımı")*(0)
+COUNTIF(H19,"Cenaze Yardımı (Anne-Baba)")*($AS$31+$AS$31*0.00759)
+COUNTIF(H19,"Cenaze Yardımı (Eş-Çocuk)")*($AS$32+$AS$32*0.00759)
+COUNTIF(H19,"Cenaze Yardımı (İşçi-İş Kazası Sonucu)")*($AS$33+$AS$33*0.00759)
+COUNTIF(H19,"Cenaze Yardımı (İşçi-Tabii Sebepler Sonucu)")*($AS$34+$AS$34*0.00759)
+COUNTIF(H19,"Doğal Afet Yardımı")*($AS$35+$AS$35*0.00759)
+COUNTIF(H19,"Eğitim Yardımı (Çocuk-İlköğretim)")*(0)
+COUNTIF(H19,"Eğitim Yardımı (Çocuk-Ortaöğretim)")*(0)
+COUNTIF(H19,"Eğitim Yardımı (Çocuk-Lise)")*(0)
+COUNTIF(H19,"Eğitim Yardımı (Çocuk-Yükseköğretim)")*(0)
+COUNTIF(H19,"Eğitim Yardımı (İşçi-Lise)")*(0)
+COUNTIF(H19,"Eğitim Yardımı (İşçi-Yükseköğretim)")*(0)
+COUNTIF(H19,"Evlilik Yardımı")*($AS$42+$AS$42*0.00759)
+COUNTIF(H19,"Gıda Yardımı")*(0)
+COUNTIF(H19,"İş Kazası veya Meslek Hastalığı Tazminatı")*($AS$44+$AS$44*0.00759)
+COUNTIF(I19,"Yok")*(0)
+COUNTIF(I19,"Askerlik Yardımı")*(0)
+COUNTIF(I19,"Cenaze Yardımı (Anne-Baba)")*($AS$31+$AS$31*0.00759)
+COUNTIF(I19,"Cenaze Yardımı (Eş-Çocuk)")*($AS$32+$AS$32*0.00759)
+COUNTIF(I19,"Cenaze Yardımı (İşçi-İş Kazası Sonucu)")*($AS$33+$AS$33*0.00759)
+COUNTIF(I19,"Cenaze Yardımı (İşçi-Tabii Sebepler Sonucu)")*($AS$34+$AS$34*0.00759)
+COUNTIF(I19,"Doğal Afet Yardımı")*($AS$35+$AS$35*0.00759)
+COUNTIF(I19,"Eğitim Yardımı (Çocuk-İlköğretim)")*(0)
+COUNTIF(I19,"Eğitim Yardımı (Çocuk-Ortaöğretim)")*(0)
+COUNTIF(I19,"Eğitim Yardımı (Çocuk-Lise)")*(0)
+COUNTIF(I19,"Eğitim Yardımı (Çocuk-Yükseköğretim)")*(0)
+COUNTIF(I19,"Eğitim Yardımı (İşçi-Lise)")*(0)
+COUNTIF(I19,"Eğitim Yardımı (İşçi-Yükseköğretim)")*(0)
+COUNTIF(I19,"Evlilik Yardımı")*($AS$42+$AS$42*0.00759)
+COUNTIF(I19,"Gıda Yardımı")*(0)
+COUNTIF(I19,"İş Kazası veya Meslek Hastalığı Tazminatı")*($AS$44+$AS$44*0.00759)
+COUNTIF(J19,"Yok")*(0)
+COUNTIF(J19,"Askerlik Yardımı")*(0)
+COUNTIF(J19,"Cenaze Yardımı (Anne-Baba)")*($AS$31+$AS$31*0.00759)
+COUNTIF(J19,"Cenaze Yardımı (Eş-Çocuk)")*($AS$32+$AS$32*0.00759)
+COUNTIF(J19,"Cenaze Yardımı (İşçi-İş Kazası Sonucu)")*($AS$33+$AS$33*0.00759)
+COUNTIF(J19,"Cenaze Yardımı (İşçi-Tabii Sebepler Sonucu)")*($AS$34+$AS$34*0.00759)
+COUNTIF(J19,"Doğal Afet Yardımı")*($AS$35+$AS$35*0.00759)
+COUNTIF(J19,"Eğitim Yardımı (Çocuk-İlköğretim)")*(0)
+COUNTIF(J19,"Eğitim Yardımı (Çocuk-Ortaöğretim)")*(0)
+COUNTIF(J19,"Eğitim Yardımı (Çocuk-Lise)")*(0)
+COUNTIF(J19,"Eğitim Yardımı (Çocuk-Yükseköğretim)")*(0)
+COUNTIF(J19,"Eğitim Yardımı (İşçi-Lise)")*(0)
+COUNTIF(J19,"Eğitim Yardımı (İşçi-Yükseköğretim)")*(0)
+COUNTIF(J19,"Evlilik Yardımı")*($AS$42+$AS$42*0.00759)
+COUNTIF(J19,"Gıda Yardımı")*(0)
+COUNTIF(J19,"İş Kazası veya Meslek Hastalığı Tazminatı")*($AS$44+$AS$44*0.00759)</f>
        <v>0</v>
      </c>
      <c r="AG61" s="65">
        <f>COUNTIF(H19,"Yok")*(0)
+COUNTIF(H19,"Askerlik Yardımı")*($AS$30)
+COUNTIF(H19,"Cenaze Yardımı (Anne-Baba)")*($AS$31)
+COUNTIF(H19,"Cenaze Yardımı (Eş-Çocuk)")*($AS$32)
+COUNTIF(H19,"Cenaze Yardımı (İşçi-İş Kazası Sonucu)")*($AS$33)
+COUNTIF(H19,"Cenaze Yardımı (İşçi-Tabii Sebepler Sonucu)")*($AS$34)
+COUNTIF(H19,"Doğal Afet Yardımı")*($AS$35)
+COUNTIF(H19,"Eğitim Yardımı (Çocuk-İlköğretim)")*($AS$36)
+COUNTIF(H19,"Eğitim Yardımı (Çocuk-Ortaöğretim)")*($AS$37)
+COUNTIF(H19,"Eğitim Yardımı (Çocuk-Lise)")*($AS$38)
+COUNTIF(H19,"Eğitim Yardımı (Çocuk-Yükseköğretim)")*($AS$39)
+COUNTIF(H19,"Eğitim Yardımı (İşçi-Lise)")*($AS$40)
+COUNTIF(H19,"Eğitim Yardımı (İşçi-Yükseköğretim)")*($AS$41)
+COUNTIF(H19,"Evlilik Yardımı")*($AS$42)
+COUNTIF(H19,"Gıda Yardımı")*($AS$43)
+COUNTIF(H19,"İş Kazası veya Meslek Hastalığı Tazminatı")*($AS$44)
+COUNTIF(I19,"Yok")*(0)
+COUNTIF(I19,"Askerlik Yardımı")*($AS$30)
+COUNTIF(I19,"Cenaze Yardımı (Anne-Baba)")*($AS$31)
+COUNTIF(I19,"Cenaze Yardımı (Eş-Çocuk)")*($AS$32)
+COUNTIF(I19,"Cenaze Yardımı (İşçi-İş Kazası Sonucu)")*($AS$33)
+COUNTIF(I19,"Cenaze Yardımı (İşçi-Tabii Sebepler Sonucu)")*($AS$34)
+COUNTIF(I19,"Doğal Afet Yardımı")*($AS$35)
+COUNTIF(I19,"Eğitim Yardımı (Çocuk-İlköğretim)")*($AS$36)
+COUNTIF(I19,"Eğitim Yardımı (Çocuk-Ortaöğretim)")*($AS$37)
+COUNTIF(I19,"Eğitim Yardımı (Çocuk-Lise)")*($AS$38)
+COUNTIF(I19,"Eğitim Yardımı (Çocuk-Yükseköğretim)")*($AS$39)
+COUNTIF(I19,"Eğitim Yardımı (İşçi-Lise)")*($AS$40)
+COUNTIF(I19,"Eğitim Yardımı (İşçi-Yükseköğretim)")*($AS$41)
+COUNTIF(I19,"Evlilik Yardımı")*($AS$42)
+COUNTIF(I19,"Gıda Yardımı")*($AS$43)
+COUNTIF(I19,"İş Kazası veya Meslek Hastalığı Tazminatı")*($AS$44)
+COUNTIF(J19,"Yok")*(0)
+COUNTIF(J19,"Askerlik Yardımı")*($AS$30)
+COUNTIF(J19,"Cenaze Yardımı (Anne-Baba)")*($AS$31)
+COUNTIF(J19,"Cenaze Yardımı (Eş-Çocuk)")*($AS$32)
+COUNTIF(J19,"Cenaze Yardımı (İşçi-İş Kazası Sonucu)")*($AS$33)
+COUNTIF(J19,"Cenaze Yardımı (İşçi-Tabii Sebepler Sonucu)")*($AS$34)
+COUNTIF(J19,"Doğal Afet Yardımı")*($AS$35)
+COUNTIF(J19,"Eğitim Yardımı (Çocuk-İlköğretim)")*($AS$36)
+COUNTIF(J19,"Eğitim Yardımı (Çocuk-Ortaöğretim)")*($AS$37)
+COUNTIF(J19,"Eğitim Yardımı (Çocuk-Lise)")*($AS$38)
+COUNTIF(J19,"Eğitim Yardımı (Çocuk-Yükseköğretim)")*($AS$39)
+COUNTIF(J19,"Eğitim Yardımı (İşçi-Lise)")*($AS$40)
+COUNTIF(J19,"Eğitim Yardımı (İşçi-Yükseköğretim)")*($AS$41)
+COUNTIF(J19,"Evlilik Yardımı")*($AS$42)
+COUNTIF(J19,"Gıda Yardımı")*($AS$43)
+COUNTIF(J19,"İş Kazası veya Meslek Hastalığı Tazminatı")*($AS$44)</f>
        <v>0</v>
      </c>
      <c r="AH61" s="69" t="s">
        <v>9</v>
      </c>
      <c r="AI61" s="47">
        <f ca="1">COUNTIF(AH61,"Var")*(AL19*0.9*-1)</f>
        <v>-3357.5384535677422</v>
      </c>
      <c r="AJ61" s="47">
        <f t="shared" ca="1" si="53"/>
        <v>3357.5384535677422</v>
      </c>
      <c r="AK61" s="47">
        <f ca="1">(AF91)</f>
        <v>183776.35</v>
      </c>
      <c r="AL61" s="47">
        <f t="shared" ca="1" si="54"/>
        <v>37674.151749999997</v>
      </c>
      <c r="AM61" s="47">
        <f t="shared" ca="1" si="55"/>
        <v>1837.7635</v>
      </c>
      <c r="AN61" s="47">
        <f t="shared" ca="1" si="56"/>
        <v>-9188.817500000001</v>
      </c>
      <c r="AO61" s="47">
        <f t="shared" ca="1" si="57"/>
        <v>214099.44774999999</v>
      </c>
      <c r="BD61" s="46">
        <v>59</v>
      </c>
      <c r="BE61" s="49">
        <v>29.5</v>
      </c>
      <c r="BF61" s="68" t="s">
        <v>0</v>
      </c>
    </row>
    <row r="62" spans="31:58" ht="39.950000000000003" hidden="1" customHeight="1" x14ac:dyDescent="0.25">
      <c r="AE62" s="65">
        <f ca="1">COUNTIF(H20,"Yok")*(0)
+COUNTIF(H20,"Askerlik Yardımı")*($AS$30/AZ92)
+COUNTIF(H20,"Cenaze Yardımı (Anne-Baba)")*($AS$31+$AS$31*0.00759)
+COUNTIF(H20,"Cenaze Yardımı (Eş-Çocuk)")*($AS$32+$AS$32*0.00759)
+COUNTIF(H20,"Cenaze Yardımı (İşçi-İş Kazası Sonucu)")*($AS$33+$AS$33*0.00759)
+COUNTIF(H20,"Cenaze Yardımı (İşçi-Tabii Sebepler Sonucu)")*($AS$34+$AS$34*0.00759)
+COUNTIF(H20,"Doğal Afet Yardımı")*($AS$35+$AS$35*0.00759)
+COUNTIF(H20,"Eğitim Yardımı (Çocuk-İlköğretim)")*($AS$36/AZ92)
+COUNTIF(H20,"Eğitim Yardımı (Çocuk-Ortaöğretim)")*($AS$37/AZ92)
+COUNTIF(H20,"Eğitim Yardımı (Çocuk-Lise)")*($AS$38/AZ92)
+COUNTIF(H20,"Eğitim Yardımı (Çocuk-Yükseköğretim)")*($AS$39/AZ92)
+COUNTIF(H20,"Eğitim Yardımı (İşçi-Lise)")*($AS$40/AZ92)
+COUNTIF(H20,"Eğitim Yardımı (İşçi-Yükseköğretim)")*($AS$41/AZ92)
+COUNTIF(H20,"Evlilik Yardımı")*($AS$42+$AS$42*0.00759)
+COUNTIF(H20,"Gıda Yardımı")*($AS$43/AZ92)
+COUNTIF(H20,"İş Kazası veya Meslek Hastalığı Tazminatı")*($AS$44+$AS$44*0.00759)
+COUNTIF(I20,"Yok")*(0)
+COUNTIF(I20,"Askerlik Yardımı")*($AS$30/AZ92)
+COUNTIF(I20,"Cenaze Yardımı (Anne-Baba)")*($AS$31+$AS$31*0.00759)
+COUNTIF(I20,"Cenaze Yardımı (Eş-Çocuk)")*($AS$32+$AS$32*0.00759)
+COUNTIF(I20,"Cenaze Yardımı (İşçi-İş Kazası Sonucu)")*($AS$33+$AS$33*0.00759)
+COUNTIF(I20,"Cenaze Yardımı (İşçi-Tabii Sebepler Sonucu)")*($AS$34+$AS$34*0.00759)
+COUNTIF(I20,"Doğal Afet Yardımı")*($AS$35+$AS$35*0.00759)
+COUNTIF(I20,"Eğitim Yardımı (Çocuk-İlköğretim)")*($AS$36/AZ92)
+COUNTIF(I20,"Eğitim Yardımı (Çocuk-Ortaöğretim)")*($AS$37/AZ92)
+COUNTIF(I20,"Eğitim Yardımı (Çocuk-Lise)")*($AS$38/AZ92)
+COUNTIF(I20,"Eğitim Yardımı (Çocuk-Yükseköğretim)")*($AS$39/AZ92)
+COUNTIF(I20,"Eğitim Yardımı (İşçi-Lise)")*($AS$40/AZ92)
+COUNTIF(I20,"Eğitim Yardımı (İşçi-Yükseköğretim)")*($AS$41/AZ92)
+COUNTIF(I20,"Evlilik Yardımı")*($AS$42+$AS$42*0.00759)
+COUNTIF(I20,"Gıda Yardımı")*($AS$43/AZ92)
+COUNTIF(I20,"İş Kazası veya Meslek Hastalığı Tazminatı")*($AS$44+$AS$44*0.00759)
+COUNTIF(J20,"Yok")*(0)
+COUNTIF(J20,"Askerlik Yardımı")*($AS$30/AZ92)
+COUNTIF(J20,"Cenaze Yardımı (Anne-Baba)")*($AS$31+$AS$31*0.00759)
+COUNTIF(J20,"Cenaze Yardımı (Eş-Çocuk)")*($AS$32+$AS$32*0.00759)
+COUNTIF(J20,"Cenaze Yardımı (İşçi-İş Kazası Sonucu)")*($AS$33+$AS$33*0.00759)
+COUNTIF(J20,"Cenaze Yardımı (İşçi-Tabii Sebepler Sonucu)")*($AS$34+$AS$34*0.00759)
+COUNTIF(J20,"Doğal Afet Yardımı")*($AS$35+$AS$35*0.00759)
+COUNTIF(J20,"Eğitim Yardımı (Çocuk-İlköğretim)")*($AS$36/AZ92)
+COUNTIF(J20,"Eğitim Yardımı (Çocuk-Ortaöğretim)")*($AS$37/AZ92)
+COUNTIF(J20,"Eğitim Yardımı (Çocuk-Lise)")*($AS$38/AZ92)
+COUNTIF(J20,"Eğitim Yardımı (Çocuk-Yükseköğretim)")*($AS$39/AZ92)
+COUNTIF(J20,"Eğitim Yardımı (İşçi-Lise)")*($AS$40/AZ92)
+COUNTIF(J20,"Eğitim Yardımı (İşçi-Yükseköğretim)")*($AS$41/AZ92)
+COUNTIF(J20,"Evlilik Yardımı")*($AS$42+$AS$42*0.00759)
+COUNTIF(J20,"Gıda Yardımı")*($AS$43/AZ92)
+COUNTIF(J20,"İş Kazası veya Meslek Hastalığı Tazminatı")*($AS$44+$AS$44*0.00759)</f>
        <v>0</v>
      </c>
      <c r="AF62" s="65">
        <f>COUNTIF(H20,"Yok")*(0)
+COUNTIF(H20,"Askerlik Yardımı")*(0)
+COUNTIF(H20,"Cenaze Yardımı (Anne-Baba)")*($AS$31+$AS$31*0.00759)
+COUNTIF(H20,"Cenaze Yardımı (Eş-Çocuk)")*($AS$32+$AS$32*0.00759)
+COUNTIF(H20,"Cenaze Yardımı (İşçi-İş Kazası Sonucu)")*($AS$33+$AS$33*0.00759)
+COUNTIF(H20,"Cenaze Yardımı (İşçi-Tabii Sebepler Sonucu)")*($AS$34+$AS$34*0.00759)
+COUNTIF(H20,"Doğal Afet Yardımı")*($AS$35+$AS$35*0.00759)
+COUNTIF(H20,"Eğitim Yardımı (Çocuk-İlköğretim)")*(0)
+COUNTIF(H20,"Eğitim Yardımı (Çocuk-Ortaöğretim)")*(0)
+COUNTIF(H20,"Eğitim Yardımı (Çocuk-Lise)")*(0)
+COUNTIF(H20,"Eğitim Yardımı (Çocuk-Yükseköğretim)")*(0)
+COUNTIF(H20,"Eğitim Yardımı (İşçi-Lise)")*(0)
+COUNTIF(H20,"Eğitim Yardımı (İşçi-Yükseköğretim)")*(0)
+COUNTIF(H20,"Evlilik Yardımı")*($AS$42+$AS$42*0.00759)
+COUNTIF(H20,"Gıda Yardımı")*(0)
+COUNTIF(H20,"İş Kazası veya Meslek Hastalığı Tazminatı")*($AS$44+$AS$44*0.00759)
+COUNTIF(I20,"Yok")*(0)
+COUNTIF(I20,"Askerlik Yardımı")*(0)
+COUNTIF(I20,"Cenaze Yardımı (Anne-Baba)")*($AS$31+$AS$31*0.00759)
+COUNTIF(I20,"Cenaze Yardımı (Eş-Çocuk)")*($AS$32+$AS$32*0.00759)
+COUNTIF(I20,"Cenaze Yardımı (İşçi-İş Kazası Sonucu)")*($AS$33+$AS$33*0.00759)
+COUNTIF(I20,"Cenaze Yardımı (İşçi-Tabii Sebepler Sonucu)")*($AS$34+$AS$34*0.00759)
+COUNTIF(I20,"Doğal Afet Yardımı")*($AS$35+$AS$35*0.00759)
+COUNTIF(I20,"Eğitim Yardımı (Çocuk-İlköğretim)")*(0)
+COUNTIF(I20,"Eğitim Yardımı (Çocuk-Ortaöğretim)")*(0)
+COUNTIF(I20,"Eğitim Yardımı (Çocuk-Lise)")*(0)
+COUNTIF(I20,"Eğitim Yardımı (Çocuk-Yükseköğretim)")*(0)
+COUNTIF(I20,"Eğitim Yardımı (İşçi-Lise)")*(0)
+COUNTIF(I20,"Eğitim Yardımı (İşçi-Yükseköğretim)")*(0)
+COUNTIF(I20,"Evlilik Yardımı")*($AS$42+$AS$42*0.00759)
+COUNTIF(I20,"Gıda Yardımı")*(0)
+COUNTIF(I20,"İş Kazası veya Meslek Hastalığı Tazminatı")*($AS$44+$AS$44*0.00759)
+COUNTIF(J20,"Yok")*(0)
+COUNTIF(J20,"Askerlik Yardımı")*(0)
+COUNTIF(J20,"Cenaze Yardımı (Anne-Baba)")*($AS$31+$AS$31*0.00759)
+COUNTIF(J20,"Cenaze Yardımı (Eş-Çocuk)")*($AS$32+$AS$32*0.00759)
+COUNTIF(J20,"Cenaze Yardımı (İşçi-İş Kazası Sonucu)")*($AS$33+$AS$33*0.00759)
+COUNTIF(J20,"Cenaze Yardımı (İşçi-Tabii Sebepler Sonucu)")*($AS$34+$AS$34*0.00759)
+COUNTIF(J20,"Doğal Afet Yardımı")*($AS$35+$AS$35*0.00759)
+COUNTIF(J20,"Eğitim Yardımı (Çocuk-İlköğretim)")*(0)
+COUNTIF(J20,"Eğitim Yardımı (Çocuk-Ortaöğretim)")*(0)
+COUNTIF(J20,"Eğitim Yardımı (Çocuk-Lise)")*(0)
+COUNTIF(J20,"Eğitim Yardımı (Çocuk-Yükseköğretim)")*(0)
+COUNTIF(J20,"Eğitim Yardımı (İşçi-Lise)")*(0)
+COUNTIF(J20,"Eğitim Yardımı (İşçi-Yükseköğretim)")*(0)
+COUNTIF(J20,"Evlilik Yardımı")*($AS$42+$AS$42*0.00759)
+COUNTIF(J20,"Gıda Yardımı")*(0)
+COUNTIF(J20,"İş Kazası veya Meslek Hastalığı Tazminatı")*($AS$44+$AS$44*0.00759)</f>
        <v>0</v>
      </c>
      <c r="AG62" s="65">
        <f>COUNTIF(H20,"Yok")*(0)
+COUNTIF(H20,"Askerlik Yardımı")*($AS$30)
+COUNTIF(H20,"Cenaze Yardımı (Anne-Baba)")*($AS$31)
+COUNTIF(H20,"Cenaze Yardımı (Eş-Çocuk)")*($AS$32)
+COUNTIF(H20,"Cenaze Yardımı (İşçi-İş Kazası Sonucu)")*($AS$33)
+COUNTIF(H20,"Cenaze Yardımı (İşçi-Tabii Sebepler Sonucu)")*($AS$34)
+COUNTIF(H20,"Doğal Afet Yardımı")*($AS$35)
+COUNTIF(H20,"Eğitim Yardımı (Çocuk-İlköğretim)")*($AS$36)
+COUNTIF(H20,"Eğitim Yardımı (Çocuk-Ortaöğretim)")*($AS$37)
+COUNTIF(H20,"Eğitim Yardımı (Çocuk-Lise)")*($AS$38)
+COUNTIF(H20,"Eğitim Yardımı (Çocuk-Yükseköğretim)")*($AS$39)
+COUNTIF(H20,"Eğitim Yardımı (İşçi-Lise)")*($AS$40)
+COUNTIF(H20,"Eğitim Yardımı (İşçi-Yükseköğretim)")*($AS$41)
+COUNTIF(H20,"Evlilik Yardımı")*($AS$42)
+COUNTIF(H20,"Gıda Yardımı")*($AS$43)
+COUNTIF(H20,"İş Kazası veya Meslek Hastalığı Tazminatı")*($AS$44)
+COUNTIF(I20,"Yok")*(0)
+COUNTIF(I20,"Askerlik Yardımı")*($AS$30)
+COUNTIF(I20,"Cenaze Yardımı (Anne-Baba)")*($AS$31)
+COUNTIF(I20,"Cenaze Yardımı (Eş-Çocuk)")*($AS$32)
+COUNTIF(I20,"Cenaze Yardımı (İşçi-İş Kazası Sonucu)")*($AS$33)
+COUNTIF(I20,"Cenaze Yardımı (İşçi-Tabii Sebepler Sonucu)")*($AS$34)
+COUNTIF(I20,"Doğal Afet Yardımı")*($AS$35)
+COUNTIF(I20,"Eğitim Yardımı (Çocuk-İlköğretim)")*($AS$36)
+COUNTIF(I20,"Eğitim Yardımı (Çocuk-Ortaöğretim)")*($AS$37)
+COUNTIF(I20,"Eğitim Yardımı (Çocuk-Lise)")*($AS$38)
+COUNTIF(I20,"Eğitim Yardımı (Çocuk-Yükseköğretim)")*($AS$39)
+COUNTIF(I20,"Eğitim Yardımı (İşçi-Lise)")*($AS$40)
+COUNTIF(I20,"Eğitim Yardımı (İşçi-Yükseköğretim)")*($AS$41)
+COUNTIF(I20,"Evlilik Yardımı")*($AS$42)
+COUNTIF(I20,"Gıda Yardımı")*($AS$43)
+COUNTIF(I20,"İş Kazası veya Meslek Hastalığı Tazminatı")*($AS$44)
+COUNTIF(J20,"Yok")*(0)
+COUNTIF(J20,"Askerlik Yardımı")*($AS$30)
+COUNTIF(J20,"Cenaze Yardımı (Anne-Baba)")*($AS$31)
+COUNTIF(J20,"Cenaze Yardımı (Eş-Çocuk)")*($AS$32)
+COUNTIF(J20,"Cenaze Yardımı (İşçi-İş Kazası Sonucu)")*($AS$33)
+COUNTIF(J20,"Cenaze Yardımı (İşçi-Tabii Sebepler Sonucu)")*($AS$34)
+COUNTIF(J20,"Doğal Afet Yardımı")*($AS$35)
+COUNTIF(J20,"Eğitim Yardımı (Çocuk-İlköğretim)")*($AS$36)
+COUNTIF(J20,"Eğitim Yardımı (Çocuk-Ortaöğretim)")*($AS$37)
+COUNTIF(J20,"Eğitim Yardımı (Çocuk-Lise)")*($AS$38)
+COUNTIF(J20,"Eğitim Yardımı (Çocuk-Yükseköğretim)")*($AS$39)
+COUNTIF(J20,"Eğitim Yardımı (İşçi-Lise)")*($AS$40)
+COUNTIF(J20,"Eğitim Yardımı (İşçi-Yükseköğretim)")*($AS$41)
+COUNTIF(J20,"Evlilik Yardımı")*($AS$42)
+COUNTIF(J20,"Gıda Yardımı")*($AS$43)
+COUNTIF(J20,"İş Kazası veya Meslek Hastalığı Tazminatı")*($AS$44)</f>
        <v>0</v>
      </c>
      <c r="AH62" s="69" t="s">
        <v>9</v>
      </c>
      <c r="AI62" s="47">
        <f ca="1">COUNTIF(AH62,"Var")*(AL20*0.9*-1)</f>
        <v>-3350.4935825999996</v>
      </c>
      <c r="AJ62" s="47">
        <f t="shared" ca="1" si="53"/>
        <v>3350.4935825999996</v>
      </c>
      <c r="AK62" s="47">
        <f ca="1">(AF92)</f>
        <v>291658.95</v>
      </c>
      <c r="AL62" s="47">
        <f t="shared" ca="1" si="54"/>
        <v>59790.084750000002</v>
      </c>
      <c r="AM62" s="47">
        <f t="shared" ca="1" si="55"/>
        <v>2916.5895</v>
      </c>
      <c r="AN62" s="47">
        <f t="shared" ca="1" si="56"/>
        <v>-14582.947500000002</v>
      </c>
      <c r="AO62" s="47">
        <f t="shared" ca="1" si="57"/>
        <v>339782.67674999998</v>
      </c>
      <c r="BD62" s="46">
        <v>60</v>
      </c>
      <c r="BE62" s="49">
        <v>30</v>
      </c>
      <c r="BF62" s="68" t="s">
        <v>0</v>
      </c>
    </row>
    <row r="63" spans="31:58" ht="39.950000000000003" hidden="1" customHeight="1" x14ac:dyDescent="0.25">
      <c r="AE63" s="65">
        <f ca="1">COUNTIF(H21,"Yok")*(0)
+COUNTIF(H21,"Askerlik Yardımı")*($AS$30/AZ93)
+COUNTIF(H21,"Cenaze Yardımı (Anne-Baba)")*($AS$31+$AS$31*0.00759)
+COUNTIF(H21,"Cenaze Yardımı (Eş-Çocuk)")*($AS$32+$AS$32*0.00759)
+COUNTIF(H21,"Cenaze Yardımı (İşçi-İş Kazası Sonucu)")*($AS$33+$AS$33*0.00759)
+COUNTIF(H21,"Cenaze Yardımı (İşçi-Tabii Sebepler Sonucu)")*($AS$34+$AS$34*0.00759)
+COUNTIF(H21,"Doğal Afet Yardımı")*($AS$35+$AS$35*0.00759)
+COUNTIF(H21,"Eğitim Yardımı (Çocuk-İlköğretim)")*($AS$36/AZ93)
+COUNTIF(H21,"Eğitim Yardımı (Çocuk-Ortaöğretim)")*($AS$37/AZ93)
+COUNTIF(H21,"Eğitim Yardımı (Çocuk-Lise)")*($AS$38/AZ93)
+COUNTIF(H21,"Eğitim Yardımı (Çocuk-Yükseköğretim)")*($AS$39/AZ93)
+COUNTIF(H21,"Eğitim Yardımı (İşçi-Lise)")*($AS$40/AZ93)
+COUNTIF(H21,"Eğitim Yardımı (İşçi-Yükseköğretim)")*($AS$41/AZ93)
+COUNTIF(H21,"Evlilik Yardımı")*($AS$42+$AS$42*0.00759)
+COUNTIF(H21,"Gıda Yardımı")*($AS$43/AZ93)
+COUNTIF(H21,"İş Kazası veya Meslek Hastalığı Tazminatı")*($AS$44+$AS$44*0.00759)
+COUNTIF(I21,"Yok")*(0)
+COUNTIF(I21,"Askerlik Yardımı")*($AS$30/AZ93)
+COUNTIF(I21,"Cenaze Yardımı (Anne-Baba)")*($AS$31+$AS$31*0.00759)
+COUNTIF(I21,"Cenaze Yardımı (Eş-Çocuk)")*($AS$32+$AS$32*0.00759)
+COUNTIF(I21,"Cenaze Yardımı (İşçi-İş Kazası Sonucu)")*($AS$33+$AS$33*0.00759)
+COUNTIF(I21,"Cenaze Yardımı (İşçi-Tabii Sebepler Sonucu)")*($AS$34+$AS$34*0.00759)
+COUNTIF(I21,"Doğal Afet Yardımı")*($AS$35+$AS$35*0.00759)
+COUNTIF(I21,"Eğitim Yardımı (Çocuk-İlköğretim)")*($AS$36/AZ93)
+COUNTIF(I21,"Eğitim Yardımı (Çocuk-Ortaöğretim)")*($AS$37/AZ93)
+COUNTIF(I21,"Eğitim Yardımı (Çocuk-Lise)")*($AS$38/AZ93)
+COUNTIF(I21,"Eğitim Yardımı (Çocuk-Yükseköğretim)")*($AS$39/AZ93)
+COUNTIF(I21,"Eğitim Yardımı (İşçi-Lise)")*($AS$40/AZ93)
+COUNTIF(I21,"Eğitim Yardımı (İşçi-Yükseköğretim)")*($AS$41/AZ93)
+COUNTIF(I21,"Evlilik Yardımı")*($AS$42+$AS$42*0.00759)
+COUNTIF(I21,"Gıda Yardımı")*($AS$43/AZ93)
+COUNTIF(I21,"İş Kazası veya Meslek Hastalığı Tazminatı")*($AS$44+$AS$44*0.00759)
+COUNTIF(J21,"Yok")*(0)
+COUNTIF(J21,"Askerlik Yardımı")*($AS$30/AZ93)
+COUNTIF(J21,"Cenaze Yardımı (Anne-Baba)")*($AS$31+$AS$31*0.00759)
+COUNTIF(J21,"Cenaze Yardımı (Eş-Çocuk)")*($AS$32+$AS$32*0.00759)
+COUNTIF(J21,"Cenaze Yardımı (İşçi-İş Kazası Sonucu)")*($AS$33+$AS$33*0.00759)
+COUNTIF(J21,"Cenaze Yardımı (İşçi-Tabii Sebepler Sonucu)")*($AS$34+$AS$34*0.00759)
+COUNTIF(J21,"Doğal Afet Yardımı")*($AS$35+$AS$35*0.00759)
+COUNTIF(J21,"Eğitim Yardımı (Çocuk-İlköğretim)")*($AS$36/AZ93)
+COUNTIF(J21,"Eğitim Yardımı (Çocuk-Ortaöğretim)")*($AS$37/AZ93)
+COUNTIF(J21,"Eğitim Yardımı (Çocuk-Lise)")*($AS$38/AZ93)
+COUNTIF(J21,"Eğitim Yardımı (Çocuk-Yükseköğretim)")*($AS$39/AZ93)
+COUNTIF(J21,"Eğitim Yardımı (İşçi-Lise)")*($AS$40/AZ93)
+COUNTIF(J21,"Eğitim Yardımı (İşçi-Yükseköğretim)")*($AS$41/AZ93)
+COUNTIF(J21,"Evlilik Yardımı")*($AS$42+$AS$42*0.00759)
+COUNTIF(J21,"Gıda Yardımı")*($AS$43/AZ93)
+COUNTIF(J21,"İş Kazası veya Meslek Hastalığı Tazminatı")*($AS$44+$AS$44*0.00759)</f>
        <v>0</v>
      </c>
      <c r="AF63" s="65">
        <f>COUNTIF(H21,"Yok")*(0)
+COUNTIF(H21,"Askerlik Yardımı")*(0)
+COUNTIF(H21,"Cenaze Yardımı (Anne-Baba)")*($AS$31+$AS$31*0.00759)
+COUNTIF(H21,"Cenaze Yardımı (Eş-Çocuk)")*($AS$32+$AS$32*0.00759)
+COUNTIF(H21,"Cenaze Yardımı (İşçi-İş Kazası Sonucu)")*($AS$33+$AS$33*0.00759)
+COUNTIF(H21,"Cenaze Yardımı (İşçi-Tabii Sebepler Sonucu)")*($AS$34+$AS$34*0.00759)
+COUNTIF(H21,"Doğal Afet Yardımı")*($AS$35+$AS$35*0.00759)
+COUNTIF(H21,"Eğitim Yardımı (Çocuk-İlköğretim)")*(0)
+COUNTIF(H21,"Eğitim Yardımı (Çocuk-Ortaöğretim)")*(0)
+COUNTIF(H21,"Eğitim Yardımı (Çocuk-Lise)")*(0)
+COUNTIF(H21,"Eğitim Yardımı (Çocuk-Yükseköğretim)")*(0)
+COUNTIF(H21,"Eğitim Yardımı (İşçi-Lise)")*(0)
+COUNTIF(H21,"Eğitim Yardımı (İşçi-Yükseköğretim)")*(0)
+COUNTIF(H21,"Evlilik Yardımı")*($AS$42+$AS$42*0.00759)
+COUNTIF(H21,"Gıda Yardımı")*(0)
+COUNTIF(H21,"İş Kazası veya Meslek Hastalığı Tazminatı")*($AS$44+$AS$44*0.00759)
+COUNTIF(I21,"Yok")*(0)
+COUNTIF(I21,"Askerlik Yardımı")*(0)
+COUNTIF(I21,"Cenaze Yardımı (Anne-Baba)")*($AS$31+$AS$31*0.00759)
+COUNTIF(I21,"Cenaze Yardımı (Eş-Çocuk)")*($AS$32+$AS$32*0.00759)
+COUNTIF(I21,"Cenaze Yardımı (İşçi-İş Kazası Sonucu)")*($AS$33+$AS$33*0.00759)
+COUNTIF(I21,"Cenaze Yardımı (İşçi-Tabii Sebepler Sonucu)")*($AS$34+$AS$34*0.00759)
+COUNTIF(I21,"Doğal Afet Yardımı")*($AS$35+$AS$35*0.00759)
+COUNTIF(I21,"Eğitim Yardımı (Çocuk-İlköğretim)")*(0)
+COUNTIF(I21,"Eğitim Yardımı (Çocuk-Ortaöğretim)")*(0)
+COUNTIF(I21,"Eğitim Yardımı (Çocuk-Lise)")*(0)
+COUNTIF(I21,"Eğitim Yardımı (Çocuk-Yükseköğretim)")*(0)
+COUNTIF(I21,"Eğitim Yardımı (İşçi-Lise)")*(0)
+COUNTIF(I21,"Eğitim Yardımı (İşçi-Yükseköğretim)")*(0)
+COUNTIF(I21,"Evlilik Yardımı")*($AS$42+$AS$42*0.00759)
+COUNTIF(I21,"Gıda Yardımı")*(0)
+COUNTIF(I21,"İş Kazası veya Meslek Hastalığı Tazminatı")*($AS$44+$AS$44*0.00759)
+COUNTIF(J21,"Yok")*(0)
+COUNTIF(J21,"Askerlik Yardımı")*(0)
+COUNTIF(J21,"Cenaze Yardımı (Anne-Baba)")*($AS$31+$AS$31*0.00759)
+COUNTIF(J21,"Cenaze Yardımı (Eş-Çocuk)")*($AS$32+$AS$32*0.00759)
+COUNTIF(J21,"Cenaze Yardımı (İşçi-İş Kazası Sonucu)")*($AS$33+$AS$33*0.00759)
+COUNTIF(J21,"Cenaze Yardımı (İşçi-Tabii Sebepler Sonucu)")*($AS$34+$AS$34*0.00759)
+COUNTIF(J21,"Doğal Afet Yardımı")*($AS$35+$AS$35*0.00759)
+COUNTIF(J21,"Eğitim Yardımı (Çocuk-İlköğretim)")*(0)
+COUNTIF(J21,"Eğitim Yardımı (Çocuk-Ortaöğretim)")*(0)
+COUNTIF(J21,"Eğitim Yardımı (Çocuk-Lise)")*(0)
+COUNTIF(J21,"Eğitim Yardımı (Çocuk-Yükseköğretim)")*(0)
+COUNTIF(J21,"Eğitim Yardımı (İşçi-Lise)")*(0)
+COUNTIF(J21,"Eğitim Yardımı (İşçi-Yükseköğretim)")*(0)
+COUNTIF(J21,"Evlilik Yardımı")*($AS$42+$AS$42*0.00759)
+COUNTIF(J21,"Gıda Yardımı")*(0)
+COUNTIF(J21,"İş Kazası veya Meslek Hastalığı Tazminatı")*($AS$44+$AS$44*0.00759)</f>
        <v>0</v>
      </c>
      <c r="AG63" s="65">
        <f>COUNTIF(H21,"Yok")*(0)
+COUNTIF(H21,"Askerlik Yardımı")*($AS$30)
+COUNTIF(H21,"Cenaze Yardımı (Anne-Baba)")*($AS$31)
+COUNTIF(H21,"Cenaze Yardımı (Eş-Çocuk)")*($AS$32)
+COUNTIF(H21,"Cenaze Yardımı (İşçi-İş Kazası Sonucu)")*($AS$33)
+COUNTIF(H21,"Cenaze Yardımı (İşçi-Tabii Sebepler Sonucu)")*($AS$34)
+COUNTIF(H21,"Doğal Afet Yardımı")*($AS$35)
+COUNTIF(H21,"Eğitim Yardımı (Çocuk-İlköğretim)")*($AS$36)
+COUNTIF(H21,"Eğitim Yardımı (Çocuk-Ortaöğretim)")*($AS$37)
+COUNTIF(H21,"Eğitim Yardımı (Çocuk-Lise)")*($AS$38)
+COUNTIF(H21,"Eğitim Yardımı (Çocuk-Yükseköğretim)")*($AS$39)
+COUNTIF(H21,"Eğitim Yardımı (İşçi-Lise)")*($AS$40)
+COUNTIF(H21,"Eğitim Yardımı (İşçi-Yükseköğretim)")*($AS$41)
+COUNTIF(H21,"Evlilik Yardımı")*($AS$42)
+COUNTIF(H21,"Gıda Yardımı")*($AS$43)
+COUNTIF(H21,"İş Kazası veya Meslek Hastalığı Tazminatı")*($AS$44)
+COUNTIF(I21,"Yok")*(0)
+COUNTIF(I21,"Askerlik Yardımı")*($AS$30)
+COUNTIF(I21,"Cenaze Yardımı (Anne-Baba)")*($AS$31)
+COUNTIF(I21,"Cenaze Yardımı (Eş-Çocuk)")*($AS$32)
+COUNTIF(I21,"Cenaze Yardımı (İşçi-İş Kazası Sonucu)")*($AS$33)
+COUNTIF(I21,"Cenaze Yardımı (İşçi-Tabii Sebepler Sonucu)")*($AS$34)
+COUNTIF(I21,"Doğal Afet Yardımı")*($AS$35)
+COUNTIF(I21,"Eğitim Yardımı (Çocuk-İlköğretim)")*($AS$36)
+COUNTIF(I21,"Eğitim Yardımı (Çocuk-Ortaöğretim)")*($AS$37)
+COUNTIF(I21,"Eğitim Yardımı (Çocuk-Lise)")*($AS$38)
+COUNTIF(I21,"Eğitim Yardımı (Çocuk-Yükseköğretim)")*($AS$39)
+COUNTIF(I21,"Eğitim Yardımı (İşçi-Lise)")*($AS$40)
+COUNTIF(I21,"Eğitim Yardımı (İşçi-Yükseköğretim)")*($AS$41)
+COUNTIF(I21,"Evlilik Yardımı")*($AS$42)
+COUNTIF(I21,"Gıda Yardımı")*($AS$43)
+COUNTIF(I21,"İş Kazası veya Meslek Hastalığı Tazminatı")*($AS$44)
+COUNTIF(J21,"Yok")*(0)
+COUNTIF(J21,"Askerlik Yardımı")*($AS$30)
+COUNTIF(J21,"Cenaze Yardımı (Anne-Baba)")*($AS$31)
+COUNTIF(J21,"Cenaze Yardımı (Eş-Çocuk)")*($AS$32)
+COUNTIF(J21,"Cenaze Yardımı (İşçi-İş Kazası Sonucu)")*($AS$33)
+COUNTIF(J21,"Cenaze Yardımı (İşçi-Tabii Sebepler Sonucu)")*($AS$34)
+COUNTIF(J21,"Doğal Afet Yardımı")*($AS$35)
+COUNTIF(J21,"Eğitim Yardımı (Çocuk-İlköğretim)")*($AS$36)
+COUNTIF(J21,"Eğitim Yardımı (Çocuk-Ortaöğretim)")*($AS$37)
+COUNTIF(J21,"Eğitim Yardımı (Çocuk-Lise)")*($AS$38)
+COUNTIF(J21,"Eğitim Yardımı (Çocuk-Yükseköğretim)")*($AS$39)
+COUNTIF(J21,"Eğitim Yardımı (İşçi-Lise)")*($AS$40)
+COUNTIF(J21,"Eğitim Yardımı (İşçi-Yükseköğretim)")*($AS$41)
+COUNTIF(J21,"Evlilik Yardımı")*($AS$42)
+COUNTIF(J21,"Gıda Yardımı")*($AS$43)
+COUNTIF(J21,"İş Kazası veya Meslek Hastalığı Tazminatı")*($AS$44)</f>
        <v>0</v>
      </c>
      <c r="AH63" s="69" t="s">
        <v>9</v>
      </c>
      <c r="AI63" s="47">
        <f ca="1">COUNTIF(AH63,"Var")*(AL21*0.9*-1)</f>
        <v>-3342.0767438903226</v>
      </c>
      <c r="AJ63" s="47">
        <f t="shared" ca="1" si="53"/>
        <v>3342.0767438903226</v>
      </c>
      <c r="AK63" s="47">
        <f ca="1">(AF93)</f>
        <v>183243.8</v>
      </c>
      <c r="AL63" s="47">
        <f t="shared" ca="1" si="54"/>
        <v>37564.978999999992</v>
      </c>
      <c r="AM63" s="47">
        <f t="shared" ca="1" si="55"/>
        <v>1832.4379999999999</v>
      </c>
      <c r="AN63" s="47">
        <f t="shared" ca="1" si="56"/>
        <v>-9162.19</v>
      </c>
      <c r="AO63" s="47">
        <f t="shared" ca="1" si="57"/>
        <v>213479.02699999997</v>
      </c>
      <c r="BD63" s="46">
        <v>61</v>
      </c>
      <c r="BE63" s="49">
        <v>30.5</v>
      </c>
      <c r="BF63" s="68" t="s">
        <v>0</v>
      </c>
    </row>
    <row r="64" spans="31:58" ht="39.950000000000003" hidden="1" customHeight="1" x14ac:dyDescent="0.25">
      <c r="AE64" s="65">
        <f ca="1">COUNTIF(H22,"Yok")*(0)
+COUNTIF(H22,"Askerlik Yardımı")*($AS$30/AZ94)
+COUNTIF(H22,"Cenaze Yardımı (Anne-Baba)")*($AS$31+$AS$31*0.00759)
+COUNTIF(H22,"Cenaze Yardımı (Eş-Çocuk)")*($AS$32+$AS$32*0.00759)
+COUNTIF(H22,"Cenaze Yardımı (İşçi-İş Kazası Sonucu)")*($AS$33+$AS$33*0.00759)
+COUNTIF(H22,"Cenaze Yardımı (İşçi-Tabii Sebepler Sonucu)")*($AS$34+$AS$34*0.00759)
+COUNTIF(H22,"Doğal Afet Yardımı")*($AS$35+$AS$35*0.00759)
+COUNTIF(H22,"Eğitim Yardımı (Çocuk-İlköğretim)")*($AS$36/AZ94)
+COUNTIF(H22,"Eğitim Yardımı (Çocuk-Ortaöğretim)")*($AS$37/AZ94)
+COUNTIF(H22,"Eğitim Yardımı (Çocuk-Lise)")*($AS$38/AZ94)
+COUNTIF(H22,"Eğitim Yardımı (Çocuk-Yükseköğretim)")*($AS$39/AZ94)
+COUNTIF(H22,"Eğitim Yardımı (İşçi-Lise)")*($AS$40/AZ94)
+COUNTIF(H22,"Eğitim Yardımı (İşçi-Yükseköğretim)")*($AS$41/AZ94)
+COUNTIF(H22,"Evlilik Yardımı")*($AS$42+$AS$42*0.00759)
+COUNTIF(H22,"Gıda Yardımı")*($AS$43/AZ94)
+COUNTIF(H22,"İş Kazası veya Meslek Hastalığı Tazminatı")*($AS$44+$AS$44*0.00759)
+COUNTIF(I22,"Yok")*(0)
+COUNTIF(I22,"Askerlik Yardımı")*($AS$30/AZ94)
+COUNTIF(I22,"Cenaze Yardımı (Anne-Baba)")*($AS$31+$AS$31*0.00759)
+COUNTIF(I22,"Cenaze Yardımı (Eş-Çocuk)")*($AS$32+$AS$32*0.00759)
+COUNTIF(I22,"Cenaze Yardımı (İşçi-İş Kazası Sonucu)")*($AS$33+$AS$33*0.00759)
+COUNTIF(I22,"Cenaze Yardımı (İşçi-Tabii Sebepler Sonucu)")*($AS$34+$AS$34*0.00759)
+COUNTIF(I22,"Doğal Afet Yardımı")*($AS$35+$AS$35*0.00759)
+COUNTIF(I22,"Eğitim Yardımı (Çocuk-İlköğretim)")*($AS$36/AZ94)
+COUNTIF(I22,"Eğitim Yardımı (Çocuk-Ortaöğretim)")*($AS$37/AZ94)
+COUNTIF(I22,"Eğitim Yardımı (Çocuk-Lise)")*($AS$38/AZ94)
+COUNTIF(I22,"Eğitim Yardımı (Çocuk-Yükseköğretim)")*($AS$39/AZ94)
+COUNTIF(I22,"Eğitim Yardımı (İşçi-Lise)")*($AS$40/AZ94)
+COUNTIF(I22,"Eğitim Yardımı (İşçi-Yükseköğretim)")*($AS$41/AZ94)
+COUNTIF(I22,"Evlilik Yardımı")*($AS$42+$AS$42*0.00759)
+COUNTIF(I22,"Gıda Yardımı")*($AS$43/AZ94)
+COUNTIF(I22,"İş Kazası veya Meslek Hastalığı Tazminatı")*($AS$44+$AS$44*0.00759)
+COUNTIF(J22,"Yok")*(0)
+COUNTIF(J22,"Askerlik Yardımı")*($AS$30/AZ94)
+COUNTIF(J22,"Cenaze Yardımı (Anne-Baba)")*($AS$31+$AS$31*0.00759)
+COUNTIF(J22,"Cenaze Yardımı (Eş-Çocuk)")*($AS$32+$AS$32*0.00759)
+COUNTIF(J22,"Cenaze Yardımı (İşçi-İş Kazası Sonucu)")*($AS$33+$AS$33*0.00759)
+COUNTIF(J22,"Cenaze Yardımı (İşçi-Tabii Sebepler Sonucu)")*($AS$34+$AS$34*0.00759)
+COUNTIF(J22,"Doğal Afet Yardımı")*($AS$35+$AS$35*0.00759)
+COUNTIF(J22,"Eğitim Yardımı (Çocuk-İlköğretim)")*($AS$36/AZ94)
+COUNTIF(J22,"Eğitim Yardımı (Çocuk-Ortaöğretim)")*($AS$37/AZ94)
+COUNTIF(J22,"Eğitim Yardımı (Çocuk-Lise)")*($AS$38/AZ94)
+COUNTIF(J22,"Eğitim Yardımı (Çocuk-Yükseköğretim)")*($AS$39/AZ94)
+COUNTIF(J22,"Eğitim Yardımı (İşçi-Lise)")*($AS$40/AZ94)
+COUNTIF(J22,"Eğitim Yardımı (İşçi-Yükseköğretim)")*($AS$41/AZ94)
+COUNTIF(J22,"Evlilik Yardımı")*($AS$42+$AS$42*0.00759)
+COUNTIF(J22,"Gıda Yardımı")*($AS$43/AZ94)
+COUNTIF(J22,"İş Kazası veya Meslek Hastalığı Tazminatı")*($AS$44+$AS$44*0.00759)</f>
        <v>0</v>
      </c>
      <c r="AF64" s="65">
        <f>COUNTIF(H22,"Yok")*(0)
+COUNTIF(H22,"Askerlik Yardımı")*(0)
+COUNTIF(H22,"Cenaze Yardımı (Anne-Baba)")*($AS$31+$AS$31*0.00759)
+COUNTIF(H22,"Cenaze Yardımı (Eş-Çocuk)")*($AS$32+$AS$32*0.00759)
+COUNTIF(H22,"Cenaze Yardımı (İşçi-İş Kazası Sonucu)")*($AS$33+$AS$33*0.00759)
+COUNTIF(H22,"Cenaze Yardımı (İşçi-Tabii Sebepler Sonucu)")*($AS$34+$AS$34*0.00759)
+COUNTIF(H22,"Doğal Afet Yardımı")*($AS$35+$AS$35*0.00759)
+COUNTIF(H22,"Eğitim Yardımı (Çocuk-İlköğretim)")*(0)
+COUNTIF(H22,"Eğitim Yardımı (Çocuk-Ortaöğretim)")*(0)
+COUNTIF(H22,"Eğitim Yardımı (Çocuk-Lise)")*(0)
+COUNTIF(H22,"Eğitim Yardımı (Çocuk-Yükseköğretim)")*(0)
+COUNTIF(H22,"Eğitim Yardımı (İşçi-Lise)")*(0)
+COUNTIF(H22,"Eğitim Yardımı (İşçi-Yükseköğretim)")*(0)
+COUNTIF(H22,"Evlilik Yardımı")*($AS$42+$AS$42*0.00759)
+COUNTIF(H22,"Gıda Yardımı")*(0)
+COUNTIF(H22,"İş Kazası veya Meslek Hastalığı Tazminatı")*($AS$44+$AS$44*0.00759)
+COUNTIF(I22,"Yok")*(0)
+COUNTIF(I22,"Askerlik Yardımı")*(0)
+COUNTIF(I22,"Cenaze Yardımı (Anne-Baba)")*($AS$31+$AS$31*0.00759)
+COUNTIF(I22,"Cenaze Yardımı (Eş-Çocuk)")*($AS$32+$AS$32*0.00759)
+COUNTIF(I22,"Cenaze Yardımı (İşçi-İş Kazası Sonucu)")*($AS$33+$AS$33*0.00759)
+COUNTIF(I22,"Cenaze Yardımı (İşçi-Tabii Sebepler Sonucu)")*($AS$34+$AS$34*0.00759)
+COUNTIF(I22,"Doğal Afet Yardımı")*($AS$35+$AS$35*0.00759)
+COUNTIF(I22,"Eğitim Yardımı (Çocuk-İlköğretim)")*(0)
+COUNTIF(I22,"Eğitim Yardımı (Çocuk-Ortaöğretim)")*(0)
+COUNTIF(I22,"Eğitim Yardımı (Çocuk-Lise)")*(0)
+COUNTIF(I22,"Eğitim Yardımı (Çocuk-Yükseköğretim)")*(0)
+COUNTIF(I22,"Eğitim Yardımı (İşçi-Lise)")*(0)
+COUNTIF(I22,"Eğitim Yardımı (İşçi-Yükseköğretim)")*(0)
+COUNTIF(I22,"Evlilik Yardımı")*($AS$42+$AS$42*0.00759)
+COUNTIF(I22,"Gıda Yardımı")*(0)
+COUNTIF(I22,"İş Kazası veya Meslek Hastalığı Tazminatı")*($AS$44+$AS$44*0.00759)
+COUNTIF(J22,"Yok")*(0)
+COUNTIF(J22,"Askerlik Yardımı")*(0)
+COUNTIF(J22,"Cenaze Yardımı (Anne-Baba)")*($AS$31+$AS$31*0.00759)
+COUNTIF(J22,"Cenaze Yardımı (Eş-Çocuk)")*($AS$32+$AS$32*0.00759)
+COUNTIF(J22,"Cenaze Yardımı (İşçi-İş Kazası Sonucu)")*($AS$33+$AS$33*0.00759)
+COUNTIF(J22,"Cenaze Yardımı (İşçi-Tabii Sebepler Sonucu)")*($AS$34+$AS$34*0.00759)
+COUNTIF(J22,"Doğal Afet Yardımı")*($AS$35+$AS$35*0.00759)
+COUNTIF(J22,"Eğitim Yardımı (Çocuk-İlköğretim)")*(0)
+COUNTIF(J22,"Eğitim Yardımı (Çocuk-Ortaöğretim)")*(0)
+COUNTIF(J22,"Eğitim Yardımı (Çocuk-Lise)")*(0)
+COUNTIF(J22,"Eğitim Yardımı (Çocuk-Yükseköğretim)")*(0)
+COUNTIF(J22,"Eğitim Yardımı (İşçi-Lise)")*(0)
+COUNTIF(J22,"Eğitim Yardımı (İşçi-Yükseköğretim)")*(0)
+COUNTIF(J22,"Evlilik Yardımı")*($AS$42+$AS$42*0.00759)
+COUNTIF(J22,"Gıda Yardımı")*(0)
+COUNTIF(J22,"İş Kazası veya Meslek Hastalığı Tazminatı")*($AS$44+$AS$44*0.00759)</f>
        <v>0</v>
      </c>
      <c r="AG64" s="65">
        <f>COUNTIF(H22,"Yok")*(0)
+COUNTIF(H22,"Askerlik Yardımı")*($AS$30)
+COUNTIF(H22,"Cenaze Yardımı (Anne-Baba)")*($AS$31)
+COUNTIF(H22,"Cenaze Yardımı (Eş-Çocuk)")*($AS$32)
+COUNTIF(H22,"Cenaze Yardımı (İşçi-İş Kazası Sonucu)")*($AS$33)
+COUNTIF(H22,"Cenaze Yardımı (İşçi-Tabii Sebepler Sonucu)")*($AS$34)
+COUNTIF(H22,"Doğal Afet Yardımı")*($AS$35)
+COUNTIF(H22,"Eğitim Yardımı (Çocuk-İlköğretim)")*($AS$36)
+COUNTIF(H22,"Eğitim Yardımı (Çocuk-Ortaöğretim)")*($AS$37)
+COUNTIF(H22,"Eğitim Yardımı (Çocuk-Lise)")*($AS$38)
+COUNTIF(H22,"Eğitim Yardımı (Çocuk-Yükseköğretim)")*($AS$39)
+COUNTIF(H22,"Eğitim Yardımı (İşçi-Lise)")*($AS$40)
+COUNTIF(H22,"Eğitim Yardımı (İşçi-Yükseköğretim)")*($AS$41)
+COUNTIF(H22,"Evlilik Yardımı")*($AS$42)
+COUNTIF(H22,"Gıda Yardımı")*($AS$43)
+COUNTIF(H22,"İş Kazası veya Meslek Hastalığı Tazminatı")*($AS$44)
+COUNTIF(I22,"Yok")*(0)
+COUNTIF(I22,"Askerlik Yardımı")*($AS$30)
+COUNTIF(I22,"Cenaze Yardımı (Anne-Baba)")*($AS$31)
+COUNTIF(I22,"Cenaze Yardımı (Eş-Çocuk)")*($AS$32)
+COUNTIF(I22,"Cenaze Yardımı (İşçi-İş Kazası Sonucu)")*($AS$33)
+COUNTIF(I22,"Cenaze Yardımı (İşçi-Tabii Sebepler Sonucu)")*($AS$34)
+COUNTIF(I22,"Doğal Afet Yardımı")*($AS$35)
+COUNTIF(I22,"Eğitim Yardımı (Çocuk-İlköğretim)")*($AS$36)
+COUNTIF(I22,"Eğitim Yardımı (Çocuk-Ortaöğretim)")*($AS$37)
+COUNTIF(I22,"Eğitim Yardımı (Çocuk-Lise)")*($AS$38)
+COUNTIF(I22,"Eğitim Yardımı (Çocuk-Yükseköğretim)")*($AS$39)
+COUNTIF(I22,"Eğitim Yardımı (İşçi-Lise)")*($AS$40)
+COUNTIF(I22,"Eğitim Yardımı (İşçi-Yükseköğretim)")*($AS$41)
+COUNTIF(I22,"Evlilik Yardımı")*($AS$42)
+COUNTIF(I22,"Gıda Yardımı")*($AS$43)
+COUNTIF(I22,"İş Kazası veya Meslek Hastalığı Tazminatı")*($AS$44)
+COUNTIF(J22,"Yok")*(0)
+COUNTIF(J22,"Askerlik Yardımı")*($AS$30)
+COUNTIF(J22,"Cenaze Yardımı (Anne-Baba)")*($AS$31)
+COUNTIF(J22,"Cenaze Yardımı (Eş-Çocuk)")*($AS$32)
+COUNTIF(J22,"Cenaze Yardımı (İşçi-İş Kazası Sonucu)")*($AS$33)
+COUNTIF(J22,"Cenaze Yardımı (İşçi-Tabii Sebepler Sonucu)")*($AS$34)
+COUNTIF(J22,"Doğal Afet Yardımı")*($AS$35)
+COUNTIF(J22,"Eğitim Yardımı (Çocuk-İlköğretim)")*($AS$36)
+COUNTIF(J22,"Eğitim Yardımı (Çocuk-Ortaöğretim)")*($AS$37)
+COUNTIF(J22,"Eğitim Yardımı (Çocuk-Lise)")*($AS$38)
+COUNTIF(J22,"Eğitim Yardımı (Çocuk-Yükseköğretim)")*($AS$39)
+COUNTIF(J22,"Eğitim Yardımı (İşçi-Lise)")*($AS$40)
+COUNTIF(J22,"Eğitim Yardımı (İşçi-Yükseköğretim)")*($AS$41)
+COUNTIF(J22,"Evlilik Yardımı")*($AS$42)
+COUNTIF(J22,"Gıda Yardımı")*($AS$43)
+COUNTIF(J22,"İş Kazası veya Meslek Hastalığı Tazminatı")*($AS$44)</f>
        <v>0</v>
      </c>
      <c r="AH64" s="69" t="s">
        <v>9</v>
      </c>
      <c r="AI64" s="47">
        <f ca="1">COUNTIF(AH64,"Var")*(AL22*0.9*-1)</f>
        <v>-3291.044711632258</v>
      </c>
      <c r="AJ64" s="47">
        <f t="shared" ca="1" si="53"/>
        <v>3291.044711632258</v>
      </c>
      <c r="AK64" s="47">
        <f ca="1">(AF94)</f>
        <v>181486.04</v>
      </c>
      <c r="AL64" s="47">
        <f t="shared" ca="1" si="54"/>
        <v>37204.638200000001</v>
      </c>
      <c r="AM64" s="47">
        <f t="shared" ca="1" si="55"/>
        <v>1814.8604</v>
      </c>
      <c r="AN64" s="47">
        <f t="shared" ca="1" si="56"/>
        <v>-9074.3020000000015</v>
      </c>
      <c r="AO64" s="47">
        <f t="shared" ca="1" si="57"/>
        <v>211431.23660000003</v>
      </c>
      <c r="BD64" s="46">
        <v>62</v>
      </c>
      <c r="BE64" s="49">
        <v>31</v>
      </c>
      <c r="BF64" s="68" t="s">
        <v>0</v>
      </c>
    </row>
    <row r="65" spans="31:58" ht="39.950000000000003" hidden="1" customHeight="1" x14ac:dyDescent="0.25">
      <c r="AE65" s="65">
        <f ca="1">COUNTIF(H23,"Yok")*(0)
+COUNTIF(H23,"Askerlik Yardımı")*($AS$30/AZ95)
+COUNTIF(H23,"Cenaze Yardımı (Anne-Baba)")*($AS$31+$AS$31*0.00759)
+COUNTIF(H23,"Cenaze Yardımı (Eş-Çocuk)")*($AS$32+$AS$32*0.00759)
+COUNTIF(H23,"Cenaze Yardımı (İşçi-İş Kazası Sonucu)")*($AS$33+$AS$33*0.00759)
+COUNTIF(H23,"Cenaze Yardımı (İşçi-Tabii Sebepler Sonucu)")*($AS$34+$AS$34*0.00759)
+COUNTIF(H23,"Doğal Afet Yardımı")*($AS$35+$AS$35*0.00759)
+COUNTIF(H23,"Eğitim Yardımı (Çocuk-İlköğretim)")*($AS$36/AZ95)
+COUNTIF(H23,"Eğitim Yardımı (Çocuk-Ortaöğretim)")*($AS$37/AZ95)
+COUNTIF(H23,"Eğitim Yardımı (Çocuk-Lise)")*($AS$38/AZ95)
+COUNTIF(H23,"Eğitim Yardımı (Çocuk-Yükseköğretim)")*($AS$39/AZ95)
+COUNTIF(H23,"Eğitim Yardımı (İşçi-Lise)")*($AS$40/AZ95)
+COUNTIF(H23,"Eğitim Yardımı (İşçi-Yükseköğretim)")*($AS$41/AZ95)
+COUNTIF(H23,"Evlilik Yardımı")*($AS$42+$AS$42*0.00759)
+COUNTIF(H23,"Gıda Yardımı")*($AS$43/AZ95)
+COUNTIF(H23,"İş Kazası veya Meslek Hastalığı Tazminatı")*($AS$44+$AS$44*0.00759)
+COUNTIF(I23,"Yok")*(0)
+COUNTIF(I23,"Askerlik Yardımı")*($AS$30/AZ95)
+COUNTIF(I23,"Cenaze Yardımı (Anne-Baba)")*($AS$31+$AS$31*0.00759)
+COUNTIF(I23,"Cenaze Yardımı (Eş-Çocuk)")*($AS$32+$AS$32*0.00759)
+COUNTIF(I23,"Cenaze Yardımı (İşçi-İş Kazası Sonucu)")*($AS$33+$AS$33*0.00759)
+COUNTIF(I23,"Cenaze Yardımı (İşçi-Tabii Sebepler Sonucu)")*($AS$34+$AS$34*0.00759)
+COUNTIF(I23,"Doğal Afet Yardımı")*($AS$35+$AS$35*0.00759)
+COUNTIF(I23,"Eğitim Yardımı (Çocuk-İlköğretim)")*($AS$36/AZ95)
+COUNTIF(I23,"Eğitim Yardımı (Çocuk-Ortaöğretim)")*($AS$37/AZ95)
+COUNTIF(I23,"Eğitim Yardımı (Çocuk-Lise)")*($AS$38/AZ95)
+COUNTIF(I23,"Eğitim Yardımı (Çocuk-Yükseköğretim)")*($AS$39/AZ95)
+COUNTIF(I23,"Eğitim Yardımı (İşçi-Lise)")*($AS$40/AZ95)
+COUNTIF(I23,"Eğitim Yardımı (İşçi-Yükseköğretim)")*($AS$41/AZ95)
+COUNTIF(I23,"Evlilik Yardımı")*($AS$42+$AS$42*0.00759)
+COUNTIF(I23,"Gıda Yardımı")*($AS$43/AZ95)
+COUNTIF(I23,"İş Kazası veya Meslek Hastalığı Tazminatı")*($AS$44+$AS$44*0.00759)
+COUNTIF(J23,"Yok")*(0)
+COUNTIF(J23,"Askerlik Yardımı")*($AS$30/AZ95)
+COUNTIF(J23,"Cenaze Yardımı (Anne-Baba)")*($AS$31+$AS$31*0.00759)
+COUNTIF(J23,"Cenaze Yardımı (Eş-Çocuk)")*($AS$32+$AS$32*0.00759)
+COUNTIF(J23,"Cenaze Yardımı (İşçi-İş Kazası Sonucu)")*($AS$33+$AS$33*0.00759)
+COUNTIF(J23,"Cenaze Yardımı (İşçi-Tabii Sebepler Sonucu)")*($AS$34+$AS$34*0.00759)
+COUNTIF(J23,"Doğal Afet Yardımı")*($AS$35+$AS$35*0.00759)
+COUNTIF(J23,"Eğitim Yardımı (Çocuk-İlköğretim)")*($AS$36/AZ95)
+COUNTIF(J23,"Eğitim Yardımı (Çocuk-Ortaöğretim)")*($AS$37/AZ95)
+COUNTIF(J23,"Eğitim Yardımı (Çocuk-Lise)")*($AS$38/AZ95)
+COUNTIF(J23,"Eğitim Yardımı (Çocuk-Yükseköğretim)")*($AS$39/AZ95)
+COUNTIF(J23,"Eğitim Yardımı (İşçi-Lise)")*($AS$40/AZ95)
+COUNTIF(J23,"Eğitim Yardımı (İşçi-Yükseköğretim)")*($AS$41/AZ95)
+COUNTIF(J23,"Evlilik Yardımı")*($AS$42+$AS$42*0.00759)
+COUNTIF(J23,"Gıda Yardımı")*($AS$43/AZ95)
+COUNTIF(J23,"İş Kazası veya Meslek Hastalığı Tazminatı")*($AS$44+$AS$44*0.00759)</f>
        <v>0</v>
      </c>
      <c r="AF65" s="65">
        <f>COUNTIF(H23,"Yok")*(0)
+COUNTIF(H23,"Askerlik Yardımı")*(0)
+COUNTIF(H23,"Cenaze Yardımı (Anne-Baba)")*($AS$31+$AS$31*0.00759)
+COUNTIF(H23,"Cenaze Yardımı (Eş-Çocuk)")*($AS$32+$AS$32*0.00759)
+COUNTIF(H23,"Cenaze Yardımı (İşçi-İş Kazası Sonucu)")*($AS$33+$AS$33*0.00759)
+COUNTIF(H23,"Cenaze Yardımı (İşçi-Tabii Sebepler Sonucu)")*($AS$34+$AS$34*0.00759)
+COUNTIF(H23,"Doğal Afet Yardımı")*($AS$35+$AS$35*0.00759)
+COUNTIF(H23,"Eğitim Yardımı (Çocuk-İlköğretim)")*(0)
+COUNTIF(H23,"Eğitim Yardımı (Çocuk-Ortaöğretim)")*(0)
+COUNTIF(H23,"Eğitim Yardımı (Çocuk-Lise)")*(0)
+COUNTIF(H23,"Eğitim Yardımı (Çocuk-Yükseköğretim)")*(0)
+COUNTIF(H23,"Eğitim Yardımı (İşçi-Lise)")*(0)
+COUNTIF(H23,"Eğitim Yardımı (İşçi-Yükseköğretim)")*(0)
+COUNTIF(H23,"Evlilik Yardımı")*($AS$42+$AS$42*0.00759)
+COUNTIF(H23,"Gıda Yardımı")*(0)
+COUNTIF(H23,"İş Kazası veya Meslek Hastalığı Tazminatı")*($AS$44+$AS$44*0.00759)
+COUNTIF(I23,"Yok")*(0)
+COUNTIF(I23,"Askerlik Yardımı")*(0)
+COUNTIF(I23,"Cenaze Yardımı (Anne-Baba)")*($AS$31+$AS$31*0.00759)
+COUNTIF(I23,"Cenaze Yardımı (Eş-Çocuk)")*($AS$32+$AS$32*0.00759)
+COUNTIF(I23,"Cenaze Yardımı (İşçi-İş Kazası Sonucu)")*($AS$33+$AS$33*0.00759)
+COUNTIF(I23,"Cenaze Yardımı (İşçi-Tabii Sebepler Sonucu)")*($AS$34+$AS$34*0.00759)
+COUNTIF(I23,"Doğal Afet Yardımı")*($AS$35+$AS$35*0.00759)
+COUNTIF(I23,"Eğitim Yardımı (Çocuk-İlköğretim)")*(0)
+COUNTIF(I23,"Eğitim Yardımı (Çocuk-Ortaöğretim)")*(0)
+COUNTIF(I23,"Eğitim Yardımı (Çocuk-Lise)")*(0)
+COUNTIF(I23,"Eğitim Yardımı (Çocuk-Yükseköğretim)")*(0)
+COUNTIF(I23,"Eğitim Yardımı (İşçi-Lise)")*(0)
+COUNTIF(I23,"Eğitim Yardımı (İşçi-Yükseköğretim)")*(0)
+COUNTIF(I23,"Evlilik Yardımı")*($AS$42+$AS$42*0.00759)
+COUNTIF(I23,"Gıda Yardımı")*(0)
+COUNTIF(I23,"İş Kazası veya Meslek Hastalığı Tazminatı")*($AS$44+$AS$44*0.00759)
+COUNTIF(J23,"Yok")*(0)
+COUNTIF(J23,"Askerlik Yardımı")*(0)
+COUNTIF(J23,"Cenaze Yardımı (Anne-Baba)")*($AS$31+$AS$31*0.00759)
+COUNTIF(J23,"Cenaze Yardımı (Eş-Çocuk)")*($AS$32+$AS$32*0.00759)
+COUNTIF(J23,"Cenaze Yardımı (İşçi-İş Kazası Sonucu)")*($AS$33+$AS$33*0.00759)
+COUNTIF(J23,"Cenaze Yardımı (İşçi-Tabii Sebepler Sonucu)")*($AS$34+$AS$34*0.00759)
+COUNTIF(J23,"Doğal Afet Yardımı")*($AS$35+$AS$35*0.00759)
+COUNTIF(J23,"Eğitim Yardımı (Çocuk-İlköğretim)")*(0)
+COUNTIF(J23,"Eğitim Yardımı (Çocuk-Ortaöğretim)")*(0)
+COUNTIF(J23,"Eğitim Yardımı (Çocuk-Lise)")*(0)
+COUNTIF(J23,"Eğitim Yardımı (Çocuk-Yükseköğretim)")*(0)
+COUNTIF(J23,"Eğitim Yardımı (İşçi-Lise)")*(0)
+COUNTIF(J23,"Eğitim Yardımı (İşçi-Yükseköğretim)")*(0)
+COUNTIF(J23,"Evlilik Yardımı")*($AS$42+$AS$42*0.00759)
+COUNTIF(J23,"Gıda Yardımı")*(0)
+COUNTIF(J23,"İş Kazası veya Meslek Hastalığı Tazminatı")*($AS$44+$AS$44*0.00759)</f>
        <v>0</v>
      </c>
      <c r="AG65" s="65">
        <f>COUNTIF(H23,"Yok")*(0)
+COUNTIF(H23,"Askerlik Yardımı")*($AS$30)
+COUNTIF(H23,"Cenaze Yardımı (Anne-Baba)")*($AS$31)
+COUNTIF(H23,"Cenaze Yardımı (Eş-Çocuk)")*($AS$32)
+COUNTIF(H23,"Cenaze Yardımı (İşçi-İş Kazası Sonucu)")*($AS$33)
+COUNTIF(H23,"Cenaze Yardımı (İşçi-Tabii Sebepler Sonucu)")*($AS$34)
+COUNTIF(H23,"Doğal Afet Yardımı")*($AS$35)
+COUNTIF(H23,"Eğitim Yardımı (Çocuk-İlköğretim)")*($AS$36)
+COUNTIF(H23,"Eğitim Yardımı (Çocuk-Ortaöğretim)")*($AS$37)
+COUNTIF(H23,"Eğitim Yardımı (Çocuk-Lise)")*($AS$38)
+COUNTIF(H23,"Eğitim Yardımı (Çocuk-Yükseköğretim)")*($AS$39)
+COUNTIF(H23,"Eğitim Yardımı (İşçi-Lise)")*($AS$40)
+COUNTIF(H23,"Eğitim Yardımı (İşçi-Yükseköğretim)")*($AS$41)
+COUNTIF(H23,"Evlilik Yardımı")*($AS$42)
+COUNTIF(H23,"Gıda Yardımı")*($AS$43)
+COUNTIF(H23,"İş Kazası veya Meslek Hastalığı Tazminatı")*($AS$44)
+COUNTIF(I23,"Yok")*(0)
+COUNTIF(I23,"Askerlik Yardımı")*($AS$30)
+COUNTIF(I23,"Cenaze Yardımı (Anne-Baba)")*($AS$31)
+COUNTIF(I23,"Cenaze Yardımı (Eş-Çocuk)")*($AS$32)
+COUNTIF(I23,"Cenaze Yardımı (İşçi-İş Kazası Sonucu)")*($AS$33)
+COUNTIF(I23,"Cenaze Yardımı (İşçi-Tabii Sebepler Sonucu)")*($AS$34)
+COUNTIF(I23,"Doğal Afet Yardımı")*($AS$35)
+COUNTIF(I23,"Eğitim Yardımı (Çocuk-İlköğretim)")*($AS$36)
+COUNTIF(I23,"Eğitim Yardımı (Çocuk-Ortaöğretim)")*($AS$37)
+COUNTIF(I23,"Eğitim Yardımı (Çocuk-Lise)")*($AS$38)
+COUNTIF(I23,"Eğitim Yardımı (Çocuk-Yükseköğretim)")*($AS$39)
+COUNTIF(I23,"Eğitim Yardımı (İşçi-Lise)")*($AS$40)
+COUNTIF(I23,"Eğitim Yardımı (İşçi-Yükseköğretim)")*($AS$41)
+COUNTIF(I23,"Evlilik Yardımı")*($AS$42)
+COUNTIF(I23,"Gıda Yardımı")*($AS$43)
+COUNTIF(I23,"İş Kazası veya Meslek Hastalığı Tazminatı")*($AS$44)
+COUNTIF(J23,"Yok")*(0)
+COUNTIF(J23,"Askerlik Yardımı")*($AS$30)
+COUNTIF(J23,"Cenaze Yardımı (Anne-Baba)")*($AS$31)
+COUNTIF(J23,"Cenaze Yardımı (Eş-Çocuk)")*($AS$32)
+COUNTIF(J23,"Cenaze Yardımı (İşçi-İş Kazası Sonucu)")*($AS$33)
+COUNTIF(J23,"Cenaze Yardımı (İşçi-Tabii Sebepler Sonucu)")*($AS$34)
+COUNTIF(J23,"Doğal Afet Yardımı")*($AS$35)
+COUNTIF(J23,"Eğitim Yardımı (Çocuk-İlköğretim)")*($AS$36)
+COUNTIF(J23,"Eğitim Yardımı (Çocuk-Ortaöğretim)")*($AS$37)
+COUNTIF(J23,"Eğitim Yardımı (Çocuk-Lise)")*($AS$38)
+COUNTIF(J23,"Eğitim Yardımı (Çocuk-Yükseköğretim)")*($AS$39)
+COUNTIF(J23,"Eğitim Yardımı (İşçi-Lise)")*($AS$40)
+COUNTIF(J23,"Eğitim Yardımı (İşçi-Yükseköğretim)")*($AS$41)
+COUNTIF(J23,"Evlilik Yardımı")*($AS$42)
+COUNTIF(J23,"Gıda Yardımı")*($AS$43)
+COUNTIF(J23,"İş Kazası veya Meslek Hastalığı Tazminatı")*($AS$44)</f>
        <v>0</v>
      </c>
      <c r="AH65" s="69" t="s">
        <v>9</v>
      </c>
      <c r="AI65" s="47">
        <f ca="1">COUNTIF(AH65,"Var")*(AL23*0.9*-1)</f>
        <v>-3823.5119199899996</v>
      </c>
      <c r="AJ65" s="47">
        <f t="shared" ca="1" si="53"/>
        <v>3823.5119199899996</v>
      </c>
      <c r="AK65" s="47">
        <f ca="1">(AF95)</f>
        <v>315642.65999999997</v>
      </c>
      <c r="AL65" s="47">
        <f t="shared" ca="1" si="54"/>
        <v>64706.745299999988</v>
      </c>
      <c r="AM65" s="47">
        <f t="shared" ca="1" si="55"/>
        <v>3156.4265999999998</v>
      </c>
      <c r="AN65" s="47">
        <f t="shared" ca="1" si="56"/>
        <v>-15782.133</v>
      </c>
      <c r="AO65" s="47">
        <f t="shared" ca="1" si="57"/>
        <v>367723.69890000002</v>
      </c>
      <c r="BD65" s="46">
        <v>63</v>
      </c>
      <c r="BE65" s="49">
        <v>31.5</v>
      </c>
      <c r="BF65" s="68" t="s">
        <v>0</v>
      </c>
    </row>
    <row r="66" spans="31:58" ht="39.950000000000003" hidden="1" customHeight="1" x14ac:dyDescent="0.25">
      <c r="AE66" s="65">
        <f ca="1">COUNTIF(H24,"Yok")*(0)
+COUNTIF(H24,"Askerlik Yardımı")*($AS$30/AZ96)
+COUNTIF(H24,"Cenaze Yardımı (Anne-Baba)")*($AS$31+$AS$31*0.00759)
+COUNTIF(H24,"Cenaze Yardımı (Eş-Çocuk)")*($AS$32+$AS$32*0.00759)
+COUNTIF(H24,"Cenaze Yardımı (İşçi-İş Kazası Sonucu)")*($AS$33+$AS$33*0.00759)
+COUNTIF(H24,"Cenaze Yardımı (İşçi-Tabii Sebepler Sonucu)")*($AS$34+$AS$34*0.00759)
+COUNTIF(H24,"Doğal Afet Yardımı")*($AS$35+$AS$35*0.00759)
+COUNTIF(H24,"Eğitim Yardımı (Çocuk-İlköğretim)")*($AS$36/AZ96)
+COUNTIF(H24,"Eğitim Yardımı (Çocuk-Ortaöğretim)")*($AS$37/AZ96)
+COUNTIF(H24,"Eğitim Yardımı (Çocuk-Lise)")*($AS$38/AZ96)
+COUNTIF(H24,"Eğitim Yardımı (Çocuk-Yükseköğretim)")*($AS$39/AZ96)
+COUNTIF(H24,"Eğitim Yardımı (İşçi-Lise)")*($AS$40/AZ96)
+COUNTIF(H24,"Eğitim Yardımı (İşçi-Yükseköğretim)")*($AS$41/AZ96)
+COUNTIF(H24,"Evlilik Yardımı")*($AS$42+$AS$42*0.00759)
+COUNTIF(H24,"Gıda Yardımı")*($AS$43/AZ96)
+COUNTIF(H24,"İş Kazası veya Meslek Hastalığı Tazminatı")*($AS$44+$AS$44*0.00759)
+COUNTIF(I24,"Yok")*(0)
+COUNTIF(I24,"Askerlik Yardımı")*($AS$30/AZ96)
+COUNTIF(I24,"Cenaze Yardımı (Anne-Baba)")*($AS$31+$AS$31*0.00759)
+COUNTIF(I24,"Cenaze Yardımı (Eş-Çocuk)")*($AS$32+$AS$32*0.00759)
+COUNTIF(I24,"Cenaze Yardımı (İşçi-İş Kazası Sonucu)")*($AS$33+$AS$33*0.00759)
+COUNTIF(I24,"Cenaze Yardımı (İşçi-Tabii Sebepler Sonucu)")*($AS$34+$AS$34*0.00759)
+COUNTIF(I24,"Doğal Afet Yardımı")*($AS$35+$AS$35*0.00759)
+COUNTIF(I24,"Eğitim Yardımı (Çocuk-İlköğretim)")*($AS$36/AZ96)
+COUNTIF(I24,"Eğitim Yardımı (Çocuk-Ortaöğretim)")*($AS$37/AZ96)
+COUNTIF(I24,"Eğitim Yardımı (Çocuk-Lise)")*($AS$38/AZ96)
+COUNTIF(I24,"Eğitim Yardımı (Çocuk-Yükseköğretim)")*($AS$39/AZ96)
+COUNTIF(I24,"Eğitim Yardımı (İşçi-Lise)")*($AS$40/AZ96)
+COUNTIF(I24,"Eğitim Yardımı (İşçi-Yükseköğretim)")*($AS$41/AZ96)
+COUNTIF(I24,"Evlilik Yardımı")*($AS$42+$AS$42*0.00759)
+COUNTIF(I24,"Gıda Yardımı")*($AS$43/AZ96)
+COUNTIF(I24,"İş Kazası veya Meslek Hastalığı Tazminatı")*($AS$44+$AS$44*0.00759)
+COUNTIF(J24,"Yok")*(0)
+COUNTIF(J24,"Askerlik Yardımı")*($AS$30/AZ96)
+COUNTIF(J24,"Cenaze Yardımı (Anne-Baba)")*($AS$31+$AS$31*0.00759)
+COUNTIF(J24,"Cenaze Yardımı (Eş-Çocuk)")*($AS$32+$AS$32*0.00759)
+COUNTIF(J24,"Cenaze Yardımı (İşçi-İş Kazası Sonucu)")*($AS$33+$AS$33*0.00759)
+COUNTIF(J24,"Cenaze Yardımı (İşçi-Tabii Sebepler Sonucu)")*($AS$34+$AS$34*0.00759)
+COUNTIF(J24,"Doğal Afet Yardımı")*($AS$35+$AS$35*0.00759)
+COUNTIF(J24,"Eğitim Yardımı (Çocuk-İlköğretim)")*($AS$36/AZ96)
+COUNTIF(J24,"Eğitim Yardımı (Çocuk-Ortaöğretim)")*($AS$37/AZ96)
+COUNTIF(J24,"Eğitim Yardımı (Çocuk-Lise)")*($AS$38/AZ96)
+COUNTIF(J24,"Eğitim Yardımı (Çocuk-Yükseköğretim)")*($AS$39/AZ96)
+COUNTIF(J24,"Eğitim Yardımı (İşçi-Lise)")*($AS$40/AZ96)
+COUNTIF(J24,"Eğitim Yardımı (İşçi-Yükseköğretim)")*($AS$41/AZ96)
+COUNTIF(J24,"Evlilik Yardımı")*($AS$42+$AS$42*0.00759)
+COUNTIF(J24,"Gıda Yardımı")*($AS$43/AZ96)
+COUNTIF(J24,"İş Kazası veya Meslek Hastalığı Tazminatı")*($AS$44+$AS$44*0.00759)</f>
        <v>0</v>
      </c>
      <c r="AF66" s="65">
        <f>COUNTIF(H24,"Yok")*(0)
+COUNTIF(H24,"Askerlik Yardımı")*(0)
+COUNTIF(H24,"Cenaze Yardımı (Anne-Baba)")*($AS$31+$AS$31*0.00759)
+COUNTIF(H24,"Cenaze Yardımı (Eş-Çocuk)")*($AS$32+$AS$32*0.00759)
+COUNTIF(H24,"Cenaze Yardımı (İşçi-İş Kazası Sonucu)")*($AS$33+$AS$33*0.00759)
+COUNTIF(H24,"Cenaze Yardımı (İşçi-Tabii Sebepler Sonucu)")*($AS$34+$AS$34*0.00759)
+COUNTIF(H24,"Doğal Afet Yardımı")*($AS$35+$AS$35*0.00759)
+COUNTIF(H24,"Eğitim Yardımı (Çocuk-İlköğretim)")*(0)
+COUNTIF(H24,"Eğitim Yardımı (Çocuk-Ortaöğretim)")*(0)
+COUNTIF(H24,"Eğitim Yardımı (Çocuk-Lise)")*(0)
+COUNTIF(H24,"Eğitim Yardımı (Çocuk-Yükseköğretim)")*(0)
+COUNTIF(H24,"Eğitim Yardımı (İşçi-Lise)")*(0)
+COUNTIF(H24,"Eğitim Yardımı (İşçi-Yükseköğretim)")*(0)
+COUNTIF(H24,"Evlilik Yardımı")*($AS$42+$AS$42*0.00759)
+COUNTIF(H24,"Gıda Yardımı")*(0)
+COUNTIF(H24,"İş Kazası veya Meslek Hastalığı Tazminatı")*($AS$44+$AS$44*0.00759)
+COUNTIF(I24,"Yok")*(0)
+COUNTIF(I24,"Askerlik Yardımı")*(0)
+COUNTIF(I24,"Cenaze Yardımı (Anne-Baba)")*($AS$31+$AS$31*0.00759)
+COUNTIF(I24,"Cenaze Yardımı (Eş-Çocuk)")*($AS$32+$AS$32*0.00759)
+COUNTIF(I24,"Cenaze Yardımı (İşçi-İş Kazası Sonucu)")*($AS$33+$AS$33*0.00759)
+COUNTIF(I24,"Cenaze Yardımı (İşçi-Tabii Sebepler Sonucu)")*($AS$34+$AS$34*0.00759)
+COUNTIF(I24,"Doğal Afet Yardımı")*($AS$35+$AS$35*0.00759)
+COUNTIF(I24,"Eğitim Yardımı (Çocuk-İlköğretim)")*(0)
+COUNTIF(I24,"Eğitim Yardımı (Çocuk-Ortaöğretim)")*(0)
+COUNTIF(I24,"Eğitim Yardımı (Çocuk-Lise)")*(0)
+COUNTIF(I24,"Eğitim Yardımı (Çocuk-Yükseköğretim)")*(0)
+COUNTIF(I24,"Eğitim Yardımı (İşçi-Lise)")*(0)
+COUNTIF(I24,"Eğitim Yardımı (İşçi-Yükseköğretim)")*(0)
+COUNTIF(I24,"Evlilik Yardımı")*($AS$42+$AS$42*0.00759)
+COUNTIF(I24,"Gıda Yardımı")*(0)
+COUNTIF(I24,"İş Kazası veya Meslek Hastalığı Tazminatı")*($AS$44+$AS$44*0.00759)
+COUNTIF(J24,"Yok")*(0)
+COUNTIF(J24,"Askerlik Yardımı")*(0)
+COUNTIF(J24,"Cenaze Yardımı (Anne-Baba)")*($AS$31+$AS$31*0.00759)
+COUNTIF(J24,"Cenaze Yardımı (Eş-Çocuk)")*($AS$32+$AS$32*0.00759)
+COUNTIF(J24,"Cenaze Yardımı (İşçi-İş Kazası Sonucu)")*($AS$33+$AS$33*0.00759)
+COUNTIF(J24,"Cenaze Yardımı (İşçi-Tabii Sebepler Sonucu)")*($AS$34+$AS$34*0.00759)
+COUNTIF(J24,"Doğal Afet Yardımı")*($AS$35+$AS$35*0.00759)
+COUNTIF(J24,"Eğitim Yardımı (Çocuk-İlköğretim)")*(0)
+COUNTIF(J24,"Eğitim Yardımı (Çocuk-Ortaöğretim)")*(0)
+COUNTIF(J24,"Eğitim Yardımı (Çocuk-Lise)")*(0)
+COUNTIF(J24,"Eğitim Yardımı (Çocuk-Yükseköğretim)")*(0)
+COUNTIF(J24,"Eğitim Yardımı (İşçi-Lise)")*(0)
+COUNTIF(J24,"Eğitim Yardımı (İşçi-Yükseköğretim)")*(0)
+COUNTIF(J24,"Evlilik Yardımı")*($AS$42+$AS$42*0.00759)
+COUNTIF(J24,"Gıda Yardımı")*(0)
+COUNTIF(J24,"İş Kazası veya Meslek Hastalığı Tazminatı")*($AS$44+$AS$44*0.00759)</f>
        <v>0</v>
      </c>
      <c r="AG66" s="65">
        <f>COUNTIF(H24,"Yok")*(0)
+COUNTIF(H24,"Askerlik Yardımı")*($AS$30)
+COUNTIF(H24,"Cenaze Yardımı (Anne-Baba)")*($AS$31)
+COUNTIF(H24,"Cenaze Yardımı (Eş-Çocuk)")*($AS$32)
+COUNTIF(H24,"Cenaze Yardımı (İşçi-İş Kazası Sonucu)")*($AS$33)
+COUNTIF(H24,"Cenaze Yardımı (İşçi-Tabii Sebepler Sonucu)")*($AS$34)
+COUNTIF(H24,"Doğal Afet Yardımı")*($AS$35)
+COUNTIF(H24,"Eğitim Yardımı (Çocuk-İlköğretim)")*($AS$36)
+COUNTIF(H24,"Eğitim Yardımı (Çocuk-Ortaöğretim)")*($AS$37)
+COUNTIF(H24,"Eğitim Yardımı (Çocuk-Lise)")*($AS$38)
+COUNTIF(H24,"Eğitim Yardımı (Çocuk-Yükseköğretim)")*($AS$39)
+COUNTIF(H24,"Eğitim Yardımı (İşçi-Lise)")*($AS$40)
+COUNTIF(H24,"Eğitim Yardımı (İşçi-Yükseköğretim)")*($AS$41)
+COUNTIF(H24,"Evlilik Yardımı")*($AS$42)
+COUNTIF(H24,"Gıda Yardımı")*($AS$43)
+COUNTIF(H24,"İş Kazası veya Meslek Hastalığı Tazminatı")*($AS$44)
+COUNTIF(I24,"Yok")*(0)
+COUNTIF(I24,"Askerlik Yardımı")*($AS$30)
+COUNTIF(I24,"Cenaze Yardımı (Anne-Baba)")*($AS$31)
+COUNTIF(I24,"Cenaze Yardımı (Eş-Çocuk)")*($AS$32)
+COUNTIF(I24,"Cenaze Yardımı (İşçi-İş Kazası Sonucu)")*($AS$33)
+COUNTIF(I24,"Cenaze Yardımı (İşçi-Tabii Sebepler Sonucu)")*($AS$34)
+COUNTIF(I24,"Doğal Afet Yardımı")*($AS$35)
+COUNTIF(I24,"Eğitim Yardımı (Çocuk-İlköğretim)")*($AS$36)
+COUNTIF(I24,"Eğitim Yardımı (Çocuk-Ortaöğretim)")*($AS$37)
+COUNTIF(I24,"Eğitim Yardımı (Çocuk-Lise)")*($AS$38)
+COUNTIF(I24,"Eğitim Yardımı (Çocuk-Yükseköğretim)")*($AS$39)
+COUNTIF(I24,"Eğitim Yardımı (İşçi-Lise)")*($AS$40)
+COUNTIF(I24,"Eğitim Yardımı (İşçi-Yükseköğretim)")*($AS$41)
+COUNTIF(I24,"Evlilik Yardımı")*($AS$42)
+COUNTIF(I24,"Gıda Yardımı")*($AS$43)
+COUNTIF(I24,"İş Kazası veya Meslek Hastalığı Tazminatı")*($AS$44)
+COUNTIF(J24,"Yok")*(0)
+COUNTIF(J24,"Askerlik Yardımı")*($AS$30)
+COUNTIF(J24,"Cenaze Yardımı (Anne-Baba)")*($AS$31)
+COUNTIF(J24,"Cenaze Yardımı (Eş-Çocuk)")*($AS$32)
+COUNTIF(J24,"Cenaze Yardımı (İşçi-İş Kazası Sonucu)")*($AS$33)
+COUNTIF(J24,"Cenaze Yardımı (İşçi-Tabii Sebepler Sonucu)")*($AS$34)
+COUNTIF(J24,"Doğal Afet Yardımı")*($AS$35)
+COUNTIF(J24,"Eğitim Yardımı (Çocuk-İlköğretim)")*($AS$36)
+COUNTIF(J24,"Eğitim Yardımı (Çocuk-Ortaöğretim)")*($AS$37)
+COUNTIF(J24,"Eğitim Yardımı (Çocuk-Lise)")*($AS$38)
+COUNTIF(J24,"Eğitim Yardımı (Çocuk-Yükseköğretim)")*($AS$39)
+COUNTIF(J24,"Eğitim Yardımı (İşçi-Lise)")*($AS$40)
+COUNTIF(J24,"Eğitim Yardımı (İşçi-Yükseköğretim)")*($AS$41)
+COUNTIF(J24,"Evlilik Yardımı")*($AS$42)
+COUNTIF(J24,"Gıda Yardımı")*($AS$43)
+COUNTIF(J24,"İş Kazası veya Meslek Hastalığı Tazminatı")*($AS$44)</f>
        <v>0</v>
      </c>
      <c r="AH66" s="69" t="s">
        <v>9</v>
      </c>
      <c r="AI66" s="47">
        <f ca="1">COUNTIF(AH66,"Var")*(AL24*0.9*-1)</f>
        <v>-4303.8779006351606</v>
      </c>
      <c r="AJ66" s="47">
        <f t="shared" ca="1" si="53"/>
        <v>4303.8779006351606</v>
      </c>
      <c r="AK66" s="47">
        <f ca="1">(AF96)</f>
        <v>229954.09</v>
      </c>
      <c r="AL66" s="47">
        <f t="shared" ca="1" si="54"/>
        <v>47140.588449999996</v>
      </c>
      <c r="AM66" s="47">
        <f t="shared" ca="1" si="55"/>
        <v>2299.5409</v>
      </c>
      <c r="AN66" s="47">
        <f t="shared" ca="1" si="56"/>
        <v>-11497.7045</v>
      </c>
      <c r="AO66" s="47">
        <f t="shared" ca="1" si="57"/>
        <v>267896.51485000004</v>
      </c>
      <c r="BD66" s="46">
        <v>64</v>
      </c>
      <c r="BE66" s="49">
        <v>32</v>
      </c>
      <c r="BF66" s="68" t="s">
        <v>0</v>
      </c>
    </row>
    <row r="67" spans="31:58" ht="39.950000000000003" hidden="1" customHeight="1" x14ac:dyDescent="0.25">
      <c r="AE67" s="65">
        <f ca="1">COUNTIF(H25,"Yok")*(0)
+COUNTIF(H25,"Askerlik Yardımı")*($AS$30/AZ97)
+COUNTIF(H25,"Cenaze Yardımı (Anne-Baba)")*($AS$31+$AS$31*0.00759)
+COUNTIF(H25,"Cenaze Yardımı (Eş-Çocuk)")*($AS$32+$AS$32*0.00759)
+COUNTIF(H25,"Cenaze Yardımı (İşçi-İş Kazası Sonucu)")*($AS$33+$AS$33*0.00759)
+COUNTIF(H25,"Cenaze Yardımı (İşçi-Tabii Sebepler Sonucu)")*($AS$34+$AS$34*0.00759)
+COUNTIF(H25,"Doğal Afet Yardımı")*($AS$35+$AS$35*0.00759)
+COUNTIF(H25,"Eğitim Yardımı (Çocuk-İlköğretim)")*($AS$36/AZ97)
+COUNTIF(H25,"Eğitim Yardımı (Çocuk-Ortaöğretim)")*($AS$37/AZ97)
+COUNTIF(H25,"Eğitim Yardımı (Çocuk-Lise)")*($AS$38/AZ97)
+COUNTIF(H25,"Eğitim Yardımı (Çocuk-Yükseköğretim)")*($AS$39/AZ97)
+COUNTIF(H25,"Eğitim Yardımı (İşçi-Lise)")*($AS$40/AZ97)
+COUNTIF(H25,"Eğitim Yardımı (İşçi-Yükseköğretim)")*($AS$41/AZ97)
+COUNTIF(H25,"Evlilik Yardımı")*($AS$42+$AS$42*0.00759)
+COUNTIF(H25,"Gıda Yardımı")*($AS$43/AZ97)
+COUNTIF(H25,"İş Kazası veya Meslek Hastalığı Tazminatı")*($AS$44+$AS$44*0.00759)
+COUNTIF(I25,"Yok")*(0)
+COUNTIF(I25,"Askerlik Yardımı")*($AS$30/AZ97)
+COUNTIF(I25,"Cenaze Yardımı (Anne-Baba)")*($AS$31+$AS$31*0.00759)
+COUNTIF(I25,"Cenaze Yardımı (Eş-Çocuk)")*($AS$32+$AS$32*0.00759)
+COUNTIF(I25,"Cenaze Yardımı (İşçi-İş Kazası Sonucu)")*($AS$33+$AS$33*0.00759)
+COUNTIF(I25,"Cenaze Yardımı (İşçi-Tabii Sebepler Sonucu)")*($AS$34+$AS$34*0.00759)
+COUNTIF(I25,"Doğal Afet Yardımı")*($AS$35+$AS$35*0.00759)
+COUNTIF(I25,"Eğitim Yardımı (Çocuk-İlköğretim)")*($AS$36/AZ97)
+COUNTIF(I25,"Eğitim Yardımı (Çocuk-Ortaöğretim)")*($AS$37/AZ97)
+COUNTIF(I25,"Eğitim Yardımı (Çocuk-Lise)")*($AS$38/AZ97)
+COUNTIF(I25,"Eğitim Yardımı (Çocuk-Yükseköğretim)")*($AS$39/AZ97)
+COUNTIF(I25,"Eğitim Yardımı (İşçi-Lise)")*($AS$40/AZ97)
+COUNTIF(I25,"Eğitim Yardımı (İşçi-Yükseköğretim)")*($AS$41/AZ97)
+COUNTIF(I25,"Evlilik Yardımı")*($AS$42+$AS$42*0.00759)
+COUNTIF(I25,"Gıda Yardımı")*($AS$43/AZ97)
+COUNTIF(I25,"İş Kazası veya Meslek Hastalığı Tazminatı")*($AS$44+$AS$44*0.00759)
+COUNTIF(J25,"Yok")*(0)
+COUNTIF(J25,"Askerlik Yardımı")*($AS$30/AZ97)
+COUNTIF(J25,"Cenaze Yardımı (Anne-Baba)")*($AS$31+$AS$31*0.00759)
+COUNTIF(J25,"Cenaze Yardımı (Eş-Çocuk)")*($AS$32+$AS$32*0.00759)
+COUNTIF(J25,"Cenaze Yardımı (İşçi-İş Kazası Sonucu)")*($AS$33+$AS$33*0.00759)
+COUNTIF(J25,"Cenaze Yardımı (İşçi-Tabii Sebepler Sonucu)")*($AS$34+$AS$34*0.00759)
+COUNTIF(J25,"Doğal Afet Yardımı")*($AS$35+$AS$35*0.00759)
+COUNTIF(J25,"Eğitim Yardımı (Çocuk-İlköğretim)")*($AS$36/AZ97)
+COUNTIF(J25,"Eğitim Yardımı (Çocuk-Ortaöğretim)")*($AS$37/AZ97)
+COUNTIF(J25,"Eğitim Yardımı (Çocuk-Lise)")*($AS$38/AZ97)
+COUNTIF(J25,"Eğitim Yardımı (Çocuk-Yükseköğretim)")*($AS$39/AZ97)
+COUNTIF(J25,"Eğitim Yardımı (İşçi-Lise)")*($AS$40/AZ97)
+COUNTIF(J25,"Eğitim Yardımı (İşçi-Yükseköğretim)")*($AS$41/AZ97)
+COUNTIF(J25,"Evlilik Yardımı")*($AS$42+$AS$42*0.00759)
+COUNTIF(J25,"Gıda Yardımı")*($AS$43/AZ97)
+COUNTIF(J25,"İş Kazası veya Meslek Hastalığı Tazminatı")*($AS$44+$AS$44*0.00759)</f>
        <v>0</v>
      </c>
      <c r="AF67" s="65">
        <f>COUNTIF(H25,"Yok")*(0)
+COUNTIF(H25,"Askerlik Yardımı")*(0)
+COUNTIF(H25,"Cenaze Yardımı (Anne-Baba)")*($AS$31+$AS$31*0.00759)
+COUNTIF(H25,"Cenaze Yardımı (Eş-Çocuk)")*($AS$32+$AS$32*0.00759)
+COUNTIF(H25,"Cenaze Yardımı (İşçi-İş Kazası Sonucu)")*($AS$33+$AS$33*0.00759)
+COUNTIF(H25,"Cenaze Yardımı (İşçi-Tabii Sebepler Sonucu)")*($AS$34+$AS$34*0.00759)
+COUNTIF(H25,"Doğal Afet Yardımı")*($AS$35+$AS$35*0.00759)
+COUNTIF(H25,"Eğitim Yardımı (Çocuk-İlköğretim)")*(0)
+COUNTIF(H25,"Eğitim Yardımı (Çocuk-Ortaöğretim)")*(0)
+COUNTIF(H25,"Eğitim Yardımı (Çocuk-Lise)")*(0)
+COUNTIF(H25,"Eğitim Yardımı (Çocuk-Yükseköğretim)")*(0)
+COUNTIF(H25,"Eğitim Yardımı (İşçi-Lise)")*(0)
+COUNTIF(H25,"Eğitim Yardımı (İşçi-Yükseköğretim)")*(0)
+COUNTIF(H25,"Evlilik Yardımı")*($AS$42+$AS$42*0.00759)
+COUNTIF(H25,"Gıda Yardımı")*(0)
+COUNTIF(H25,"İş Kazası veya Meslek Hastalığı Tazminatı")*($AS$44+$AS$44*0.00759)
+COUNTIF(I25,"Yok")*(0)
+COUNTIF(I25,"Askerlik Yardımı")*(0)
+COUNTIF(I25,"Cenaze Yardımı (Anne-Baba)")*($AS$31+$AS$31*0.00759)
+COUNTIF(I25,"Cenaze Yardımı (Eş-Çocuk)")*($AS$32+$AS$32*0.00759)
+COUNTIF(I25,"Cenaze Yardımı (İşçi-İş Kazası Sonucu)")*($AS$33+$AS$33*0.00759)
+COUNTIF(I25,"Cenaze Yardımı (İşçi-Tabii Sebepler Sonucu)")*($AS$34+$AS$34*0.00759)
+COUNTIF(I25,"Doğal Afet Yardımı")*($AS$35+$AS$35*0.00759)
+COUNTIF(I25,"Eğitim Yardımı (Çocuk-İlköğretim)")*(0)
+COUNTIF(I25,"Eğitim Yardımı (Çocuk-Ortaöğretim)")*(0)
+COUNTIF(I25,"Eğitim Yardımı (Çocuk-Lise)")*(0)
+COUNTIF(I25,"Eğitim Yardımı (Çocuk-Yükseköğretim)")*(0)
+COUNTIF(I25,"Eğitim Yardımı (İşçi-Lise)")*(0)
+COUNTIF(I25,"Eğitim Yardımı (İşçi-Yükseköğretim)")*(0)
+COUNTIF(I25,"Evlilik Yardımı")*($AS$42+$AS$42*0.00759)
+COUNTIF(I25,"Gıda Yardımı")*(0)
+COUNTIF(I25,"İş Kazası veya Meslek Hastalığı Tazminatı")*($AS$44+$AS$44*0.00759)
+COUNTIF(J25,"Yok")*(0)
+COUNTIF(J25,"Askerlik Yardımı")*(0)
+COUNTIF(J25,"Cenaze Yardımı (Anne-Baba)")*($AS$31+$AS$31*0.00759)
+COUNTIF(J25,"Cenaze Yardımı (Eş-Çocuk)")*($AS$32+$AS$32*0.00759)
+COUNTIF(J25,"Cenaze Yardımı (İşçi-İş Kazası Sonucu)")*($AS$33+$AS$33*0.00759)
+COUNTIF(J25,"Cenaze Yardımı (İşçi-Tabii Sebepler Sonucu)")*($AS$34+$AS$34*0.00759)
+COUNTIF(J25,"Doğal Afet Yardımı")*($AS$35+$AS$35*0.00759)
+COUNTIF(J25,"Eğitim Yardımı (Çocuk-İlköğretim)")*(0)
+COUNTIF(J25,"Eğitim Yardımı (Çocuk-Ortaöğretim)")*(0)
+COUNTIF(J25,"Eğitim Yardımı (Çocuk-Lise)")*(0)
+COUNTIF(J25,"Eğitim Yardımı (Çocuk-Yükseköğretim)")*(0)
+COUNTIF(J25,"Eğitim Yardımı (İşçi-Lise)")*(0)
+COUNTIF(J25,"Eğitim Yardımı (İşçi-Yükseköğretim)")*(0)
+COUNTIF(J25,"Evlilik Yardımı")*($AS$42+$AS$42*0.00759)
+COUNTIF(J25,"Gıda Yardımı")*(0)
+COUNTIF(J25,"İş Kazası veya Meslek Hastalığı Tazminatı")*($AS$44+$AS$44*0.00759)</f>
        <v>0</v>
      </c>
      <c r="AG67" s="65">
        <f>COUNTIF(H25,"Yok")*(0)
+COUNTIF(H25,"Askerlik Yardımı")*($AS$30)
+COUNTIF(H25,"Cenaze Yardımı (Anne-Baba)")*($AS$31)
+COUNTIF(H25,"Cenaze Yardımı (Eş-Çocuk)")*($AS$32)
+COUNTIF(H25,"Cenaze Yardımı (İşçi-İş Kazası Sonucu)")*($AS$33)
+COUNTIF(H25,"Cenaze Yardımı (İşçi-Tabii Sebepler Sonucu)")*($AS$34)
+COUNTIF(H25,"Doğal Afet Yardımı")*($AS$35)
+COUNTIF(H25,"Eğitim Yardımı (Çocuk-İlköğretim)")*($AS$36)
+COUNTIF(H25,"Eğitim Yardımı (Çocuk-Ortaöğretim)")*($AS$37)
+COUNTIF(H25,"Eğitim Yardımı (Çocuk-Lise)")*($AS$38)
+COUNTIF(H25,"Eğitim Yardımı (Çocuk-Yükseköğretim)")*($AS$39)
+COUNTIF(H25,"Eğitim Yardımı (İşçi-Lise)")*($AS$40)
+COUNTIF(H25,"Eğitim Yardımı (İşçi-Yükseköğretim)")*($AS$41)
+COUNTIF(H25,"Evlilik Yardımı")*($AS$42)
+COUNTIF(H25,"Gıda Yardımı")*($AS$43)
+COUNTIF(H25,"İş Kazası veya Meslek Hastalığı Tazminatı")*($AS$44)
+COUNTIF(I25,"Yok")*(0)
+COUNTIF(I25,"Askerlik Yardımı")*($AS$30)
+COUNTIF(I25,"Cenaze Yardımı (Anne-Baba)")*($AS$31)
+COUNTIF(I25,"Cenaze Yardımı (Eş-Çocuk)")*($AS$32)
+COUNTIF(I25,"Cenaze Yardımı (İşçi-İş Kazası Sonucu)")*($AS$33)
+COUNTIF(I25,"Cenaze Yardımı (İşçi-Tabii Sebepler Sonucu)")*($AS$34)
+COUNTIF(I25,"Doğal Afet Yardımı")*($AS$35)
+COUNTIF(I25,"Eğitim Yardımı (Çocuk-İlköğretim)")*($AS$36)
+COUNTIF(I25,"Eğitim Yardımı (Çocuk-Ortaöğretim)")*($AS$37)
+COUNTIF(I25,"Eğitim Yardımı (Çocuk-Lise)")*($AS$38)
+COUNTIF(I25,"Eğitim Yardımı (Çocuk-Yükseköğretim)")*($AS$39)
+COUNTIF(I25,"Eğitim Yardımı (İşçi-Lise)")*($AS$40)
+COUNTIF(I25,"Eğitim Yardımı (İşçi-Yükseköğretim)")*($AS$41)
+COUNTIF(I25,"Evlilik Yardımı")*($AS$42)
+COUNTIF(I25,"Gıda Yardımı")*($AS$43)
+COUNTIF(I25,"İş Kazası veya Meslek Hastalığı Tazminatı")*($AS$44)
+COUNTIF(J25,"Yok")*(0)
+COUNTIF(J25,"Askerlik Yardımı")*($AS$30)
+COUNTIF(J25,"Cenaze Yardımı (Anne-Baba)")*($AS$31)
+COUNTIF(J25,"Cenaze Yardımı (Eş-Çocuk)")*($AS$32)
+COUNTIF(J25,"Cenaze Yardımı (İşçi-İş Kazası Sonucu)")*($AS$33)
+COUNTIF(J25,"Cenaze Yardımı (İşçi-Tabii Sebepler Sonucu)")*($AS$34)
+COUNTIF(J25,"Doğal Afet Yardımı")*($AS$35)
+COUNTIF(J25,"Eğitim Yardımı (Çocuk-İlköğretim)")*($AS$36)
+COUNTIF(J25,"Eğitim Yardımı (Çocuk-Ortaöğretim)")*($AS$37)
+COUNTIF(J25,"Eğitim Yardımı (Çocuk-Lise)")*($AS$38)
+COUNTIF(J25,"Eğitim Yardımı (Çocuk-Yükseköğretim)")*($AS$39)
+COUNTIF(J25,"Eğitim Yardımı (İşçi-Lise)")*($AS$40)
+COUNTIF(J25,"Eğitim Yardımı (İşçi-Yükseköğretim)")*($AS$41)
+COUNTIF(J25,"Evlilik Yardımı")*($AS$42)
+COUNTIF(J25,"Gıda Yardımı")*($AS$43)
+COUNTIF(J25,"İş Kazası veya Meslek Hastalığı Tazminatı")*($AS$44)</f>
        <v>0</v>
      </c>
      <c r="AH67" s="69" t="s">
        <v>9</v>
      </c>
      <c r="AI67" s="47">
        <f ca="1">COUNTIF(AH67,"Var")*(AL25*0.9*-1)</f>
        <v>-4293.4604199899995</v>
      </c>
      <c r="AJ67" s="47">
        <f t="shared" ca="1" si="53"/>
        <v>4293.4604199899995</v>
      </c>
      <c r="AK67" s="47">
        <f ca="1">(AF97)</f>
        <v>224824.75</v>
      </c>
      <c r="AL67" s="47">
        <f t="shared" ca="1" si="54"/>
        <v>46089.073749999996</v>
      </c>
      <c r="AM67" s="47">
        <f t="shared" ca="1" si="55"/>
        <v>2248.2474999999999</v>
      </c>
      <c r="AN67" s="47">
        <f t="shared" ca="1" si="56"/>
        <v>-11241.237500000001</v>
      </c>
      <c r="AO67" s="47">
        <f t="shared" ca="1" si="57"/>
        <v>261920.83374999999</v>
      </c>
      <c r="BD67" s="46">
        <v>65</v>
      </c>
      <c r="BE67" s="49">
        <v>32.5</v>
      </c>
      <c r="BF67" s="68" t="s">
        <v>0</v>
      </c>
    </row>
    <row r="68" spans="31:58" ht="39.950000000000003" hidden="1" customHeight="1" x14ac:dyDescent="0.25">
      <c r="AE68" s="65">
        <f ca="1">COUNTIF(H26,"Yok")*(0)
+COUNTIF(H26,"Askerlik Yardımı")*($AS$30/AZ98)
+COUNTIF(H26,"Cenaze Yardımı (Anne-Baba)")*($AS$31+$AS$31*0.00759)
+COUNTIF(H26,"Cenaze Yardımı (Eş-Çocuk)")*($AS$32+$AS$32*0.00759)
+COUNTIF(H26,"Cenaze Yardımı (İşçi-İş Kazası Sonucu)")*($AS$33+$AS$33*0.00759)
+COUNTIF(H26,"Cenaze Yardımı (İşçi-Tabii Sebepler Sonucu)")*($AS$34+$AS$34*0.00759)
+COUNTIF(H26,"Doğal Afet Yardımı")*($AS$35+$AS$35*0.00759)
+COUNTIF(H26,"Eğitim Yardımı (Çocuk-İlköğretim)")*($AS$36/AZ98)
+COUNTIF(H26,"Eğitim Yardımı (Çocuk-Ortaöğretim)")*($AS$37/AZ98)
+COUNTIF(H26,"Eğitim Yardımı (Çocuk-Lise)")*($AS$38/AZ98)
+COUNTIF(H26,"Eğitim Yardımı (Çocuk-Yükseköğretim)")*($AS$39/AZ98)
+COUNTIF(H26,"Eğitim Yardımı (İşçi-Lise)")*($AS$40/AZ98)
+COUNTIF(H26,"Eğitim Yardımı (İşçi-Yükseköğretim)")*($AS$41/AZ98)
+COUNTIF(H26,"Evlilik Yardımı")*($AS$42+$AS$42*0.00759)
+COUNTIF(H26,"Gıda Yardımı")*($AS$43/AZ98)
+COUNTIF(H26,"İş Kazası veya Meslek Hastalığı Tazminatı")*($AS$44+$AS$44*0.00759)
+COUNTIF(I26,"Yok")*(0)
+COUNTIF(I26,"Askerlik Yardımı")*($AS$30/AZ98)
+COUNTIF(I26,"Cenaze Yardımı (Anne-Baba)")*($AS$31+$AS$31*0.00759)
+COUNTIF(I26,"Cenaze Yardımı (Eş-Çocuk)")*($AS$32+$AS$32*0.00759)
+COUNTIF(I26,"Cenaze Yardımı (İşçi-İş Kazası Sonucu)")*($AS$33+$AS$33*0.00759)
+COUNTIF(I26,"Cenaze Yardımı (İşçi-Tabii Sebepler Sonucu)")*($AS$34+$AS$34*0.00759)
+COUNTIF(I26,"Doğal Afet Yardımı")*($AS$35+$AS$35*0.00759)
+COUNTIF(I26,"Eğitim Yardımı (Çocuk-İlköğretim)")*($AS$36/AZ98)
+COUNTIF(I26,"Eğitim Yardımı (Çocuk-Ortaöğretim)")*($AS$37/AZ98)
+COUNTIF(I26,"Eğitim Yardımı (Çocuk-Lise)")*($AS$38/AZ98)
+COUNTIF(I26,"Eğitim Yardımı (Çocuk-Yükseköğretim)")*($AS$39/AZ98)
+COUNTIF(I26,"Eğitim Yardımı (İşçi-Lise)")*($AS$40/AZ98)
+COUNTIF(I26,"Eğitim Yardımı (İşçi-Yükseköğretim)")*($AS$41/AZ98)
+COUNTIF(I26,"Evlilik Yardımı")*($AS$42+$AS$42*0.00759)
+COUNTIF(I26,"Gıda Yardımı")*($AS$43/AZ98)
+COUNTIF(I26,"İş Kazası veya Meslek Hastalığı Tazminatı")*($AS$44+$AS$44*0.00759)
+COUNTIF(J26,"Yok")*(0)
+COUNTIF(J26,"Askerlik Yardımı")*($AS$30/AZ98)
+COUNTIF(J26,"Cenaze Yardımı (Anne-Baba)")*($AS$31+$AS$31*0.00759)
+COUNTIF(J26,"Cenaze Yardımı (Eş-Çocuk)")*($AS$32+$AS$32*0.00759)
+COUNTIF(J26,"Cenaze Yardımı (İşçi-İş Kazası Sonucu)")*($AS$33+$AS$33*0.00759)
+COUNTIF(J26,"Cenaze Yardımı (İşçi-Tabii Sebepler Sonucu)")*($AS$34+$AS$34*0.00759)
+COUNTIF(J26,"Doğal Afet Yardımı")*($AS$35+$AS$35*0.00759)
+COUNTIF(J26,"Eğitim Yardımı (Çocuk-İlköğretim)")*($AS$36/AZ98)
+COUNTIF(J26,"Eğitim Yardımı (Çocuk-Ortaöğretim)")*($AS$37/AZ98)
+COUNTIF(J26,"Eğitim Yardımı (Çocuk-Lise)")*($AS$38/AZ98)
+COUNTIF(J26,"Eğitim Yardımı (Çocuk-Yükseköğretim)")*($AS$39/AZ98)
+COUNTIF(J26,"Eğitim Yardımı (İşçi-Lise)")*($AS$40/AZ98)
+COUNTIF(J26,"Eğitim Yardımı (İşçi-Yükseköğretim)")*($AS$41/AZ98)
+COUNTIF(J26,"Evlilik Yardımı")*($AS$42+$AS$42*0.00759)
+COUNTIF(J26,"Gıda Yardımı")*($AS$43/AZ98)
+COUNTIF(J26,"İş Kazası veya Meslek Hastalığı Tazminatı")*($AS$44+$AS$44*0.00759)</f>
        <v>0</v>
      </c>
      <c r="AF68" s="65">
        <f>COUNTIF(H26,"Yok")*(0)
+COUNTIF(H26,"Askerlik Yardımı")*(0)
+COUNTIF(H26,"Cenaze Yardımı (Anne-Baba)")*($AS$31+$AS$31*0.00759)
+COUNTIF(H26,"Cenaze Yardımı (Eş-Çocuk)")*($AS$32+$AS$32*0.00759)
+COUNTIF(H26,"Cenaze Yardımı (İşçi-İş Kazası Sonucu)")*($AS$33+$AS$33*0.00759)
+COUNTIF(H26,"Cenaze Yardımı (İşçi-Tabii Sebepler Sonucu)")*($AS$34+$AS$34*0.00759)
+COUNTIF(H26,"Doğal Afet Yardımı")*($AS$35+$AS$35*0.00759)
+COUNTIF(H26,"Eğitim Yardımı (Çocuk-İlköğretim)")*(0)
+COUNTIF(H26,"Eğitim Yardımı (Çocuk-Ortaöğretim)")*(0)
+COUNTIF(H26,"Eğitim Yardımı (Çocuk-Lise)")*(0)
+COUNTIF(H26,"Eğitim Yardımı (Çocuk-Yükseköğretim)")*(0)
+COUNTIF(H26,"Eğitim Yardımı (İşçi-Lise)")*(0)
+COUNTIF(H26,"Eğitim Yardımı (İşçi-Yükseköğretim)")*(0)
+COUNTIF(H26,"Evlilik Yardımı")*($AS$42+$AS$42*0.00759)
+COUNTIF(H26,"Gıda Yardımı")*(0)
+COUNTIF(H26,"İş Kazası veya Meslek Hastalığı Tazminatı")*($AS$44+$AS$44*0.00759)
+COUNTIF(I26,"Yok")*(0)
+COUNTIF(I26,"Askerlik Yardımı")*(0)
+COUNTIF(I26,"Cenaze Yardımı (Anne-Baba)")*($AS$31+$AS$31*0.00759)
+COUNTIF(I26,"Cenaze Yardımı (Eş-Çocuk)")*($AS$32+$AS$32*0.00759)
+COUNTIF(I26,"Cenaze Yardımı (İşçi-İş Kazası Sonucu)")*($AS$33+$AS$33*0.00759)
+COUNTIF(I26,"Cenaze Yardımı (İşçi-Tabii Sebepler Sonucu)")*($AS$34+$AS$34*0.00759)
+COUNTIF(I26,"Doğal Afet Yardımı")*($AS$35+$AS$35*0.00759)
+COUNTIF(I26,"Eğitim Yardımı (Çocuk-İlköğretim)")*(0)
+COUNTIF(I26,"Eğitim Yardımı (Çocuk-Ortaöğretim)")*(0)
+COUNTIF(I26,"Eğitim Yardımı (Çocuk-Lise)")*(0)
+COUNTIF(I26,"Eğitim Yardımı (Çocuk-Yükseköğretim)")*(0)
+COUNTIF(I26,"Eğitim Yardımı (İşçi-Lise)")*(0)
+COUNTIF(I26,"Eğitim Yardımı (İşçi-Yükseköğretim)")*(0)
+COUNTIF(I26,"Evlilik Yardımı")*($AS$42+$AS$42*0.00759)
+COUNTIF(I26,"Gıda Yardımı")*(0)
+COUNTIF(I26,"İş Kazası veya Meslek Hastalığı Tazminatı")*($AS$44+$AS$44*0.00759)
+COUNTIF(J26,"Yok")*(0)
+COUNTIF(J26,"Askerlik Yardımı")*(0)
+COUNTIF(J26,"Cenaze Yardımı (Anne-Baba)")*($AS$31+$AS$31*0.00759)
+COUNTIF(J26,"Cenaze Yardımı (Eş-Çocuk)")*($AS$32+$AS$32*0.00759)
+COUNTIF(J26,"Cenaze Yardımı (İşçi-İş Kazası Sonucu)")*($AS$33+$AS$33*0.00759)
+COUNTIF(J26,"Cenaze Yardımı (İşçi-Tabii Sebepler Sonucu)")*($AS$34+$AS$34*0.00759)
+COUNTIF(J26,"Doğal Afet Yardımı")*($AS$35+$AS$35*0.00759)
+COUNTIF(J26,"Eğitim Yardımı (Çocuk-İlköğretim)")*(0)
+COUNTIF(J26,"Eğitim Yardımı (Çocuk-Ortaöğretim)")*(0)
+COUNTIF(J26,"Eğitim Yardımı (Çocuk-Lise)")*(0)
+COUNTIF(J26,"Eğitim Yardımı (Çocuk-Yükseköğretim)")*(0)
+COUNTIF(J26,"Eğitim Yardımı (İşçi-Lise)")*(0)
+COUNTIF(J26,"Eğitim Yardımı (İşçi-Yükseköğretim)")*(0)
+COUNTIF(J26,"Evlilik Yardımı")*($AS$42+$AS$42*0.00759)
+COUNTIF(J26,"Gıda Yardımı")*(0)
+COUNTIF(J26,"İş Kazası veya Meslek Hastalığı Tazminatı")*($AS$44+$AS$44*0.00759)</f>
        <v>0</v>
      </c>
      <c r="AG68" s="65">
        <f>COUNTIF(H26,"Yok")*(0)
+COUNTIF(H26,"Askerlik Yardımı")*($AS$30)
+COUNTIF(H26,"Cenaze Yardımı (Anne-Baba)")*($AS$31)
+COUNTIF(H26,"Cenaze Yardımı (Eş-Çocuk)")*($AS$32)
+COUNTIF(H26,"Cenaze Yardımı (İşçi-İş Kazası Sonucu)")*($AS$33)
+COUNTIF(H26,"Cenaze Yardımı (İşçi-Tabii Sebepler Sonucu)")*($AS$34)
+COUNTIF(H26,"Doğal Afet Yardımı")*($AS$35)
+COUNTIF(H26,"Eğitim Yardımı (Çocuk-İlköğretim)")*($AS$36)
+COUNTIF(H26,"Eğitim Yardımı (Çocuk-Ortaöğretim)")*($AS$37)
+COUNTIF(H26,"Eğitim Yardımı (Çocuk-Lise)")*($AS$38)
+COUNTIF(H26,"Eğitim Yardımı (Çocuk-Yükseköğretim)")*($AS$39)
+COUNTIF(H26,"Eğitim Yardımı (İşçi-Lise)")*($AS$40)
+COUNTIF(H26,"Eğitim Yardımı (İşçi-Yükseköğretim)")*($AS$41)
+COUNTIF(H26,"Evlilik Yardımı")*($AS$42)
+COUNTIF(H26,"Gıda Yardımı")*($AS$43)
+COUNTIF(H26,"İş Kazası veya Meslek Hastalığı Tazminatı")*($AS$44)
+COUNTIF(I26,"Yok")*(0)
+COUNTIF(I26,"Askerlik Yardımı")*($AS$30)
+COUNTIF(I26,"Cenaze Yardımı (Anne-Baba)")*($AS$31)
+COUNTIF(I26,"Cenaze Yardımı (Eş-Çocuk)")*($AS$32)
+COUNTIF(I26,"Cenaze Yardımı (İşçi-İş Kazası Sonucu)")*($AS$33)
+COUNTIF(I26,"Cenaze Yardımı (İşçi-Tabii Sebepler Sonucu)")*($AS$34)
+COUNTIF(I26,"Doğal Afet Yardımı")*($AS$35)
+COUNTIF(I26,"Eğitim Yardımı (Çocuk-İlköğretim)")*($AS$36)
+COUNTIF(I26,"Eğitim Yardımı (Çocuk-Ortaöğretim)")*($AS$37)
+COUNTIF(I26,"Eğitim Yardımı (Çocuk-Lise)")*($AS$38)
+COUNTIF(I26,"Eğitim Yardımı (Çocuk-Yükseköğretim)")*($AS$39)
+COUNTIF(I26,"Eğitim Yardımı (İşçi-Lise)")*($AS$40)
+COUNTIF(I26,"Eğitim Yardımı (İşçi-Yükseköğretim)")*($AS$41)
+COUNTIF(I26,"Evlilik Yardımı")*($AS$42)
+COUNTIF(I26,"Gıda Yardımı")*($AS$43)
+COUNTIF(I26,"İş Kazası veya Meslek Hastalığı Tazminatı")*($AS$44)
+COUNTIF(J26,"Yok")*(0)
+COUNTIF(J26,"Askerlik Yardımı")*($AS$30)
+COUNTIF(J26,"Cenaze Yardımı (Anne-Baba)")*($AS$31)
+COUNTIF(J26,"Cenaze Yardımı (Eş-Çocuk)")*($AS$32)
+COUNTIF(J26,"Cenaze Yardımı (İşçi-İş Kazası Sonucu)")*($AS$33)
+COUNTIF(J26,"Cenaze Yardımı (İşçi-Tabii Sebepler Sonucu)")*($AS$34)
+COUNTIF(J26,"Doğal Afet Yardımı")*($AS$35)
+COUNTIF(J26,"Eğitim Yardımı (Çocuk-İlköğretim)")*($AS$36)
+COUNTIF(J26,"Eğitim Yardımı (Çocuk-Ortaöğretim)")*($AS$37)
+COUNTIF(J26,"Eğitim Yardımı (Çocuk-Lise)")*($AS$38)
+COUNTIF(J26,"Eğitim Yardımı (Çocuk-Yükseköğretim)")*($AS$39)
+COUNTIF(J26,"Eğitim Yardımı (İşçi-Lise)")*($AS$40)
+COUNTIF(J26,"Eğitim Yardımı (İşçi-Yükseköğretim)")*($AS$41)
+COUNTIF(J26,"Evlilik Yardımı")*($AS$42)
+COUNTIF(J26,"Gıda Yardımı")*($AS$43)
+COUNTIF(J26,"İş Kazası veya Meslek Hastalığı Tazminatı")*($AS$44)</f>
        <v>0</v>
      </c>
      <c r="AH68" s="69" t="s">
        <v>9</v>
      </c>
      <c r="AI68" s="47">
        <f ca="1">COUNTIF(AH68,"Var")*(AL26*0.9*-1)</f>
        <v>-4303.8779006351606</v>
      </c>
      <c r="AJ68" s="47">
        <f t="shared" ca="1" si="53"/>
        <v>4303.8779006351606</v>
      </c>
      <c r="AK68" s="47">
        <f ca="1">(AF98)</f>
        <v>363800.02</v>
      </c>
      <c r="AL68" s="47">
        <f t="shared" ca="1" si="54"/>
        <v>74579.004100000006</v>
      </c>
      <c r="AM68" s="47">
        <f t="shared" ca="1" si="55"/>
        <v>3638.0002000000004</v>
      </c>
      <c r="AN68" s="47">
        <f t="shared" ca="1" si="56"/>
        <v>-18190.001</v>
      </c>
      <c r="AO68" s="47">
        <f t="shared" ca="1" si="57"/>
        <v>423827.02330000006</v>
      </c>
      <c r="BD68" s="46">
        <v>66</v>
      </c>
      <c r="BE68" s="49">
        <v>33</v>
      </c>
      <c r="BF68" s="68" t="s">
        <v>0</v>
      </c>
    </row>
    <row r="69" spans="31:58" ht="39.950000000000003" hidden="1" customHeight="1" x14ac:dyDescent="0.25">
      <c r="AE69" s="47">
        <f t="shared" ref="AE69" ca="1" si="58">(AE57+AE58+AE59+AE60+AE61+AE62+AE63+AE64+AE65+AE66+AE67+AE68)</f>
        <v>0</v>
      </c>
      <c r="AF69" s="47">
        <f t="shared" ref="AF69" si="59">(AF57+AF58+AF59+AF60+AF61+AF62+AF63+AF64+AF65+AF66+AF67+AF68)</f>
        <v>0</v>
      </c>
      <c r="AG69" s="47">
        <f t="shared" ref="AG69" si="60">(AG57+AG58+AG59+AG60+AG61+AG62+AG63+AG64+AG65+AG66+AG67+AG68)</f>
        <v>0</v>
      </c>
      <c r="AH69" s="62" t="s">
        <v>0</v>
      </c>
      <c r="AI69" s="47">
        <f t="shared" ref="AI69:AJ69" ca="1" si="61">(AI57+AI58+AI59+AI60+AI61+AI62+AI63+AI64+AI65+AI66+AI67+AI68)</f>
        <v>-41303.229095375667</v>
      </c>
      <c r="AJ69" s="47">
        <f t="shared" ca="1" si="61"/>
        <v>41303.229095375667</v>
      </c>
      <c r="AK69" s="47">
        <f t="shared" ref="AK69" ca="1" si="62">(AK57+AK58+AK59+AK60+AK61+AK62+AK63+AK64+AK65+AK66+AK67+AK68)</f>
        <v>2676803.7799999998</v>
      </c>
      <c r="AL69" s="47">
        <f t="shared" ref="AL69" ca="1" si="63">(AL57+AL58+AL59+AL60+AL61+AL62+AL63+AL64+AL65+AL66+AL67+AL68)</f>
        <v>548744.77489999996</v>
      </c>
      <c r="AM69" s="47">
        <f t="shared" ref="AM69" ca="1" si="64">(AM57+AM58+AM59+AM60+AM61+AM62+AM63+AM64+AM65+AM66+AM67+AM68)</f>
        <v>26768.037800000006</v>
      </c>
      <c r="AN69" s="47">
        <f t="shared" ref="AN69" ca="1" si="65">(AN57+AN58+AN59+AN60+AN61+AN62+AN63+AN64+AN65+AN66+AN67+AN68)</f>
        <v>-133840.18900000001</v>
      </c>
      <c r="AO69" s="47">
        <f t="shared" ref="AO69" ca="1" si="66">(AO57+AO58+AO59+AO60+AO61+AO62+AO63+AO64+AO65+AO66+AO67+AO68)</f>
        <v>3118476.4037000001</v>
      </c>
      <c r="BD69" s="46">
        <v>67</v>
      </c>
      <c r="BE69" s="49">
        <v>33.5</v>
      </c>
      <c r="BF69" s="68" t="s">
        <v>0</v>
      </c>
    </row>
    <row r="70" spans="31:58" ht="39.950000000000003" hidden="1" customHeight="1" x14ac:dyDescent="0.25">
      <c r="AE70" s="47">
        <f t="shared" ref="AE70" ca="1" si="67">AE69/12</f>
        <v>0</v>
      </c>
      <c r="AF70" s="47">
        <f t="shared" ref="AF70" si="68">AF69/12</f>
        <v>0</v>
      </c>
      <c r="AG70" s="47">
        <f t="shared" ref="AG70" si="69">AG69/12</f>
        <v>0</v>
      </c>
      <c r="AH70" s="62" t="s">
        <v>0</v>
      </c>
      <c r="AI70" s="47">
        <f t="shared" ref="AI70:AJ70" ca="1" si="70">(AI69/12)</f>
        <v>-3441.9357579479724</v>
      </c>
      <c r="AJ70" s="47">
        <f t="shared" ca="1" si="70"/>
        <v>3441.9357579479724</v>
      </c>
      <c r="AK70" s="47">
        <f t="shared" ref="AK70" ca="1" si="71">(AK69/12)</f>
        <v>223066.98166666666</v>
      </c>
      <c r="AL70" s="47">
        <f t="shared" ref="AL70" ca="1" si="72">(AL69/12)</f>
        <v>45728.731241666661</v>
      </c>
      <c r="AM70" s="47">
        <f t="shared" ref="AM70" ca="1" si="73">(AM69/12)</f>
        <v>2230.669816666667</v>
      </c>
      <c r="AN70" s="47">
        <f t="shared" ref="AN70" ca="1" si="74">(AN69/12)</f>
        <v>-11153.349083333334</v>
      </c>
      <c r="AO70" s="47">
        <f t="shared" ref="AO70" ca="1" si="75">(AO69/12)</f>
        <v>259873.03364166667</v>
      </c>
      <c r="BD70" s="46">
        <v>68</v>
      </c>
      <c r="BE70" s="49">
        <v>34</v>
      </c>
      <c r="BF70" s="68" t="s">
        <v>0</v>
      </c>
    </row>
    <row r="71" spans="31:58" ht="39.950000000000003" hidden="1" customHeight="1" x14ac:dyDescent="0.25">
      <c r="AV71" s="47">
        <f>(0)</f>
        <v>0</v>
      </c>
      <c r="AW71" s="70">
        <f>(0%)</f>
        <v>0</v>
      </c>
      <c r="BD71" s="46">
        <v>69</v>
      </c>
      <c r="BE71" s="49">
        <v>34.5</v>
      </c>
      <c r="BF71" s="68" t="s">
        <v>0</v>
      </c>
    </row>
    <row r="72" spans="31:58" ht="39.950000000000003" hidden="1" customHeight="1" x14ac:dyDescent="0.25">
      <c r="AE72" s="47">
        <f>($AC$8)</f>
        <v>33030</v>
      </c>
      <c r="AF72" s="47">
        <f>(AE72)</f>
        <v>33030</v>
      </c>
      <c r="AG72" s="47">
        <f>(AE72-AF72)</f>
        <v>0</v>
      </c>
      <c r="AH72" s="47">
        <f>(AG72*0.00759*-1)</f>
        <v>0</v>
      </c>
      <c r="AI72" s="47">
        <f>(AE72*0.00759)</f>
        <v>250.69770000000003</v>
      </c>
      <c r="AJ72" s="47">
        <f>(AE72)</f>
        <v>33030</v>
      </c>
      <c r="AK72" s="47">
        <f>(0)</f>
        <v>0</v>
      </c>
      <c r="AL72" s="47">
        <f>(AE72-AK72)</f>
        <v>33030</v>
      </c>
      <c r="AM72" s="47">
        <f>(AL72*0.14*-1)</f>
        <v>-4624.2000000000007</v>
      </c>
      <c r="AN72" s="47">
        <f>(AL72*0.01*-1)</f>
        <v>-330.3</v>
      </c>
      <c r="AO72" s="71">
        <v>0.15</v>
      </c>
      <c r="AP72" s="45">
        <v>0</v>
      </c>
      <c r="AQ72" s="45">
        <v>190000</v>
      </c>
      <c r="AR72" s="47">
        <v>0</v>
      </c>
      <c r="AS72" s="47">
        <f>(AE72+AM72+AN72-AT72)</f>
        <v>28075.5</v>
      </c>
      <c r="AT72" s="47">
        <f>(0)</f>
        <v>0</v>
      </c>
      <c r="AU72" s="47">
        <f t="shared" ref="AU72:AU83" si="76">(AE72+AM72+AN72-AT72)</f>
        <v>28075.5</v>
      </c>
      <c r="AV72" s="47">
        <f>SUM(AU$72:$AU72)</f>
        <v>28075.5</v>
      </c>
      <c r="AW72" s="70">
        <f>IF(AV72&lt;=$AQ$72,$AO$72,
IF(AV72&gt;$AQ$74,
IF(AV72&gt;$AQ$75,$AO$76,$AO$75),
IF(AV72&lt;$AQ$73,$AO$73,$AO$74)))</f>
        <v>0.15</v>
      </c>
      <c r="AX72" s="69">
        <f>IF(AW72-AW71=0,0,1)</f>
        <v>1</v>
      </c>
      <c r="AY72" s="72">
        <f>IF(AX72=0,AW72,(VLOOKUP($AW72,$AO$72:$AR$76,2,0)-AV71)/AU72*AW71+(AV72-VLOOKUP($AW72,$AO$72:$AR$76,2,0))/AU72*AW72)</f>
        <v>0.15</v>
      </c>
      <c r="AZ72" s="47">
        <f>(ROUND(AU72*AY72,2)+VLOOKUP(AW72,$AO$72:$AR$76,4,0))</f>
        <v>4211.33</v>
      </c>
      <c r="BA72" s="72">
        <f>(100+(100*0.00759*-1)+(100*0.01*-1)+(100*0.01*-1)+(100+100*0.14*-1+100*0.01*-1)*AY72*-1)/100</f>
        <v>0.84491000000000005</v>
      </c>
      <c r="BB72" s="47">
        <f t="shared" ref="BB72:BB83" si="77">AE72</f>
        <v>33030</v>
      </c>
      <c r="BC72" s="47">
        <f t="shared" ref="BC72:BC83" si="78">AE72+AH72+AM72+AN72</f>
        <v>28075.5</v>
      </c>
      <c r="BD72" s="46">
        <v>70</v>
      </c>
      <c r="BE72" s="49">
        <v>35</v>
      </c>
      <c r="BF72" s="68" t="s">
        <v>0</v>
      </c>
    </row>
    <row r="73" spans="31:58" ht="39.950000000000003" hidden="1" customHeight="1" x14ac:dyDescent="0.25">
      <c r="AE73" s="47">
        <f>($AC$8)</f>
        <v>33030</v>
      </c>
      <c r="AF73" s="47">
        <f t="shared" ref="AF73:AF83" si="79">(AE73)</f>
        <v>33030</v>
      </c>
      <c r="AG73" s="47">
        <f t="shared" ref="AG73:AG83" si="80">(AE73-AF73)</f>
        <v>0</v>
      </c>
      <c r="AH73" s="47">
        <f t="shared" ref="AH73:AH83" si="81">(AG73*0.00759*-1)</f>
        <v>0</v>
      </c>
      <c r="AI73" s="47">
        <f t="shared" ref="AI73:AI83" si="82">(AE73*0.00759)</f>
        <v>250.69770000000003</v>
      </c>
      <c r="AJ73" s="47">
        <f t="shared" ref="AJ73:AJ83" si="83">(AE73)</f>
        <v>33030</v>
      </c>
      <c r="AK73" s="47">
        <f>(0)</f>
        <v>0</v>
      </c>
      <c r="AL73" s="47">
        <f t="shared" ref="AL73:AL83" si="84">(AE73-AK73)</f>
        <v>33030</v>
      </c>
      <c r="AM73" s="47">
        <f t="shared" ref="AM73:AM83" si="85">(AL73*0.14*-1)</f>
        <v>-4624.2000000000007</v>
      </c>
      <c r="AN73" s="47">
        <f t="shared" ref="AN73:AN83" si="86">(AL73*0.01*-1)</f>
        <v>-330.3</v>
      </c>
      <c r="AO73" s="71">
        <v>0.2</v>
      </c>
      <c r="AP73" s="47">
        <f>$AQ$72</f>
        <v>190000</v>
      </c>
      <c r="AQ73" s="45">
        <v>400000</v>
      </c>
      <c r="AR73" s="47">
        <f>(AQ72-AP72)*AO72+AR72</f>
        <v>28500</v>
      </c>
      <c r="AS73" s="47">
        <f t="shared" ref="AS73:AS83" si="87">(AE73+AM73+AN73-AT73)</f>
        <v>28075.5</v>
      </c>
      <c r="AT73" s="47">
        <f>(0)</f>
        <v>0</v>
      </c>
      <c r="AU73" s="47">
        <f t="shared" si="76"/>
        <v>28075.5</v>
      </c>
      <c r="AV73" s="47">
        <f>SUM(AU$72:$AU73)</f>
        <v>56151</v>
      </c>
      <c r="AW73" s="70">
        <f>IF(AV73&lt;=$AQ$72,$AO$72,
IF(AV73&gt;$AQ$74,
IF(AV73&gt;$AQ$75,$AO$76,$AO$75),
IF(AV73&lt;$AQ$73,$AO$73,$AO$74)))</f>
        <v>0.15</v>
      </c>
      <c r="AX73" s="69">
        <f t="shared" ref="AX73:AX83" si="88">IF(AW73-AW72=0,0,1)</f>
        <v>0</v>
      </c>
      <c r="AY73" s="72">
        <f>IF(AX73=0,AW73,(VLOOKUP($AW73,$AO$72:$AR$76,2,0)-AV72)/AU73*AW72+(AV73-VLOOKUP($AW73,$AO$72:$AR$76,2,0))/AU73*AW73)</f>
        <v>0.15</v>
      </c>
      <c r="AZ73" s="47">
        <f>(ROUND(AU73*AY73,2))</f>
        <v>4211.33</v>
      </c>
      <c r="BA73" s="72">
        <f t="shared" ref="BA73:BA83" si="89">(100+(100*0.00759*-1)+(100*0.01*-1)+(100*0.01*-1)+(100+100*0.14*-1+100*0.01*-1)*AY73*-1)/100</f>
        <v>0.84491000000000005</v>
      </c>
      <c r="BB73" s="47">
        <f t="shared" si="77"/>
        <v>33030</v>
      </c>
      <c r="BC73" s="47">
        <f t="shared" si="78"/>
        <v>28075.5</v>
      </c>
      <c r="BD73" s="46">
        <v>71</v>
      </c>
      <c r="BE73" s="49">
        <v>35.5</v>
      </c>
      <c r="BF73" s="68" t="s">
        <v>0</v>
      </c>
    </row>
    <row r="74" spans="31:58" ht="39.950000000000003" hidden="1" customHeight="1" x14ac:dyDescent="0.25">
      <c r="AE74" s="47">
        <f>($AC$8)</f>
        <v>33030</v>
      </c>
      <c r="AF74" s="47">
        <f t="shared" si="79"/>
        <v>33030</v>
      </c>
      <c r="AG74" s="47">
        <f t="shared" si="80"/>
        <v>0</v>
      </c>
      <c r="AH74" s="47">
        <f t="shared" si="81"/>
        <v>0</v>
      </c>
      <c r="AI74" s="47">
        <f t="shared" si="82"/>
        <v>250.69770000000003</v>
      </c>
      <c r="AJ74" s="47">
        <f t="shared" si="83"/>
        <v>33030</v>
      </c>
      <c r="AK74" s="47">
        <f>(0)</f>
        <v>0</v>
      </c>
      <c r="AL74" s="47">
        <f t="shared" si="84"/>
        <v>33030</v>
      </c>
      <c r="AM74" s="47">
        <f t="shared" si="85"/>
        <v>-4624.2000000000007</v>
      </c>
      <c r="AN74" s="47">
        <f t="shared" si="86"/>
        <v>-330.3</v>
      </c>
      <c r="AO74" s="71">
        <v>0.27</v>
      </c>
      <c r="AP74" s="47">
        <f>$AQ$73</f>
        <v>400000</v>
      </c>
      <c r="AQ74" s="45">
        <v>1500000</v>
      </c>
      <c r="AR74" s="47">
        <f>(AQ73-AP73)*AO73+AR73</f>
        <v>70500</v>
      </c>
      <c r="AS74" s="47">
        <f t="shared" si="87"/>
        <v>28075.5</v>
      </c>
      <c r="AT74" s="47">
        <f>(0)</f>
        <v>0</v>
      </c>
      <c r="AU74" s="47">
        <f t="shared" si="76"/>
        <v>28075.5</v>
      </c>
      <c r="AV74" s="47">
        <f>SUM(AU$72:$AU74)</f>
        <v>84226.5</v>
      </c>
      <c r="AW74" s="70">
        <f>IF(AV74&lt;=$AQ$72,$AO$72,
IF(AV74&gt;$AQ$74,
IF(AV74&gt;$AQ$75,$AO$76,$AO$75),
IF(AV74&lt;$AQ$73,$AO$73,$AO$74)))</f>
        <v>0.15</v>
      </c>
      <c r="AX74" s="69">
        <f t="shared" si="88"/>
        <v>0</v>
      </c>
      <c r="AY74" s="72">
        <f>IF(AX74=0,AW74,(VLOOKUP($AW74,$AO$72:$AR$76,2,0)-AV73)/AU74*AW73+(AV74-VLOOKUP($AW74,$AO$72:$AR$76,2,0))/AU74*AW74)</f>
        <v>0.15</v>
      </c>
      <c r="AZ74" s="47">
        <f t="shared" ref="AZ74:AZ83" si="90">(ROUND(AU74*AY74,2))</f>
        <v>4211.33</v>
      </c>
      <c r="BA74" s="72">
        <f t="shared" si="89"/>
        <v>0.84491000000000005</v>
      </c>
      <c r="BB74" s="47">
        <f t="shared" si="77"/>
        <v>33030</v>
      </c>
      <c r="BC74" s="47">
        <f t="shared" si="78"/>
        <v>28075.5</v>
      </c>
      <c r="BD74" s="46">
        <v>72</v>
      </c>
      <c r="BE74" s="49">
        <v>36</v>
      </c>
      <c r="BF74" s="68" t="s">
        <v>0</v>
      </c>
    </row>
    <row r="75" spans="31:58" ht="39.950000000000003" hidden="1" customHeight="1" x14ac:dyDescent="0.25">
      <c r="AE75" s="47">
        <f>($AC$8)</f>
        <v>33030</v>
      </c>
      <c r="AF75" s="47">
        <f t="shared" si="79"/>
        <v>33030</v>
      </c>
      <c r="AG75" s="47">
        <f t="shared" si="80"/>
        <v>0</v>
      </c>
      <c r="AH75" s="47">
        <f t="shared" si="81"/>
        <v>0</v>
      </c>
      <c r="AI75" s="47">
        <f t="shared" si="82"/>
        <v>250.69770000000003</v>
      </c>
      <c r="AJ75" s="47">
        <f t="shared" si="83"/>
        <v>33030</v>
      </c>
      <c r="AK75" s="47">
        <f>(0)</f>
        <v>0</v>
      </c>
      <c r="AL75" s="47">
        <f t="shared" si="84"/>
        <v>33030</v>
      </c>
      <c r="AM75" s="47">
        <f t="shared" si="85"/>
        <v>-4624.2000000000007</v>
      </c>
      <c r="AN75" s="47">
        <f t="shared" si="86"/>
        <v>-330.3</v>
      </c>
      <c r="AO75" s="71">
        <v>0.35</v>
      </c>
      <c r="AP75" s="47">
        <f>$AQ$74</f>
        <v>1500000</v>
      </c>
      <c r="AQ75" s="45">
        <v>5300000</v>
      </c>
      <c r="AR75" s="47">
        <f>(AQ74-AP74)*AO74+AR74</f>
        <v>367500</v>
      </c>
      <c r="AS75" s="47">
        <f t="shared" si="87"/>
        <v>28075.5</v>
      </c>
      <c r="AT75" s="47">
        <f>(0)</f>
        <v>0</v>
      </c>
      <c r="AU75" s="47">
        <f t="shared" si="76"/>
        <v>28075.5</v>
      </c>
      <c r="AV75" s="47">
        <f>SUM(AU$72:$AU75)</f>
        <v>112302</v>
      </c>
      <c r="AW75" s="70">
        <f>IF(AV75&lt;=$AQ$72,$AO$72,
IF(AV75&gt;$AQ$74,
IF(AV75&gt;$AQ$75,$AO$76,$AO$75),
IF(AV75&lt;$AQ$73,$AO$73,$AO$74)))</f>
        <v>0.15</v>
      </c>
      <c r="AX75" s="69">
        <f t="shared" si="88"/>
        <v>0</v>
      </c>
      <c r="AY75" s="72">
        <f>IF(AX75=0,AW75,(VLOOKUP($AW75,$AO$72:$AR$76,2,0)-AV74)/AU75*AW74+(AV75-VLOOKUP($AW75,$AO$72:$AR$76,2,0))/AU75*AW75)</f>
        <v>0.15</v>
      </c>
      <c r="AZ75" s="47">
        <f t="shared" si="90"/>
        <v>4211.33</v>
      </c>
      <c r="BA75" s="72">
        <f t="shared" si="89"/>
        <v>0.84491000000000005</v>
      </c>
      <c r="BB75" s="47">
        <f t="shared" si="77"/>
        <v>33030</v>
      </c>
      <c r="BC75" s="47">
        <f t="shared" si="78"/>
        <v>28075.5</v>
      </c>
      <c r="BD75" s="46">
        <v>73</v>
      </c>
      <c r="BE75" s="49">
        <v>36.5</v>
      </c>
      <c r="BF75" s="68" t="s">
        <v>0</v>
      </c>
    </row>
    <row r="76" spans="31:58" ht="39.950000000000003" hidden="1" customHeight="1" x14ac:dyDescent="0.25">
      <c r="AE76" s="47">
        <f>($AC$8)</f>
        <v>33030</v>
      </c>
      <c r="AF76" s="47">
        <f t="shared" si="79"/>
        <v>33030</v>
      </c>
      <c r="AG76" s="47">
        <f t="shared" si="80"/>
        <v>0</v>
      </c>
      <c r="AH76" s="47">
        <f t="shared" si="81"/>
        <v>0</v>
      </c>
      <c r="AI76" s="47">
        <f t="shared" si="82"/>
        <v>250.69770000000003</v>
      </c>
      <c r="AJ76" s="47">
        <f t="shared" si="83"/>
        <v>33030</v>
      </c>
      <c r="AK76" s="47">
        <f>(0)</f>
        <v>0</v>
      </c>
      <c r="AL76" s="47">
        <f t="shared" si="84"/>
        <v>33030</v>
      </c>
      <c r="AM76" s="47">
        <f t="shared" si="85"/>
        <v>-4624.2000000000007</v>
      </c>
      <c r="AN76" s="47">
        <f t="shared" si="86"/>
        <v>-330.3</v>
      </c>
      <c r="AO76" s="71">
        <v>0.4</v>
      </c>
      <c r="AP76" s="73">
        <f>$AQ$75</f>
        <v>5300000</v>
      </c>
      <c r="AQ76" s="47">
        <v>999999999</v>
      </c>
      <c r="AR76" s="47">
        <f>(AQ75-AP75)*AO75+AR75</f>
        <v>1697500</v>
      </c>
      <c r="AS76" s="47">
        <f t="shared" si="87"/>
        <v>28075.5</v>
      </c>
      <c r="AT76" s="47">
        <f>(0)</f>
        <v>0</v>
      </c>
      <c r="AU76" s="47">
        <f t="shared" si="76"/>
        <v>28075.5</v>
      </c>
      <c r="AV76" s="47">
        <f>SUM(AU$72:$AU76)</f>
        <v>140377.5</v>
      </c>
      <c r="AW76" s="70">
        <f>IF(AV76&lt;=$AQ$72,$AO$72,
IF(AV76&gt;$AQ$74,
IF(AV76&gt;$AQ$75,$AO$76,$AO$75),
IF(AV76&lt;$AQ$73,$AO$73,$AO$74)))</f>
        <v>0.15</v>
      </c>
      <c r="AX76" s="69">
        <f t="shared" si="88"/>
        <v>0</v>
      </c>
      <c r="AY76" s="72">
        <f>IF(AX76=0,AW76,(VLOOKUP($AW76,$AO$72:$AR$76,2,0)-AV75)/AU76*AW75+(AV76-VLOOKUP($AW76,$AO$72:$AR$76,2,0))/AU76*AW76)</f>
        <v>0.15</v>
      </c>
      <c r="AZ76" s="47">
        <f t="shared" si="90"/>
        <v>4211.33</v>
      </c>
      <c r="BA76" s="72">
        <f t="shared" si="89"/>
        <v>0.84491000000000005</v>
      </c>
      <c r="BB76" s="47">
        <f t="shared" si="77"/>
        <v>33030</v>
      </c>
      <c r="BC76" s="47">
        <f t="shared" si="78"/>
        <v>28075.5</v>
      </c>
      <c r="BD76" s="46">
        <v>74</v>
      </c>
      <c r="BE76" s="49">
        <v>37</v>
      </c>
      <c r="BF76" s="68" t="s">
        <v>0</v>
      </c>
    </row>
    <row r="77" spans="31:58" ht="39.950000000000003" hidden="1" customHeight="1" x14ac:dyDescent="0.25">
      <c r="AE77" s="47">
        <f>($AC$8)</f>
        <v>33030</v>
      </c>
      <c r="AF77" s="47">
        <f t="shared" si="79"/>
        <v>33030</v>
      </c>
      <c r="AG77" s="47">
        <f t="shared" si="80"/>
        <v>0</v>
      </c>
      <c r="AH77" s="47">
        <f t="shared" si="81"/>
        <v>0</v>
      </c>
      <c r="AI77" s="47">
        <f t="shared" si="82"/>
        <v>250.69770000000003</v>
      </c>
      <c r="AJ77" s="47">
        <f t="shared" si="83"/>
        <v>33030</v>
      </c>
      <c r="AK77" s="47">
        <f>(0)</f>
        <v>0</v>
      </c>
      <c r="AL77" s="47">
        <f t="shared" si="84"/>
        <v>33030</v>
      </c>
      <c r="AM77" s="47">
        <f t="shared" si="85"/>
        <v>-4624.2000000000007</v>
      </c>
      <c r="AN77" s="47">
        <f t="shared" si="86"/>
        <v>-330.3</v>
      </c>
      <c r="AO77" s="47" t="s">
        <v>0</v>
      </c>
      <c r="AP77" s="47" t="s">
        <v>0</v>
      </c>
      <c r="AQ77" s="47" t="s">
        <v>0</v>
      </c>
      <c r="AR77" s="47" t="s">
        <v>0</v>
      </c>
      <c r="AS77" s="47">
        <f t="shared" si="87"/>
        <v>28075.5</v>
      </c>
      <c r="AT77" s="47">
        <f>(0)</f>
        <v>0</v>
      </c>
      <c r="AU77" s="47">
        <f t="shared" si="76"/>
        <v>28075.5</v>
      </c>
      <c r="AV77" s="47">
        <f>SUM(AU$72:$AU77)</f>
        <v>168453</v>
      </c>
      <c r="AW77" s="70">
        <f>IF(AV77&lt;=$AQ$72,$AO$72,
IF(AV77&gt;$AQ$74,
IF(AV77&gt;$AQ$75,$AO$76,$AO$75),
IF(AV77&lt;$AQ$73,$AO$73,$AO$74)))</f>
        <v>0.15</v>
      </c>
      <c r="AX77" s="69">
        <f t="shared" si="88"/>
        <v>0</v>
      </c>
      <c r="AY77" s="72">
        <f>IF(AX77=0,AW77,(VLOOKUP($AW77,$AO$72:$AR$76,2,0)-AV76)/AU77*AW76+(AV77-VLOOKUP($AW77,$AO$72:$AR$76,2,0))/AU77*AW77)</f>
        <v>0.15</v>
      </c>
      <c r="AZ77" s="47">
        <f t="shared" si="90"/>
        <v>4211.33</v>
      </c>
      <c r="BA77" s="72">
        <f t="shared" si="89"/>
        <v>0.84491000000000005</v>
      </c>
      <c r="BB77" s="47">
        <f t="shared" si="77"/>
        <v>33030</v>
      </c>
      <c r="BC77" s="47">
        <f t="shared" si="78"/>
        <v>28075.5</v>
      </c>
      <c r="BD77" s="46">
        <v>75</v>
      </c>
      <c r="BE77" s="49">
        <v>37.5</v>
      </c>
      <c r="BF77" s="68" t="s">
        <v>0</v>
      </c>
    </row>
    <row r="78" spans="31:58" ht="39.950000000000003" hidden="1" customHeight="1" x14ac:dyDescent="0.25">
      <c r="AE78" s="47">
        <f>($AD$8)</f>
        <v>33030</v>
      </c>
      <c r="AF78" s="47">
        <f t="shared" si="79"/>
        <v>33030</v>
      </c>
      <c r="AG78" s="47">
        <f t="shared" si="80"/>
        <v>0</v>
      </c>
      <c r="AH78" s="47">
        <f t="shared" si="81"/>
        <v>0</v>
      </c>
      <c r="AI78" s="47">
        <f t="shared" si="82"/>
        <v>250.69770000000003</v>
      </c>
      <c r="AJ78" s="47">
        <f t="shared" si="83"/>
        <v>33030</v>
      </c>
      <c r="AK78" s="47">
        <f>(0)</f>
        <v>0</v>
      </c>
      <c r="AL78" s="47">
        <f t="shared" si="84"/>
        <v>33030</v>
      </c>
      <c r="AM78" s="47">
        <f t="shared" si="85"/>
        <v>-4624.2000000000007</v>
      </c>
      <c r="AN78" s="47">
        <f t="shared" si="86"/>
        <v>-330.3</v>
      </c>
      <c r="AO78" s="47" t="s">
        <v>0</v>
      </c>
      <c r="AP78" s="47" t="s">
        <v>0</v>
      </c>
      <c r="AQ78" s="47" t="s">
        <v>0</v>
      </c>
      <c r="AR78" s="47" t="s">
        <v>0</v>
      </c>
      <c r="AS78" s="47">
        <f t="shared" si="87"/>
        <v>28075.5</v>
      </c>
      <c r="AT78" s="47">
        <f>(0)</f>
        <v>0</v>
      </c>
      <c r="AU78" s="47">
        <f t="shared" si="76"/>
        <v>28075.5</v>
      </c>
      <c r="AV78" s="47">
        <f>SUM(AU$72:$AU78)</f>
        <v>196528.5</v>
      </c>
      <c r="AW78" s="70">
        <f>IF(AV78&lt;=$AQ$72,$AO$72,
IF(AV78&gt;$AQ$74,
IF(AV78&gt;$AQ$75,$AO$76,$AO$75),
IF(AV78&lt;$AQ$73,$AO$73,$AO$74)))</f>
        <v>0.2</v>
      </c>
      <c r="AX78" s="69">
        <f t="shared" si="88"/>
        <v>1</v>
      </c>
      <c r="AY78" s="72">
        <f>IF(AX78=0,AW78,(VLOOKUP($AW78,$AO$72:$AR$76,2,0)-AV77)/AU78*AW77+(AV78-VLOOKUP($AW78,$AO$72:$AR$76,2,0))/AU78*AW78)</f>
        <v>0.16162668518815337</v>
      </c>
      <c r="AZ78" s="47">
        <f t="shared" si="90"/>
        <v>4537.75</v>
      </c>
      <c r="BA78" s="72">
        <f t="shared" si="89"/>
        <v>0.83502731759006965</v>
      </c>
      <c r="BB78" s="47">
        <f t="shared" si="77"/>
        <v>33030</v>
      </c>
      <c r="BC78" s="47">
        <f t="shared" si="78"/>
        <v>28075.5</v>
      </c>
      <c r="BD78" s="46">
        <v>76</v>
      </c>
      <c r="BE78" s="49">
        <v>38</v>
      </c>
      <c r="BF78" s="68" t="s">
        <v>0</v>
      </c>
    </row>
    <row r="79" spans="31:58" ht="39.950000000000003" hidden="1" customHeight="1" x14ac:dyDescent="0.25">
      <c r="AE79" s="47">
        <f>($AD$8)</f>
        <v>33030</v>
      </c>
      <c r="AF79" s="47">
        <f t="shared" si="79"/>
        <v>33030</v>
      </c>
      <c r="AG79" s="47">
        <f t="shared" si="80"/>
        <v>0</v>
      </c>
      <c r="AH79" s="47">
        <f t="shared" si="81"/>
        <v>0</v>
      </c>
      <c r="AI79" s="47">
        <f t="shared" si="82"/>
        <v>250.69770000000003</v>
      </c>
      <c r="AJ79" s="47">
        <f t="shared" si="83"/>
        <v>33030</v>
      </c>
      <c r="AK79" s="47">
        <f>(0)</f>
        <v>0</v>
      </c>
      <c r="AL79" s="47">
        <f t="shared" si="84"/>
        <v>33030</v>
      </c>
      <c r="AM79" s="47">
        <f t="shared" si="85"/>
        <v>-4624.2000000000007</v>
      </c>
      <c r="AN79" s="47">
        <f t="shared" si="86"/>
        <v>-330.3</v>
      </c>
      <c r="AO79" s="47" t="s">
        <v>0</v>
      </c>
      <c r="AP79" s="47" t="s">
        <v>0</v>
      </c>
      <c r="AQ79" s="47" t="s">
        <v>0</v>
      </c>
      <c r="AR79" s="47" t="s">
        <v>0</v>
      </c>
      <c r="AS79" s="47">
        <f t="shared" si="87"/>
        <v>28075.5</v>
      </c>
      <c r="AT79" s="47">
        <f>(0)</f>
        <v>0</v>
      </c>
      <c r="AU79" s="47">
        <f t="shared" si="76"/>
        <v>28075.5</v>
      </c>
      <c r="AV79" s="47">
        <f>SUM(AU$72:$AU79)</f>
        <v>224604</v>
      </c>
      <c r="AW79" s="70">
        <f>IF(AV79&lt;=$AQ$72,$AO$72,
IF(AV79&gt;$AQ$74,
IF(AV79&gt;$AQ$75,$AO$76,$AO$75),
IF(AV79&lt;$AQ$73,$AO$73,$AO$74)))</f>
        <v>0.2</v>
      </c>
      <c r="AX79" s="69">
        <f t="shared" si="88"/>
        <v>0</v>
      </c>
      <c r="AY79" s="72">
        <f>IF(AX79=0,AW79,(VLOOKUP($AW79,$AO$72:$AR$76,2,0)-AV78)/AU79*AW78+(AV79-VLOOKUP($AW79,$AO$72:$AR$76,2,0))/AU79*AW79)</f>
        <v>0.2</v>
      </c>
      <c r="AZ79" s="47">
        <f t="shared" si="90"/>
        <v>5615.1</v>
      </c>
      <c r="BA79" s="72">
        <f t="shared" si="89"/>
        <v>0.80240999999999996</v>
      </c>
      <c r="BB79" s="47">
        <f t="shared" si="77"/>
        <v>33030</v>
      </c>
      <c r="BC79" s="47">
        <f t="shared" si="78"/>
        <v>28075.5</v>
      </c>
      <c r="BD79" s="46">
        <v>77</v>
      </c>
      <c r="BE79" s="49">
        <v>38.5</v>
      </c>
      <c r="BF79" s="68" t="s">
        <v>0</v>
      </c>
    </row>
    <row r="80" spans="31:58" ht="39.950000000000003" hidden="1" customHeight="1" x14ac:dyDescent="0.25">
      <c r="AE80" s="47">
        <f>($AD$8)</f>
        <v>33030</v>
      </c>
      <c r="AF80" s="47">
        <f t="shared" si="79"/>
        <v>33030</v>
      </c>
      <c r="AG80" s="47">
        <f t="shared" si="80"/>
        <v>0</v>
      </c>
      <c r="AH80" s="47">
        <f t="shared" si="81"/>
        <v>0</v>
      </c>
      <c r="AI80" s="47">
        <f t="shared" si="82"/>
        <v>250.69770000000003</v>
      </c>
      <c r="AJ80" s="47">
        <f t="shared" si="83"/>
        <v>33030</v>
      </c>
      <c r="AK80" s="47">
        <f>(0)</f>
        <v>0</v>
      </c>
      <c r="AL80" s="47">
        <f t="shared" si="84"/>
        <v>33030</v>
      </c>
      <c r="AM80" s="47">
        <f t="shared" si="85"/>
        <v>-4624.2000000000007</v>
      </c>
      <c r="AN80" s="47">
        <f t="shared" si="86"/>
        <v>-330.3</v>
      </c>
      <c r="AO80" s="47" t="s">
        <v>0</v>
      </c>
      <c r="AP80" s="47" t="s">
        <v>0</v>
      </c>
      <c r="AQ80" s="47" t="s">
        <v>0</v>
      </c>
      <c r="AR80" s="47" t="s">
        <v>0</v>
      </c>
      <c r="AS80" s="47">
        <f t="shared" si="87"/>
        <v>28075.5</v>
      </c>
      <c r="AT80" s="47">
        <f>(0)</f>
        <v>0</v>
      </c>
      <c r="AU80" s="47">
        <f t="shared" si="76"/>
        <v>28075.5</v>
      </c>
      <c r="AV80" s="47">
        <f>SUM(AU$72:$AU80)</f>
        <v>252679.5</v>
      </c>
      <c r="AW80" s="70">
        <f>IF(AV80&lt;=$AQ$72,$AO$72,
IF(AV80&gt;$AQ$74,
IF(AV80&gt;$AQ$75,$AO$76,$AO$75),
IF(AV80&lt;$AQ$73,$AO$73,$AO$74)))</f>
        <v>0.2</v>
      </c>
      <c r="AX80" s="69">
        <f t="shared" si="88"/>
        <v>0</v>
      </c>
      <c r="AY80" s="72">
        <f>IF(AX80=0,AW80,(VLOOKUP($AW80,$AO$72:$AR$76,2,0)-AV79)/AU80*AW79+(AV80-VLOOKUP($AW80,$AO$72:$AR$76,2,0))/AU80*AW80)</f>
        <v>0.2</v>
      </c>
      <c r="AZ80" s="47">
        <f t="shared" si="90"/>
        <v>5615.1</v>
      </c>
      <c r="BA80" s="72">
        <f t="shared" si="89"/>
        <v>0.80240999999999996</v>
      </c>
      <c r="BB80" s="47">
        <f t="shared" si="77"/>
        <v>33030</v>
      </c>
      <c r="BC80" s="47">
        <f t="shared" si="78"/>
        <v>28075.5</v>
      </c>
      <c r="BD80" s="46">
        <v>78</v>
      </c>
      <c r="BE80" s="49">
        <v>39</v>
      </c>
      <c r="BF80" s="68" t="s">
        <v>0</v>
      </c>
    </row>
    <row r="81" spans="22:58" ht="39.950000000000003" hidden="1" customHeight="1" x14ac:dyDescent="0.25">
      <c r="AE81" s="47">
        <f>($AD$8)</f>
        <v>33030</v>
      </c>
      <c r="AF81" s="47">
        <f t="shared" si="79"/>
        <v>33030</v>
      </c>
      <c r="AG81" s="47">
        <f t="shared" si="80"/>
        <v>0</v>
      </c>
      <c r="AH81" s="47">
        <f t="shared" si="81"/>
        <v>0</v>
      </c>
      <c r="AI81" s="47">
        <f t="shared" si="82"/>
        <v>250.69770000000003</v>
      </c>
      <c r="AJ81" s="47">
        <f t="shared" si="83"/>
        <v>33030</v>
      </c>
      <c r="AK81" s="47">
        <f>(0)</f>
        <v>0</v>
      </c>
      <c r="AL81" s="47">
        <f t="shared" si="84"/>
        <v>33030</v>
      </c>
      <c r="AM81" s="47">
        <f t="shared" si="85"/>
        <v>-4624.2000000000007</v>
      </c>
      <c r="AN81" s="47">
        <f t="shared" si="86"/>
        <v>-330.3</v>
      </c>
      <c r="AO81" s="47" t="s">
        <v>0</v>
      </c>
      <c r="AP81" s="47" t="s">
        <v>0</v>
      </c>
      <c r="AQ81" s="47" t="s">
        <v>0</v>
      </c>
      <c r="AR81" s="47" t="s">
        <v>0</v>
      </c>
      <c r="AS81" s="47">
        <f t="shared" si="87"/>
        <v>28075.5</v>
      </c>
      <c r="AT81" s="47">
        <f>(0)</f>
        <v>0</v>
      </c>
      <c r="AU81" s="47">
        <f t="shared" si="76"/>
        <v>28075.5</v>
      </c>
      <c r="AV81" s="47">
        <f>SUM(AU$72:$AU81)</f>
        <v>280755</v>
      </c>
      <c r="AW81" s="70">
        <f>IF(AV81&lt;=$AQ$72,$AO$72,
IF(AV81&gt;$AQ$74,
IF(AV81&gt;$AQ$75,$AO$76,$AO$75),
IF(AV81&lt;$AQ$73,$AO$73,$AO$74)))</f>
        <v>0.2</v>
      </c>
      <c r="AX81" s="69">
        <f t="shared" si="88"/>
        <v>0</v>
      </c>
      <c r="AY81" s="72">
        <f>IF(AX81=0,AW81,(VLOOKUP($AW81,$AO$72:$AR$76,2,0)-AV80)/AU81*AW80+(AV81-VLOOKUP($AW81,$AO$72:$AR$76,2,0))/AU81*AW81)</f>
        <v>0.2</v>
      </c>
      <c r="AZ81" s="47">
        <f t="shared" si="90"/>
        <v>5615.1</v>
      </c>
      <c r="BA81" s="72">
        <f t="shared" si="89"/>
        <v>0.80240999999999996</v>
      </c>
      <c r="BB81" s="47">
        <f t="shared" si="77"/>
        <v>33030</v>
      </c>
      <c r="BC81" s="47">
        <f t="shared" si="78"/>
        <v>28075.5</v>
      </c>
      <c r="BD81" s="46">
        <v>79</v>
      </c>
      <c r="BE81" s="49">
        <v>39.5</v>
      </c>
      <c r="BF81" s="68" t="s">
        <v>0</v>
      </c>
    </row>
    <row r="82" spans="22:58" ht="39.950000000000003" hidden="1" customHeight="1" x14ac:dyDescent="0.25">
      <c r="AE82" s="47">
        <f>($AD$8)</f>
        <v>33030</v>
      </c>
      <c r="AF82" s="47">
        <f t="shared" si="79"/>
        <v>33030</v>
      </c>
      <c r="AG82" s="47">
        <f t="shared" si="80"/>
        <v>0</v>
      </c>
      <c r="AH82" s="47">
        <f t="shared" si="81"/>
        <v>0</v>
      </c>
      <c r="AI82" s="47">
        <f t="shared" si="82"/>
        <v>250.69770000000003</v>
      </c>
      <c r="AJ82" s="47">
        <f t="shared" si="83"/>
        <v>33030</v>
      </c>
      <c r="AK82" s="47">
        <f>(0)</f>
        <v>0</v>
      </c>
      <c r="AL82" s="47">
        <f t="shared" si="84"/>
        <v>33030</v>
      </c>
      <c r="AM82" s="47">
        <f t="shared" si="85"/>
        <v>-4624.2000000000007</v>
      </c>
      <c r="AN82" s="47">
        <f t="shared" si="86"/>
        <v>-330.3</v>
      </c>
      <c r="AO82" s="47" t="s">
        <v>0</v>
      </c>
      <c r="AP82" s="47" t="s">
        <v>0</v>
      </c>
      <c r="AQ82" s="47" t="s">
        <v>0</v>
      </c>
      <c r="AR82" s="47" t="s">
        <v>0</v>
      </c>
      <c r="AS82" s="47">
        <f t="shared" si="87"/>
        <v>28075.5</v>
      </c>
      <c r="AT82" s="47">
        <f>(0)</f>
        <v>0</v>
      </c>
      <c r="AU82" s="47">
        <f t="shared" si="76"/>
        <v>28075.5</v>
      </c>
      <c r="AV82" s="47">
        <f>SUM(AU$72:$AU82)</f>
        <v>308830.5</v>
      </c>
      <c r="AW82" s="70">
        <f>IF(AV82&lt;=$AQ$72,$AO$72,
IF(AV82&gt;$AQ$74,
IF(AV82&gt;$AQ$75,$AO$76,$AO$75),
IF(AV82&lt;$AQ$73,$AO$73,$AO$74)))</f>
        <v>0.2</v>
      </c>
      <c r="AX82" s="69">
        <f t="shared" si="88"/>
        <v>0</v>
      </c>
      <c r="AY82" s="72">
        <f>IF(AX82=0,AW82,(VLOOKUP($AW82,$AO$72:$AR$76,2,0)-AV81)/AU82*AW81+(AV82-VLOOKUP($AW82,$AO$72:$AR$76,2,0))/AU82*AW82)</f>
        <v>0.2</v>
      </c>
      <c r="AZ82" s="47">
        <f t="shared" si="90"/>
        <v>5615.1</v>
      </c>
      <c r="BA82" s="72">
        <f t="shared" si="89"/>
        <v>0.80240999999999996</v>
      </c>
      <c r="BB82" s="47">
        <f t="shared" si="77"/>
        <v>33030</v>
      </c>
      <c r="BC82" s="47">
        <f t="shared" si="78"/>
        <v>28075.5</v>
      </c>
      <c r="BD82" s="46">
        <v>80</v>
      </c>
      <c r="BE82" s="49">
        <v>40</v>
      </c>
      <c r="BF82" s="68" t="s">
        <v>0</v>
      </c>
    </row>
    <row r="83" spans="22:58" ht="39.950000000000003" hidden="1" customHeight="1" x14ac:dyDescent="0.25">
      <c r="AE83" s="47">
        <f>($AD$8)</f>
        <v>33030</v>
      </c>
      <c r="AF83" s="47">
        <f t="shared" si="79"/>
        <v>33030</v>
      </c>
      <c r="AG83" s="47">
        <f t="shared" si="80"/>
        <v>0</v>
      </c>
      <c r="AH83" s="47">
        <f t="shared" si="81"/>
        <v>0</v>
      </c>
      <c r="AI83" s="47">
        <f t="shared" si="82"/>
        <v>250.69770000000003</v>
      </c>
      <c r="AJ83" s="47">
        <f t="shared" si="83"/>
        <v>33030</v>
      </c>
      <c r="AK83" s="47">
        <f>(0)</f>
        <v>0</v>
      </c>
      <c r="AL83" s="47">
        <f t="shared" si="84"/>
        <v>33030</v>
      </c>
      <c r="AM83" s="47">
        <f t="shared" si="85"/>
        <v>-4624.2000000000007</v>
      </c>
      <c r="AN83" s="47">
        <f t="shared" si="86"/>
        <v>-330.3</v>
      </c>
      <c r="AO83" s="47" t="s">
        <v>0</v>
      </c>
      <c r="AP83" s="47" t="s">
        <v>0</v>
      </c>
      <c r="AQ83" s="47" t="s">
        <v>0</v>
      </c>
      <c r="AR83" s="47" t="s">
        <v>0</v>
      </c>
      <c r="AS83" s="47">
        <f t="shared" si="87"/>
        <v>28075.5</v>
      </c>
      <c r="AT83" s="47">
        <f>(0)</f>
        <v>0</v>
      </c>
      <c r="AU83" s="47">
        <f t="shared" si="76"/>
        <v>28075.5</v>
      </c>
      <c r="AV83" s="47">
        <f>SUM(AU$72:$AU83)</f>
        <v>336906</v>
      </c>
      <c r="AW83" s="70">
        <f>IF(AV83&lt;=$AQ$72,$AO$72,
IF(AV83&gt;$AQ$74,
IF(AV83&gt;$AQ$75,$AO$76,$AO$75),
IF(AV83&lt;$AQ$73,$AO$73,$AO$74)))</f>
        <v>0.2</v>
      </c>
      <c r="AX83" s="69">
        <f t="shared" si="88"/>
        <v>0</v>
      </c>
      <c r="AY83" s="72">
        <f>IF(AX83=0,AW83,(VLOOKUP($AW83,$AO$72:$AR$76,2,0)-AV82)/AU83*AW82+(AV83-VLOOKUP($AW83,$AO$72:$AR$76,2,0))/AU83*AW83)</f>
        <v>0.2</v>
      </c>
      <c r="AZ83" s="47">
        <f t="shared" si="90"/>
        <v>5615.1</v>
      </c>
      <c r="BA83" s="72">
        <f t="shared" si="89"/>
        <v>0.80240999999999996</v>
      </c>
      <c r="BB83" s="47">
        <f t="shared" si="77"/>
        <v>33030</v>
      </c>
      <c r="BC83" s="47">
        <f t="shared" si="78"/>
        <v>28075.5</v>
      </c>
      <c r="BD83" s="46">
        <v>81</v>
      </c>
      <c r="BE83" s="49">
        <v>40.5</v>
      </c>
      <c r="BF83" s="68" t="s">
        <v>0</v>
      </c>
    </row>
    <row r="84" spans="22:58" ht="39.950000000000003" hidden="1" customHeight="1" x14ac:dyDescent="0.25">
      <c r="V84" s="44"/>
      <c r="AE84" s="47">
        <f t="shared" ref="AE84" si="91">(AE72+AE73+AE74+AE75+AE76+AE77+AE78+AE79+AE80+AE81+AE82+AE83)</f>
        <v>396360</v>
      </c>
      <c r="AF84" s="47">
        <f t="shared" ref="AF84" si="92">(AF72+AF73+AF74+AF75+AF76+AF77+AF78+AF79+AF80+AF81+AF82+AF83)</f>
        <v>396360</v>
      </c>
      <c r="AG84" s="47">
        <f t="shared" ref="AG84" si="93">(AG72+AG73+AG74+AG75+AG76+AG77+AG78+AG79+AG80+AG81+AG82+AG83)</f>
        <v>0</v>
      </c>
      <c r="AH84" s="47">
        <f t="shared" ref="AH84:AJ84" si="94">(AH72+AH73+AH74+AH75+AH76+AH77+AH78+AH79+AH80+AH81+AH82+AH83)</f>
        <v>0</v>
      </c>
      <c r="AI84" s="47">
        <f t="shared" si="94"/>
        <v>3008.3724000000007</v>
      </c>
      <c r="AJ84" s="47">
        <f t="shared" si="94"/>
        <v>396360</v>
      </c>
      <c r="AK84" s="47">
        <f t="shared" ref="AK84" si="95">(AK72+AK73+AK74+AK75+AK76+AK77+AK78+AK79+AK80+AK81+AK82+AK83)</f>
        <v>0</v>
      </c>
      <c r="AL84" s="47">
        <f t="shared" ref="AL84" si="96">(AL72+AL73+AL74+AL75+AL76+AL77+AL78+AL79+AL80+AL81+AL82+AL83)</f>
        <v>396360</v>
      </c>
      <c r="AM84" s="47">
        <f t="shared" ref="AM84" si="97">(AM72+AM73+AM74+AM75+AM76+AM77+AM78+AM79+AM80+AM81+AM82+AM83)</f>
        <v>-55490.399999999994</v>
      </c>
      <c r="AN84" s="47">
        <f t="shared" ref="AN84" si="98">(AN72+AN73+AN74+AN75+AN76+AN77+AN78+AN79+AN80+AN81+AN82+AN83)</f>
        <v>-3963.6000000000008</v>
      </c>
      <c r="AO84" s="62" t="s">
        <v>0</v>
      </c>
      <c r="AP84" s="62" t="s">
        <v>0</v>
      </c>
      <c r="AQ84" s="62" t="s">
        <v>0</v>
      </c>
      <c r="AR84" s="62" t="s">
        <v>0</v>
      </c>
      <c r="AS84" s="47">
        <f t="shared" ref="AS84" si="99">(AS72+AS73+AS74+AS75+AS76+AS77+AS78+AS79+AS80+AS81+AS82+AS83)</f>
        <v>336906</v>
      </c>
      <c r="AT84" s="47">
        <f t="shared" ref="AT84" si="100">(AT72+AT73+AT74+AT75+AT76+AT77+AT78+AT79+AT80+AT81+AT82+AT83)</f>
        <v>0</v>
      </c>
      <c r="AU84" s="47">
        <f t="shared" ref="AU84" si="101">(AU72+AU73+AU74+AU75+AU76+AU77+AU78+AU79+AU80+AU81+AU82+AU83)</f>
        <v>336906</v>
      </c>
      <c r="AV84" s="62" t="s">
        <v>0</v>
      </c>
      <c r="AW84" s="46" t="s">
        <v>0</v>
      </c>
      <c r="AX84" s="46" t="s">
        <v>0</v>
      </c>
      <c r="AY84" s="46" t="s">
        <v>0</v>
      </c>
      <c r="AZ84" s="47">
        <f t="shared" ref="AZ84" si="102">(AZ72+AZ73+AZ74+AZ75+AZ76+AZ77+AZ78+AZ79+AZ80+AZ81+AZ82+AZ83)</f>
        <v>57881.229999999996</v>
      </c>
      <c r="BA84" s="46" t="s">
        <v>0</v>
      </c>
      <c r="BB84" s="47">
        <f t="shared" ref="BB84" si="103">(BB72+BB73+BB74+BB75+BB76+BB77+BB78+BB79+BB80+BB81+BB82+BB83)</f>
        <v>396360</v>
      </c>
      <c r="BC84" s="47">
        <f t="shared" ref="BC84" si="104">(BC72+BC73+BC74+BC75+BC76+BC77+BC78+BC79+BC80+BC81+BC82+BC83)</f>
        <v>336906</v>
      </c>
      <c r="BD84" s="46">
        <v>82</v>
      </c>
      <c r="BE84" s="49">
        <v>41</v>
      </c>
      <c r="BF84" s="68" t="s">
        <v>0</v>
      </c>
    </row>
    <row r="85" spans="22:58" ht="39.950000000000003" hidden="1" customHeight="1" x14ac:dyDescent="0.25">
      <c r="V85" s="44"/>
      <c r="AE85" s="47">
        <f t="shared" ref="AE85" si="105">(AE84/12)</f>
        <v>33030</v>
      </c>
      <c r="AF85" s="47">
        <f t="shared" ref="AF85" si="106">(AF84/12)</f>
        <v>33030</v>
      </c>
      <c r="AG85" s="47">
        <f t="shared" ref="AG85" si="107">(AG84/12)</f>
        <v>0</v>
      </c>
      <c r="AH85" s="47">
        <f t="shared" ref="AH85:AJ85" si="108">(AH84/12)</f>
        <v>0</v>
      </c>
      <c r="AI85" s="47">
        <f t="shared" si="108"/>
        <v>250.69770000000005</v>
      </c>
      <c r="AJ85" s="47">
        <f t="shared" si="108"/>
        <v>33030</v>
      </c>
      <c r="AK85" s="47">
        <f t="shared" ref="AK85" si="109">(AK84/12)</f>
        <v>0</v>
      </c>
      <c r="AL85" s="47">
        <f t="shared" ref="AL85" si="110">(AL84/12)</f>
        <v>33030</v>
      </c>
      <c r="AM85" s="47">
        <f t="shared" ref="AM85" si="111">(AM84/12)</f>
        <v>-4624.2</v>
      </c>
      <c r="AN85" s="47">
        <f t="shared" ref="AN85" si="112">(AN84/12)</f>
        <v>-330.30000000000007</v>
      </c>
      <c r="AO85" s="62" t="s">
        <v>0</v>
      </c>
      <c r="AP85" s="62" t="s">
        <v>0</v>
      </c>
      <c r="AQ85" s="62" t="s">
        <v>0</v>
      </c>
      <c r="AR85" s="62" t="s">
        <v>0</v>
      </c>
      <c r="AS85" s="47">
        <f t="shared" ref="AS85" si="113">(AS84/12)</f>
        <v>28075.5</v>
      </c>
      <c r="AT85" s="47">
        <f t="shared" ref="AT85" si="114">(AT84/12)</f>
        <v>0</v>
      </c>
      <c r="AU85" s="47">
        <f t="shared" ref="AU85" si="115">(AU84/12)</f>
        <v>28075.5</v>
      </c>
      <c r="AV85" s="62" t="s">
        <v>0</v>
      </c>
      <c r="AW85" s="62" t="s">
        <v>0</v>
      </c>
      <c r="AX85" s="62" t="s">
        <v>0</v>
      </c>
      <c r="AY85" s="62" t="s">
        <v>0</v>
      </c>
      <c r="AZ85" s="47">
        <f t="shared" ref="AZ85" si="116">(AZ84/12)</f>
        <v>4823.435833333333</v>
      </c>
      <c r="BA85" s="62" t="s">
        <v>0</v>
      </c>
      <c r="BB85" s="47">
        <f t="shared" ref="BB85" si="117">(BB84/12)</f>
        <v>33030</v>
      </c>
      <c r="BC85" s="47">
        <f t="shared" ref="BC85" si="118">(BC84/12)</f>
        <v>28075.5</v>
      </c>
      <c r="BD85" s="46">
        <v>83</v>
      </c>
      <c r="BE85" s="49">
        <v>41.5</v>
      </c>
      <c r="BF85" s="68" t="s">
        <v>0</v>
      </c>
    </row>
    <row r="86" spans="22:58" ht="39.950000000000003" hidden="1" customHeight="1" x14ac:dyDescent="0.25">
      <c r="V86" s="44"/>
      <c r="AR86" s="47">
        <f>(0)</f>
        <v>0</v>
      </c>
      <c r="AS86" s="70">
        <f>(0%)</f>
        <v>0</v>
      </c>
      <c r="BD86" s="46">
        <v>84</v>
      </c>
      <c r="BE86" s="49">
        <v>42</v>
      </c>
      <c r="BF86" s="68" t="s">
        <v>0</v>
      </c>
    </row>
    <row r="87" spans="22:58" ht="39.950000000000003" hidden="1" customHeight="1" x14ac:dyDescent="0.25">
      <c r="V87" s="44"/>
      <c r="AE87" s="47">
        <f ca="1">(AO15+AJ1+AL1+AN1+AP1+AE43+AH43+AM43+AP43+AG57+AJ57*AU87)</f>
        <v>101213.88921161288</v>
      </c>
      <c r="AF87" s="47">
        <f t="shared" ref="AF87:AF98" ca="1" si="119">(ROUND((AE87+AI87*-1+AM87*-1+AN87*-1+AW87*-1),2))</f>
        <v>132377.63</v>
      </c>
      <c r="AG87" s="47">
        <f ca="1">(AR1+AF72)</f>
        <v>40830</v>
      </c>
      <c r="AH87" s="47">
        <f ca="1">(AF87-AG87)</f>
        <v>91547.63</v>
      </c>
      <c r="AI87" s="47">
        <f t="shared" ref="AI87:AI98" ca="1" si="120">(ROUND(AH87*0.00759*-1,2))</f>
        <v>-694.85</v>
      </c>
      <c r="AJ87" s="47">
        <f t="shared" ref="AJ87:AJ98" ca="1" si="121">(AF87)</f>
        <v>132377.63</v>
      </c>
      <c r="AK87" s="47">
        <f ca="1">(AH29+AF57)</f>
        <v>4108</v>
      </c>
      <c r="AL87" s="47">
        <f ca="1">IF(AJ87-AK87&gt;=AE72*7.5,AE72*7.5,AJ87-AK87)</f>
        <v>128269.63</v>
      </c>
      <c r="AM87" s="47">
        <f ca="1">(ROUND(IF(AL87&gt;AE72*7.5,AE72*7.5*0.14*-1,AL87*0.14*-1),2))</f>
        <v>-17957.75</v>
      </c>
      <c r="AN87" s="47">
        <f ca="1">(ROUND(IF(AL87&gt;AE72*7.5,AE72*7.5*0.01*-1,AL87*0.01*-1),2))</f>
        <v>-1282.7</v>
      </c>
      <c r="AO87" s="47">
        <f t="shared" ref="AO87:AO98" ca="1" si="122">(AF87+AM87+AN87)</f>
        <v>113137.18000000001</v>
      </c>
      <c r="AP87" s="47">
        <f ca="1">(AM29+AF57+AJ57)</f>
        <v>10205.409677419355</v>
      </c>
      <c r="AQ87" s="47">
        <f ca="1">(AO87-AP87)</f>
        <v>102931.77032258065</v>
      </c>
      <c r="AR87" s="47">
        <f ca="1">SUM($AQ$87:AQ87)</f>
        <v>102931.77032258065</v>
      </c>
      <c r="AS87" s="70">
        <f ca="1">IF(AR87&lt;=$AQ$72,$AO$72,
IF(AR87&gt;$AQ$74,
IF(AR87&gt;$AQ$75,$AO$76,$AO$75),
IF(AR87&lt;$AQ$73,$AO$73,$AO$74)))</f>
        <v>0.15</v>
      </c>
      <c r="AT87" s="69">
        <f ca="1">IF(AS87-AS86=0,0,1)</f>
        <v>1</v>
      </c>
      <c r="AU87" s="72">
        <f ca="1">(IF(AT87=0,AS87,(VLOOKUP($AS87,$AO$72:$AR$76,2,0)-AR86)/AQ87*AS86+(AR87-VLOOKUP($AS87,$AO$72:$AR$76,2,0))/AQ87*AS87))</f>
        <v>0.15</v>
      </c>
      <c r="AV87" s="47">
        <f ca="1">(ROUND(AQ87*AU87,2)*(-1)+VLOOKUP(AS87,$AO$72:$AR$76,4,0)*(-1))</f>
        <v>-15439.77</v>
      </c>
      <c r="AW87" s="47">
        <f ca="1">(AV87+AZ72)</f>
        <v>-11228.44</v>
      </c>
      <c r="AX87" s="72">
        <f t="shared" ref="AX87:AX98" ca="1" si="123">(100+(100*0.00759*-1)+(100)*AU87*-1)/100</f>
        <v>0.84240999999999999</v>
      </c>
      <c r="AY87" s="72">
        <f>(100+(100*0.00759*-1)+(100*0.14*-1)+(100*0.01*-1))/100</f>
        <v>0.84240999999999999</v>
      </c>
      <c r="AZ87" s="72">
        <f t="shared" ref="AZ87:AZ98" ca="1" si="124">(100+(100*0.00759*-1)+(100*0.14*-1)+(100*0.01*-1)+(100+100*0.14*-1+100*0.01*-1)*AU87*-1)/100</f>
        <v>0.71491000000000005</v>
      </c>
      <c r="BD87" s="46">
        <v>85</v>
      </c>
      <c r="BE87" s="49">
        <v>42.5</v>
      </c>
      <c r="BF87" s="68" t="s">
        <v>0</v>
      </c>
    </row>
    <row r="88" spans="22:58" ht="39.950000000000003" hidden="1" customHeight="1" x14ac:dyDescent="0.25">
      <c r="V88" s="44"/>
      <c r="AE88" s="47">
        <f ca="1">(AO16+AJ2+AL2+AN2+AP2+AE44+AH44+AM44+AP44+AG58+AJ58*AU88)</f>
        <v>95310.352542661538</v>
      </c>
      <c r="AF88" s="47">
        <f t="shared" ca="1" si="119"/>
        <v>124779.18</v>
      </c>
      <c r="AG88" s="47">
        <f ca="1">(AR2+AF73)</f>
        <v>40830</v>
      </c>
      <c r="AH88" s="47">
        <f t="shared" ref="AH88:AH98" ca="1" si="125">(AF88-AG88)</f>
        <v>83949.18</v>
      </c>
      <c r="AI88" s="47">
        <f t="shared" ca="1" si="120"/>
        <v>-637.16999999999996</v>
      </c>
      <c r="AJ88" s="47">
        <f t="shared" ca="1" si="121"/>
        <v>124779.18</v>
      </c>
      <c r="AK88" s="47">
        <f ca="1">(AH30+AF58)</f>
        <v>4108</v>
      </c>
      <c r="AL88" s="47">
        <f ca="1">IF(AJ88-AK88&gt;=AE73*7.5,AE73*7.5,AJ88-AK88)</f>
        <v>120671.18</v>
      </c>
      <c r="AM88" s="47">
        <f ca="1">(ROUND(IF(AL88&gt;AE73*7.5,AE73*7.5*0.14*-1,AL88*0.14*-1),2))</f>
        <v>-16893.97</v>
      </c>
      <c r="AN88" s="47">
        <f ca="1">(ROUND(IF(AL88&gt;AE73*7.5,AE73*7.5*0.01*-1,AL88*0.01*-1),2))</f>
        <v>-1206.71</v>
      </c>
      <c r="AO88" s="47">
        <f t="shared" ca="1" si="122"/>
        <v>106678.49999999999</v>
      </c>
      <c r="AP88" s="47">
        <f ca="1">(AM30+AF58+AJ58)</f>
        <v>10199.911071428571</v>
      </c>
      <c r="AQ88" s="47">
        <f t="shared" ref="AQ88:AQ98" ca="1" si="126">(AO88-AP88)</f>
        <v>96478.588928571407</v>
      </c>
      <c r="AR88" s="47">
        <f ca="1">SUM($AQ$87:AQ88)</f>
        <v>199410.35925115205</v>
      </c>
      <c r="AS88" s="70">
        <f ca="1">IF(AR88&lt;=$AQ$72,$AO$72,
IF(AR88&gt;$AQ$74,
IF(AR88&gt;$AQ$75,$AO$76,$AO$75),
IF(AR88&lt;$AQ$73,$AO$73,$AO$74)))</f>
        <v>0.2</v>
      </c>
      <c r="AT88" s="69">
        <f t="shared" ref="AT88:AT98" ca="1" si="127">IF(AS88-AS87=0,0,1)</f>
        <v>1</v>
      </c>
      <c r="AU88" s="72">
        <f ca="1">(IF(AT88=0,AS88,(VLOOKUP($AS88,$AO$72:$AR$76,2,0)-AR87)/AQ88*AS87+(AR88-VLOOKUP($AS88,$AO$72:$AR$76,2,0))/AQ88*AS88))</f>
        <v>0.15487691588136676</v>
      </c>
      <c r="AV88" s="47">
        <f ca="1">(ROUND(AQ88*AU88,2)*(-1))</f>
        <v>-14942.31</v>
      </c>
      <c r="AW88" s="47">
        <f ca="1">(AV88+AZ73)</f>
        <v>-10730.98</v>
      </c>
      <c r="AX88" s="72">
        <f t="shared" ca="1" si="123"/>
        <v>0.83753308411863314</v>
      </c>
      <c r="AY88" s="72">
        <f t="shared" ref="AY88:AY98" si="128">(100+(100*0.00759*-1)+(100*0.14*-1)+(100*0.01*-1))/100</f>
        <v>0.84240999999999999</v>
      </c>
      <c r="AZ88" s="72">
        <f t="shared" ca="1" si="124"/>
        <v>0.7107646215008383</v>
      </c>
      <c r="BD88" s="46">
        <v>86</v>
      </c>
      <c r="BE88" s="49">
        <v>43</v>
      </c>
      <c r="BF88" s="68" t="s">
        <v>0</v>
      </c>
    </row>
    <row r="89" spans="22:58" ht="39.950000000000003" hidden="1" customHeight="1" x14ac:dyDescent="0.25">
      <c r="V89" s="44"/>
      <c r="AE89" s="47">
        <f ca="1">(AO17+AJ3+AL3+AN3+AP3+AE45+AH45+AM45+AP45+AG59+AJ59*AU89)</f>
        <v>186137.91556379173</v>
      </c>
      <c r="AF89" s="47">
        <f t="shared" ca="1" si="119"/>
        <v>265449.38</v>
      </c>
      <c r="AG89" s="47">
        <f ca="1">(AR3+AF74)</f>
        <v>40830</v>
      </c>
      <c r="AH89" s="47">
        <f t="shared" ca="1" si="125"/>
        <v>224619.38</v>
      </c>
      <c r="AI89" s="47">
        <f t="shared" ca="1" si="120"/>
        <v>-1704.86</v>
      </c>
      <c r="AJ89" s="47">
        <f t="shared" ca="1" si="121"/>
        <v>265449.38</v>
      </c>
      <c r="AK89" s="47">
        <f ca="1">(AH31+AF59)</f>
        <v>4108</v>
      </c>
      <c r="AL89" s="47">
        <f ca="1">IF(AJ89-AK89&gt;=AE74*7.5,AE74*7.5,AJ89-AK89)</f>
        <v>247725</v>
      </c>
      <c r="AM89" s="47">
        <f ca="1">(ROUND(IF(AL89&gt;AE74*7.5,AE74*7.5*0.14*-1,AL89*0.14*-1),2))</f>
        <v>-34681.5</v>
      </c>
      <c r="AN89" s="47">
        <f ca="1">(ROUND(IF(AL89&gt;AE74*7.5,AE74*7.5*0.01*-1,AL89*0.01*-1),2))</f>
        <v>-2477.25</v>
      </c>
      <c r="AO89" s="47">
        <f t="shared" ca="1" si="122"/>
        <v>228290.63</v>
      </c>
      <c r="AP89" s="47">
        <f ca="1">(AM31+AF59+AJ59)</f>
        <v>10881.533130987096</v>
      </c>
      <c r="AQ89" s="47">
        <f t="shared" ca="1" si="126"/>
        <v>217409.09686901292</v>
      </c>
      <c r="AR89" s="47">
        <f ca="1">SUM($AQ$87:AQ89)</f>
        <v>416819.45612016495</v>
      </c>
      <c r="AS89" s="70">
        <f ca="1">IF(AR89&lt;=$AQ$72,$AO$72,
IF(AR89&gt;$AQ$74,
IF(AR89&gt;$AQ$75,$AO$76,$AO$75),
IF(AR89&lt;$AQ$73,$AO$73,$AO$74)))</f>
        <v>0.27</v>
      </c>
      <c r="AT89" s="69">
        <f t="shared" ca="1" si="127"/>
        <v>1</v>
      </c>
      <c r="AU89" s="72">
        <f ca="1">(IF(AT89=0,AS89,(VLOOKUP($AS89,$AO$72:$AR$76,2,0)-AR88)/AQ89*AS88+(AR89-VLOOKUP($AS89,$AO$72:$AR$76,2,0))/AQ89*AS89))</f>
        <v>0.2054154216422733</v>
      </c>
      <c r="AV89" s="47">
        <f t="shared" ref="AV89:AV98" ca="1" si="129">(ROUND(AQ89*AU89,2)*(-1))</f>
        <v>-44659.18</v>
      </c>
      <c r="AW89" s="47">
        <f ca="1">(AV89+AZ74)</f>
        <v>-40447.85</v>
      </c>
      <c r="AX89" s="72">
        <f t="shared" ca="1" si="123"/>
        <v>0.78699457835772679</v>
      </c>
      <c r="AY89" s="72">
        <f t="shared" si="128"/>
        <v>0.84240999999999999</v>
      </c>
      <c r="AZ89" s="72">
        <f t="shared" ca="1" si="124"/>
        <v>0.6678068916040677</v>
      </c>
      <c r="BD89" s="46">
        <v>87</v>
      </c>
      <c r="BE89" s="49">
        <v>43.5</v>
      </c>
      <c r="BF89" s="68" t="s">
        <v>0</v>
      </c>
    </row>
    <row r="90" spans="22:58" ht="39.950000000000003" hidden="1" customHeight="1" x14ac:dyDescent="0.25">
      <c r="V90" s="44"/>
      <c r="AE90" s="47">
        <f ca="1">(AO18+AJ4+AL4+AN4+AP4+AE46+AH46+AM46+AP46+AG60+AJ60*AU90)</f>
        <v>118189.60443480198</v>
      </c>
      <c r="AF90" s="47">
        <f t="shared" ca="1" si="119"/>
        <v>179810.93</v>
      </c>
      <c r="AG90" s="47">
        <f ca="1">(AR4+AF75)</f>
        <v>40830</v>
      </c>
      <c r="AH90" s="47">
        <f t="shared" ca="1" si="125"/>
        <v>138980.93</v>
      </c>
      <c r="AI90" s="47">
        <f t="shared" ca="1" si="120"/>
        <v>-1054.8699999999999</v>
      </c>
      <c r="AJ90" s="47">
        <f t="shared" ca="1" si="121"/>
        <v>179810.93</v>
      </c>
      <c r="AK90" s="47">
        <f ca="1">(AH32+AF60)</f>
        <v>4108</v>
      </c>
      <c r="AL90" s="47">
        <f ca="1">IF(AJ90-AK90&gt;=AE75*7.5,AE75*7.5,AJ90-AK90)</f>
        <v>175702.93</v>
      </c>
      <c r="AM90" s="47">
        <f ca="1">(ROUND(IF(AL90&gt;AE75*7.5,AE75*7.5*0.14*-1,AL90*0.14*-1),2))</f>
        <v>-24598.41</v>
      </c>
      <c r="AN90" s="47">
        <f ca="1">(ROUND(IF(AL90&gt;AE75*7.5,AE75*7.5*0.01*-1,AL90*0.01*-1),2))</f>
        <v>-1757.03</v>
      </c>
      <c r="AO90" s="47">
        <f t="shared" ca="1" si="122"/>
        <v>153455.49</v>
      </c>
      <c r="AP90" s="47">
        <f ca="1">(AM32+AF60+AJ60)</f>
        <v>11150.4935826</v>
      </c>
      <c r="AQ90" s="47">
        <f t="shared" ca="1" si="126"/>
        <v>142304.99641739999</v>
      </c>
      <c r="AR90" s="47">
        <f ca="1">SUM($AQ$87:AQ90)</f>
        <v>559124.45253756491</v>
      </c>
      <c r="AS90" s="70">
        <f ca="1">IF(AR90&lt;=$AQ$72,$AO$72,
IF(AR90&gt;$AQ$74,
IF(AR90&gt;$AQ$75,$AO$76,$AO$75),
IF(AR90&lt;$AQ$73,$AO$73,$AO$74)))</f>
        <v>0.27</v>
      </c>
      <c r="AT90" s="69">
        <f t="shared" ca="1" si="127"/>
        <v>0</v>
      </c>
      <c r="AU90" s="72">
        <f ca="1">(IF(AT90=0,AS90,(VLOOKUP($AS90,$AO$72:$AR$76,2,0)-AR89)/AQ90*AS89+(AR90-VLOOKUP($AS90,$AO$72:$AR$76,2,0))/AQ90*AS90))</f>
        <v>0.27</v>
      </c>
      <c r="AV90" s="47">
        <f t="shared" ca="1" si="129"/>
        <v>-38422.35</v>
      </c>
      <c r="AW90" s="47">
        <f ca="1">(AV90+AZ75)</f>
        <v>-34211.019999999997</v>
      </c>
      <c r="AX90" s="72">
        <f t="shared" ca="1" si="123"/>
        <v>0.72241</v>
      </c>
      <c r="AY90" s="72">
        <f t="shared" si="128"/>
        <v>0.84240999999999999</v>
      </c>
      <c r="AZ90" s="72">
        <f t="shared" ca="1" si="124"/>
        <v>0.61290999999999995</v>
      </c>
      <c r="BD90" s="46">
        <v>88</v>
      </c>
      <c r="BE90" s="49">
        <v>44</v>
      </c>
      <c r="BF90" s="68" t="s">
        <v>0</v>
      </c>
    </row>
    <row r="91" spans="22:58" ht="39.950000000000003" hidden="1" customHeight="1" x14ac:dyDescent="0.25">
      <c r="V91" s="44"/>
      <c r="AE91" s="47">
        <f ca="1">(AO19+AJ5+AL5+AN5+AP5+AE47+AH47+AM47+AP47+AG61+AJ61*AU91)</f>
        <v>120621.96386396328</v>
      </c>
      <c r="AF91" s="47">
        <f t="shared" ca="1" si="119"/>
        <v>183776.35</v>
      </c>
      <c r="AG91" s="47">
        <f ca="1">(AR5+AF76)</f>
        <v>40830</v>
      </c>
      <c r="AH91" s="47">
        <f t="shared" ca="1" si="125"/>
        <v>142946.35</v>
      </c>
      <c r="AI91" s="47">
        <f t="shared" ca="1" si="120"/>
        <v>-1084.96</v>
      </c>
      <c r="AJ91" s="47">
        <f t="shared" ca="1" si="121"/>
        <v>183776.35</v>
      </c>
      <c r="AK91" s="47">
        <f ca="1">(AH33+AF61)</f>
        <v>4108</v>
      </c>
      <c r="AL91" s="47">
        <f ca="1">IF(AJ91-AK91&gt;=AE76*7.5,AE76*7.5,AJ91-AK91)</f>
        <v>179668.35</v>
      </c>
      <c r="AM91" s="47">
        <f ca="1">(ROUND(IF(AL91&gt;AE76*7.5,AE76*7.5*0.14*-1,AL91*0.14*-1),2))</f>
        <v>-25153.57</v>
      </c>
      <c r="AN91" s="47">
        <f ca="1">(ROUND(IF(AL91&gt;AE76*7.5,AE76*7.5*0.01*-1,AL91*0.01*-1),2))</f>
        <v>-1796.68</v>
      </c>
      <c r="AO91" s="47">
        <f t="shared" ca="1" si="122"/>
        <v>156826.1</v>
      </c>
      <c r="AP91" s="47">
        <f ca="1">(AM33+AF61+AJ61)</f>
        <v>11157.538453567742</v>
      </c>
      <c r="AQ91" s="47">
        <f t="shared" ca="1" si="126"/>
        <v>145668.56154643226</v>
      </c>
      <c r="AR91" s="47">
        <f ca="1">SUM($AQ$87:AQ91)</f>
        <v>704793.01408399711</v>
      </c>
      <c r="AS91" s="70">
        <f ca="1">IF(AR91&lt;=$AQ$72,$AO$72,
IF(AR91&gt;$AQ$74,
IF(AR91&gt;$AQ$75,$AO$76,$AO$75),
IF(AR91&lt;$AQ$73,$AO$73,$AO$74)))</f>
        <v>0.27</v>
      </c>
      <c r="AT91" s="69">
        <f t="shared" ca="1" si="127"/>
        <v>0</v>
      </c>
      <c r="AU91" s="72">
        <f ca="1">(IF(AT91=0,AS91,(VLOOKUP($AS91,$AO$72:$AR$76,2,0)-AR90)/AQ91*AS90+(AR91-VLOOKUP($AS91,$AO$72:$AR$76,2,0))/AQ91*AS91))</f>
        <v>0.27</v>
      </c>
      <c r="AV91" s="47">
        <f t="shared" ca="1" si="129"/>
        <v>-39330.51</v>
      </c>
      <c r="AW91" s="47">
        <f ca="1">(AV91+AZ76)</f>
        <v>-35119.18</v>
      </c>
      <c r="AX91" s="72">
        <f t="shared" ca="1" si="123"/>
        <v>0.72241</v>
      </c>
      <c r="AY91" s="72">
        <f t="shared" si="128"/>
        <v>0.84240999999999999</v>
      </c>
      <c r="AZ91" s="72">
        <f t="shared" ca="1" si="124"/>
        <v>0.61290999999999995</v>
      </c>
      <c r="BD91" s="46">
        <v>89</v>
      </c>
      <c r="BE91" s="49">
        <v>44.5</v>
      </c>
      <c r="BF91" s="68" t="s">
        <v>0</v>
      </c>
    </row>
    <row r="92" spans="22:58" ht="39.950000000000003" hidden="1" customHeight="1" x14ac:dyDescent="0.25">
      <c r="V92" s="44"/>
      <c r="AE92" s="47">
        <f ca="1">(AO20+AJ6+AL6+AN6+AP6+AE48+AH48+AM48+AP48+AG62+AJ62*AU92)</f>
        <v>191103.323854802</v>
      </c>
      <c r="AF92" s="47">
        <f t="shared" ca="1" si="119"/>
        <v>291658.95</v>
      </c>
      <c r="AG92" s="47">
        <f ca="1">(AR6+AF77)</f>
        <v>40830</v>
      </c>
      <c r="AH92" s="47">
        <f t="shared" ca="1" si="125"/>
        <v>250828.95</v>
      </c>
      <c r="AI92" s="47">
        <f t="shared" ca="1" si="120"/>
        <v>-1903.79</v>
      </c>
      <c r="AJ92" s="47">
        <f t="shared" ca="1" si="121"/>
        <v>291658.95</v>
      </c>
      <c r="AK92" s="47">
        <f ca="1">(AH34+AF62)</f>
        <v>4108</v>
      </c>
      <c r="AL92" s="47">
        <f ca="1">IF(AJ92-AK92&gt;=AE77*7.5,AE77*7.5,AJ92-AK92)</f>
        <v>247725</v>
      </c>
      <c r="AM92" s="47">
        <f ca="1">(ROUND(IF(AL92&gt;AE77*7.5,AE77*7.5*0.14*-1,AL92*0.14*-1),2))</f>
        <v>-34681.5</v>
      </c>
      <c r="AN92" s="47">
        <f ca="1">(ROUND(IF(AL92&gt;AE77*7.5,AE77*7.5*0.01*-1,AL92*0.01*-1),2))</f>
        <v>-2477.25</v>
      </c>
      <c r="AO92" s="47">
        <f t="shared" ca="1" si="122"/>
        <v>254500.2</v>
      </c>
      <c r="AP92" s="47">
        <f ca="1">(AM34+AF62+AJ62)</f>
        <v>11150.4935826</v>
      </c>
      <c r="AQ92" s="47">
        <f t="shared" ca="1" si="126"/>
        <v>243349.70641740001</v>
      </c>
      <c r="AR92" s="47">
        <f ca="1">SUM($AQ$87:AQ92)</f>
        <v>948142.72050139715</v>
      </c>
      <c r="AS92" s="70">
        <f ca="1">IF(AR92&lt;=$AQ$72,$AO$72,
IF(AR92&gt;$AQ$74,
IF(AR92&gt;$AQ$75,$AO$76,$AO$75),
IF(AR92&lt;$AQ$73,$AO$73,$AO$74)))</f>
        <v>0.27</v>
      </c>
      <c r="AT92" s="69">
        <f t="shared" ca="1" si="127"/>
        <v>0</v>
      </c>
      <c r="AU92" s="72">
        <f ca="1">(IF(AT92=0,AS92,(VLOOKUP($AS92,$AO$72:$AR$76,2,0)-AR91)/AQ92*AS91+(AR92-VLOOKUP($AS92,$AO$72:$AR$76,2,0))/AQ92*AS92))</f>
        <v>0.27</v>
      </c>
      <c r="AV92" s="47">
        <f t="shared" ca="1" si="129"/>
        <v>-65704.42</v>
      </c>
      <c r="AW92" s="47">
        <f ca="1">(AV92+AZ77)</f>
        <v>-61493.09</v>
      </c>
      <c r="AX92" s="72">
        <f t="shared" ca="1" si="123"/>
        <v>0.72241</v>
      </c>
      <c r="AY92" s="72">
        <f t="shared" si="128"/>
        <v>0.84240999999999999</v>
      </c>
      <c r="AZ92" s="72">
        <f t="shared" ca="1" si="124"/>
        <v>0.61290999999999995</v>
      </c>
      <c r="BD92" s="46">
        <v>90</v>
      </c>
      <c r="BE92" s="49">
        <v>45</v>
      </c>
      <c r="BF92" s="68" t="s">
        <v>0</v>
      </c>
    </row>
    <row r="93" spans="22:58" ht="39.950000000000003" hidden="1" customHeight="1" x14ac:dyDescent="0.25">
      <c r="V93" s="44"/>
      <c r="AE93" s="47">
        <f ca="1">(AO21+AJ7+AL7+AN7+AP7+AE49+AH49+AM49+AP49+AG63+AJ63*AU93)</f>
        <v>120617.78920235037</v>
      </c>
      <c r="AF93" s="47">
        <f t="shared" ca="1" si="119"/>
        <v>183243.8</v>
      </c>
      <c r="AG93" s="47">
        <f ca="1">(AR7+AF78)</f>
        <v>40830</v>
      </c>
      <c r="AH93" s="47">
        <f t="shared" ca="1" si="125"/>
        <v>142413.79999999999</v>
      </c>
      <c r="AI93" s="47">
        <f t="shared" ca="1" si="120"/>
        <v>-1080.92</v>
      </c>
      <c r="AJ93" s="47">
        <f t="shared" ca="1" si="121"/>
        <v>183243.8</v>
      </c>
      <c r="AK93" s="47">
        <f ca="1">(AH35+AF63)</f>
        <v>4108</v>
      </c>
      <c r="AL93" s="47">
        <f ca="1">IF(AJ93-AK93&gt;=AE78*7.5,AE78*7.5,AJ93-AK93)</f>
        <v>179135.8</v>
      </c>
      <c r="AM93" s="47">
        <f ca="1">(ROUND(IF(AL93&gt;AE78*7.5,AE78*7.5*0.14*-1,AL93*0.14*-1),2))</f>
        <v>-25079.01</v>
      </c>
      <c r="AN93" s="47">
        <f ca="1">(ROUND(IF(AL93&gt;AE78*7.5,AE78*7.5*0.01*-1,AL93*0.01*-1),2))</f>
        <v>-1791.36</v>
      </c>
      <c r="AO93" s="47">
        <f t="shared" ca="1" si="122"/>
        <v>156373.43</v>
      </c>
      <c r="AP93" s="47">
        <f ca="1">(AM35+AF63+AJ63)</f>
        <v>11142.076743890322</v>
      </c>
      <c r="AQ93" s="47">
        <f t="shared" ca="1" si="126"/>
        <v>145231.35325610967</v>
      </c>
      <c r="AR93" s="47">
        <f ca="1">SUM($AQ$87:AQ93)</f>
        <v>1093374.0737575069</v>
      </c>
      <c r="AS93" s="70">
        <f ca="1">IF(AR93&lt;=$AQ$72,$AO$72,
IF(AR93&gt;$AQ$74,
IF(AR93&gt;$AQ$75,$AO$76,$AO$75),
IF(AR93&lt;$AQ$73,$AO$73,$AO$74)))</f>
        <v>0.27</v>
      </c>
      <c r="AT93" s="69">
        <f t="shared" ca="1" si="127"/>
        <v>0</v>
      </c>
      <c r="AU93" s="72">
        <f ca="1">(IF(AT93=0,AS93,(VLOOKUP($AS93,$AO$72:$AR$76,2,0)-AR92)/AQ93*AS92+(AR93-VLOOKUP($AS93,$AO$72:$AR$76,2,0))/AQ93*AS93))</f>
        <v>0.27</v>
      </c>
      <c r="AV93" s="47">
        <f t="shared" ca="1" si="129"/>
        <v>-39212.47</v>
      </c>
      <c r="AW93" s="47">
        <f ca="1">(AV93+AZ78)</f>
        <v>-34674.720000000001</v>
      </c>
      <c r="AX93" s="72">
        <f t="shared" ca="1" si="123"/>
        <v>0.72241</v>
      </c>
      <c r="AY93" s="72">
        <f t="shared" si="128"/>
        <v>0.84240999999999999</v>
      </c>
      <c r="AZ93" s="72">
        <f t="shared" ca="1" si="124"/>
        <v>0.61290999999999995</v>
      </c>
      <c r="BD93" s="46">
        <v>91</v>
      </c>
      <c r="BE93" s="49">
        <v>45.5</v>
      </c>
      <c r="BF93" s="68" t="s">
        <v>0</v>
      </c>
    </row>
    <row r="94" spans="22:58" ht="39.950000000000003" hidden="1" customHeight="1" x14ac:dyDescent="0.25">
      <c r="V94" s="44"/>
      <c r="AE94" s="47">
        <f ca="1">(AO22+AJ8+AL8+AN8+AP8+AE50+AH50+AM50+AP50+AG64+AJ64*AU94)</f>
        <v>120604.01055364069</v>
      </c>
      <c r="AF94" s="47">
        <f t="shared" ca="1" si="119"/>
        <v>181486.04</v>
      </c>
      <c r="AG94" s="47">
        <f ca="1">(AR8+AF79)</f>
        <v>40830</v>
      </c>
      <c r="AH94" s="47">
        <f t="shared" ca="1" si="125"/>
        <v>140656.04</v>
      </c>
      <c r="AI94" s="47">
        <f t="shared" ca="1" si="120"/>
        <v>-1067.58</v>
      </c>
      <c r="AJ94" s="47">
        <f t="shared" ca="1" si="121"/>
        <v>181486.04</v>
      </c>
      <c r="AK94" s="47">
        <f ca="1">(AH36+AF64)</f>
        <v>4108</v>
      </c>
      <c r="AL94" s="47">
        <f ca="1">IF(AJ94-AK94&gt;=AE79*7.5,AE79*7.5,AJ94-AK94)</f>
        <v>177378.04</v>
      </c>
      <c r="AM94" s="47">
        <f ca="1">(ROUND(IF(AL94&gt;AE79*7.5,AE79*7.5*0.14*-1,AL94*0.14*-1),2))</f>
        <v>-24832.93</v>
      </c>
      <c r="AN94" s="47">
        <f ca="1">(ROUND(IF(AL94&gt;AE79*7.5,AE79*7.5*0.01*-1,AL94*0.01*-1),2))</f>
        <v>-1773.78</v>
      </c>
      <c r="AO94" s="47">
        <f t="shared" ca="1" si="122"/>
        <v>154879.33000000002</v>
      </c>
      <c r="AP94" s="47">
        <f ca="1">(AM36+AF64+AJ64)</f>
        <v>11091.044711632258</v>
      </c>
      <c r="AQ94" s="47">
        <f t="shared" ca="1" si="126"/>
        <v>143788.28528836777</v>
      </c>
      <c r="AR94" s="47">
        <f ca="1">SUM($AQ$87:AQ94)</f>
        <v>1237162.3590458748</v>
      </c>
      <c r="AS94" s="70">
        <f ca="1">IF(AR94&lt;=$AQ$72,$AO$72,
IF(AR94&gt;$AQ$74,
IF(AR94&gt;$AQ$75,$AO$76,$AO$75),
IF(AR94&lt;$AQ$73,$AO$73,$AO$74)))</f>
        <v>0.27</v>
      </c>
      <c r="AT94" s="69">
        <f t="shared" ca="1" si="127"/>
        <v>0</v>
      </c>
      <c r="AU94" s="72">
        <f ca="1">(IF(AT94=0,AS94,(VLOOKUP($AS94,$AO$72:$AR$76,2,0)-AR93)/AQ94*AS93+(AR94-VLOOKUP($AS94,$AO$72:$AR$76,2,0))/AQ94*AS94))</f>
        <v>0.27</v>
      </c>
      <c r="AV94" s="47">
        <f t="shared" ca="1" si="129"/>
        <v>-38822.839999999997</v>
      </c>
      <c r="AW94" s="47">
        <f ca="1">(AV94+AZ79)</f>
        <v>-33207.74</v>
      </c>
      <c r="AX94" s="72">
        <f t="shared" ca="1" si="123"/>
        <v>0.72241</v>
      </c>
      <c r="AY94" s="72">
        <f t="shared" si="128"/>
        <v>0.84240999999999999</v>
      </c>
      <c r="AZ94" s="72">
        <f t="shared" ca="1" si="124"/>
        <v>0.61290999999999995</v>
      </c>
      <c r="BD94" s="46">
        <v>92</v>
      </c>
      <c r="BE94" s="49">
        <v>46</v>
      </c>
      <c r="BF94" s="68" t="s">
        <v>0</v>
      </c>
    </row>
    <row r="95" spans="22:58" ht="39.950000000000003" hidden="1" customHeight="1" x14ac:dyDescent="0.25">
      <c r="V95" s="44"/>
      <c r="AE95" s="47">
        <f ca="1">(AO23+AJ9+AL9+AN9+AP9+AE51+AH51+AM51+AP51+AG65+AJ65*AU95)</f>
        <v>209639.04957230974</v>
      </c>
      <c r="AF95" s="47">
        <f t="shared" ca="1" si="119"/>
        <v>315642.65999999997</v>
      </c>
      <c r="AG95" s="47">
        <f ca="1">(AR9+AF80)</f>
        <v>40830</v>
      </c>
      <c r="AH95" s="47">
        <f t="shared" ca="1" si="125"/>
        <v>274812.65999999997</v>
      </c>
      <c r="AI95" s="47">
        <f t="shared" ca="1" si="120"/>
        <v>-2085.83</v>
      </c>
      <c r="AJ95" s="47">
        <f t="shared" ca="1" si="121"/>
        <v>315642.65999999997</v>
      </c>
      <c r="AK95" s="47">
        <f ca="1">(AH37+AF65)</f>
        <v>4108</v>
      </c>
      <c r="AL95" s="47">
        <f ca="1">IF(AJ95-AK95&gt;=AE80*7.5,AE80*7.5,AJ95-AK95)</f>
        <v>247725</v>
      </c>
      <c r="AM95" s="47">
        <f ca="1">(ROUND(IF(AL95&gt;AE80*7.5,AE80*7.5*0.14*-1,AL95*0.14*-1),2))</f>
        <v>-34681.5</v>
      </c>
      <c r="AN95" s="47">
        <f ca="1">(ROUND(IF(AL95&gt;AE80*7.5,AE80*7.5*0.01*-1,AL95*0.01*-1),2))</f>
        <v>-2477.25</v>
      </c>
      <c r="AO95" s="47">
        <f t="shared" ca="1" si="122"/>
        <v>278483.90999999997</v>
      </c>
      <c r="AP95" s="47">
        <f ca="1">(AM37+AF65+AJ65)</f>
        <v>11623.51191999</v>
      </c>
      <c r="AQ95" s="47">
        <f t="shared" ca="1" si="126"/>
        <v>266860.39808000997</v>
      </c>
      <c r="AR95" s="47">
        <f ca="1">SUM($AQ$87:AQ95)</f>
        <v>1504022.7571258848</v>
      </c>
      <c r="AS95" s="70">
        <f ca="1">IF(AR95&lt;=$AQ$72,$AO$72,
IF(AR95&gt;$AQ$74,
IF(AR95&gt;$AQ$75,$AO$76,$AO$75),
IF(AR95&lt;$AQ$73,$AO$73,$AO$74)))</f>
        <v>0.35</v>
      </c>
      <c r="AT95" s="69">
        <f t="shared" ca="1" si="127"/>
        <v>1</v>
      </c>
      <c r="AU95" s="72">
        <f ca="1">(IF(AT95=0,AS95,(VLOOKUP($AS95,$AO$72:$AR$76,2,0)-AR94)/AQ95*AS94+(AR95-VLOOKUP($AS95,$AO$72:$AR$76,2,0))/AQ95*AS95))</f>
        <v>0.27120595102303002</v>
      </c>
      <c r="AV95" s="47">
        <f t="shared" ca="1" si="129"/>
        <v>-72374.13</v>
      </c>
      <c r="AW95" s="47">
        <f ca="1">(AV95+AZ80)</f>
        <v>-66759.03</v>
      </c>
      <c r="AX95" s="72">
        <f t="shared" ca="1" si="123"/>
        <v>0.72120404897696999</v>
      </c>
      <c r="AY95" s="72">
        <f t="shared" si="128"/>
        <v>0.84240999999999999</v>
      </c>
      <c r="AZ95" s="72">
        <f t="shared" ca="1" si="124"/>
        <v>0.61188494163042451</v>
      </c>
      <c r="BD95" s="46">
        <v>93</v>
      </c>
      <c r="BE95" s="49">
        <v>46.5</v>
      </c>
      <c r="BF95" s="68" t="s">
        <v>0</v>
      </c>
    </row>
    <row r="96" spans="22:58" ht="39.950000000000003" hidden="1" customHeight="1" x14ac:dyDescent="0.25">
      <c r="V96" s="44"/>
      <c r="AE96" s="47">
        <f ca="1">(AO24+AJ10+AL10+AN10+AP10+AE52+AH52+AM52+AP52+AG66+AJ66*AU96)</f>
        <v>135866.16512637227</v>
      </c>
      <c r="AF96" s="47">
        <f t="shared" ca="1" si="119"/>
        <v>229954.09</v>
      </c>
      <c r="AG96" s="47">
        <f ca="1">(AR10+AF81)</f>
        <v>40830</v>
      </c>
      <c r="AH96" s="47">
        <f t="shared" ca="1" si="125"/>
        <v>189124.09</v>
      </c>
      <c r="AI96" s="47">
        <f t="shared" ca="1" si="120"/>
        <v>-1435.45</v>
      </c>
      <c r="AJ96" s="47">
        <f t="shared" ca="1" si="121"/>
        <v>229954.09</v>
      </c>
      <c r="AK96" s="47">
        <f ca="1">(AH38+AF66)</f>
        <v>4108</v>
      </c>
      <c r="AL96" s="47">
        <f ca="1">IF(AJ96-AK96&gt;=AE81*7.5,AE81*7.5,AJ96-AK96)</f>
        <v>225846.09</v>
      </c>
      <c r="AM96" s="47">
        <f ca="1">(ROUND(IF(AL96&gt;AE81*7.5,AE81*7.5*0.14*-1,AL96*0.14*-1),2))</f>
        <v>-31618.45</v>
      </c>
      <c r="AN96" s="47">
        <f ca="1">(ROUND(IF(AL96&gt;AE81*7.5,AE81*7.5*0.01*-1,AL96*0.01*-1),2))</f>
        <v>-2258.46</v>
      </c>
      <c r="AO96" s="47">
        <f t="shared" ca="1" si="122"/>
        <v>196077.18</v>
      </c>
      <c r="AP96" s="47">
        <f ca="1">(AM38+AF66+AJ66)</f>
        <v>12103.877900635161</v>
      </c>
      <c r="AQ96" s="47">
        <f t="shared" ca="1" si="126"/>
        <v>183973.30209936484</v>
      </c>
      <c r="AR96" s="47">
        <f ca="1">SUM($AQ$87:AQ96)</f>
        <v>1687996.0592252496</v>
      </c>
      <c r="AS96" s="70">
        <f ca="1">IF(AR96&lt;=$AQ$72,$AO$72,
IF(AR96&gt;$AQ$74,
IF(AR96&gt;$AQ$75,$AO$76,$AO$75),
IF(AR96&lt;$AQ$73,$AO$73,$AO$74)))</f>
        <v>0.35</v>
      </c>
      <c r="AT96" s="69">
        <f t="shared" ca="1" si="127"/>
        <v>0</v>
      </c>
      <c r="AU96" s="72">
        <f ca="1">(IF(AT96=0,AS96,(VLOOKUP($AS96,$AO$72:$AR$76,2,0)-AR95)/AQ96*AS95+(AR96-VLOOKUP($AS96,$AO$72:$AR$76,2,0))/AQ96*AS96))</f>
        <v>0.35</v>
      </c>
      <c r="AV96" s="47">
        <f t="shared" ca="1" si="129"/>
        <v>-64390.66</v>
      </c>
      <c r="AW96" s="47">
        <f ca="1">(AV96+AZ81)</f>
        <v>-58775.560000000005</v>
      </c>
      <c r="AX96" s="72">
        <f t="shared" ca="1" si="123"/>
        <v>0.64241000000000004</v>
      </c>
      <c r="AY96" s="72">
        <f t="shared" si="128"/>
        <v>0.84240999999999999</v>
      </c>
      <c r="AZ96" s="72">
        <f t="shared" ca="1" si="124"/>
        <v>0.54491000000000001</v>
      </c>
      <c r="BD96" s="46">
        <v>94</v>
      </c>
      <c r="BE96" s="49">
        <v>47</v>
      </c>
      <c r="BF96" s="68" t="s">
        <v>0</v>
      </c>
    </row>
    <row r="97" spans="22:58" ht="39.950000000000003" hidden="1" customHeight="1" x14ac:dyDescent="0.25">
      <c r="V97" s="44"/>
      <c r="AE97" s="47">
        <f ca="1">(AO25+AJ11+AL11+AN11+AP11+AE53+AH53+AM53+AP53+AG67+AJ67*AU97)</f>
        <v>133067.49309704648</v>
      </c>
      <c r="AF97" s="47">
        <f t="shared" ca="1" si="119"/>
        <v>224824.75</v>
      </c>
      <c r="AG97" s="47">
        <f ca="1">(AR11+AF82)</f>
        <v>40830</v>
      </c>
      <c r="AH97" s="47">
        <f t="shared" ca="1" si="125"/>
        <v>183994.75</v>
      </c>
      <c r="AI97" s="47">
        <f t="shared" ca="1" si="120"/>
        <v>-1396.52</v>
      </c>
      <c r="AJ97" s="47">
        <f t="shared" ca="1" si="121"/>
        <v>224824.75</v>
      </c>
      <c r="AK97" s="47">
        <f ca="1">(AH39+AF67)</f>
        <v>4108</v>
      </c>
      <c r="AL97" s="47">
        <f ca="1">IF(AJ97-AK97&gt;=AE82*7.5,AE82*7.5,AJ97-AK97)</f>
        <v>220716.75</v>
      </c>
      <c r="AM97" s="47">
        <f ca="1">(ROUND(IF(AL97&gt;AE82*7.5,AE82*7.5*0.14*-1,AL97*0.14*-1),2))</f>
        <v>-30900.35</v>
      </c>
      <c r="AN97" s="47">
        <f ca="1">(ROUND(IF(AL97&gt;AE82*7.5,AE82*7.5*0.01*-1,AL97*0.01*-1),2))</f>
        <v>-2207.17</v>
      </c>
      <c r="AO97" s="47">
        <f t="shared" ca="1" si="122"/>
        <v>191717.22999999998</v>
      </c>
      <c r="AP97" s="47">
        <f ca="1">(AM39+AF67+AJ67)</f>
        <v>12093.460419989999</v>
      </c>
      <c r="AQ97" s="47">
        <f t="shared" ca="1" si="126"/>
        <v>179623.76958000998</v>
      </c>
      <c r="AR97" s="47">
        <f ca="1">SUM($AQ$87:AQ97)</f>
        <v>1867619.8288052594</v>
      </c>
      <c r="AS97" s="70">
        <f ca="1">IF(AR97&lt;=$AQ$72,$AO$72,
IF(AR97&gt;$AQ$74,
IF(AR97&gt;$AQ$75,$AO$76,$AO$75),
IF(AR97&lt;$AQ$73,$AO$73,$AO$74)))</f>
        <v>0.35</v>
      </c>
      <c r="AT97" s="69">
        <f t="shared" ca="1" si="127"/>
        <v>0</v>
      </c>
      <c r="AU97" s="72">
        <f ca="1">(IF(AT97=0,AS97,(VLOOKUP($AS97,$AO$72:$AR$76,2,0)-AR96)/AQ97*AS96+(AR97-VLOOKUP($AS97,$AO$72:$AR$76,2,0))/AQ97*AS97))</f>
        <v>0.35</v>
      </c>
      <c r="AV97" s="47">
        <f t="shared" ca="1" si="129"/>
        <v>-62868.32</v>
      </c>
      <c r="AW97" s="47">
        <f ca="1">(AV97+AZ82)</f>
        <v>-57253.22</v>
      </c>
      <c r="AX97" s="72">
        <f t="shared" ca="1" si="123"/>
        <v>0.64241000000000004</v>
      </c>
      <c r="AY97" s="72">
        <f t="shared" si="128"/>
        <v>0.84240999999999999</v>
      </c>
      <c r="AZ97" s="72">
        <f t="shared" ca="1" si="124"/>
        <v>0.54491000000000001</v>
      </c>
      <c r="BD97" s="46">
        <v>95</v>
      </c>
      <c r="BE97" s="49">
        <v>47.5</v>
      </c>
      <c r="BF97" s="68" t="s">
        <v>0</v>
      </c>
    </row>
    <row r="98" spans="22:58" ht="39.950000000000003" hidden="1" customHeight="1" x14ac:dyDescent="0.25">
      <c r="V98" s="44"/>
      <c r="AE98" s="47">
        <f ca="1">(AO26+AJ12+AL12+AN12+AP12+AE54+AH54+AM54+AP54+AG68+AJ68*AU98)</f>
        <v>219716.94245937225</v>
      </c>
      <c r="AF98" s="47">
        <f t="shared" ca="1" si="119"/>
        <v>363800.02</v>
      </c>
      <c r="AG98" s="47">
        <f ca="1">(AR12+AF83)</f>
        <v>40830</v>
      </c>
      <c r="AH98" s="47">
        <f t="shared" ca="1" si="125"/>
        <v>322970.02</v>
      </c>
      <c r="AI98" s="47">
        <f t="shared" ca="1" si="120"/>
        <v>-2451.34</v>
      </c>
      <c r="AJ98" s="47">
        <f t="shared" ca="1" si="121"/>
        <v>363800.02</v>
      </c>
      <c r="AK98" s="47">
        <f ca="1">(AH40+AF68)</f>
        <v>4108</v>
      </c>
      <c r="AL98" s="47">
        <f ca="1">IF(AJ98-AK98&gt;=AE83*7.5,AE83*7.5,AJ98-AK98)</f>
        <v>247725</v>
      </c>
      <c r="AM98" s="47">
        <f ca="1">(ROUND(IF(AL98&gt;AE83*7.5,AE83*7.5*0.14*-1,AL98*0.14*-1),2))</f>
        <v>-34681.5</v>
      </c>
      <c r="AN98" s="47">
        <f ca="1">(ROUND(IF(AL98&gt;AE83*7.5,AE83*7.5*0.01*-1,AL98*0.01*-1),2))</f>
        <v>-2477.25</v>
      </c>
      <c r="AO98" s="47">
        <f t="shared" ca="1" si="122"/>
        <v>326641.27</v>
      </c>
      <c r="AP98" s="47">
        <f ca="1">(AM40+AF68+AJ68)</f>
        <v>12103.877900635161</v>
      </c>
      <c r="AQ98" s="47">
        <f t="shared" ca="1" si="126"/>
        <v>314537.39209936484</v>
      </c>
      <c r="AR98" s="47">
        <f ca="1">SUM($AQ$87:AQ98)</f>
        <v>2182157.2209046241</v>
      </c>
      <c r="AS98" s="70">
        <f ca="1">IF(AR98&lt;=$AQ$72,$AO$72,
IF(AR98&gt;$AQ$74,
IF(AR98&gt;$AQ$75,$AO$76,$AO$75),
IF(AR98&lt;$AQ$73,$AO$73,$AO$74)))</f>
        <v>0.35</v>
      </c>
      <c r="AT98" s="69">
        <f t="shared" ca="1" si="127"/>
        <v>0</v>
      </c>
      <c r="AU98" s="72">
        <f ca="1">(IF(AT98=0,AS98,(VLOOKUP($AS98,$AO$72:$AR$76,2,0)-AR97)/AQ98*AS97+(AR98-VLOOKUP($AS98,$AO$72:$AR$76,2,0))/AQ98*AS98))</f>
        <v>0.35</v>
      </c>
      <c r="AV98" s="47">
        <f t="shared" ca="1" si="129"/>
        <v>-110088.09</v>
      </c>
      <c r="AW98" s="47">
        <f ca="1">(AV98+AZ83)</f>
        <v>-104472.98999999999</v>
      </c>
      <c r="AX98" s="72">
        <f t="shared" ca="1" si="123"/>
        <v>0.64241000000000004</v>
      </c>
      <c r="AY98" s="72">
        <f t="shared" si="128"/>
        <v>0.84240999999999999</v>
      </c>
      <c r="AZ98" s="72">
        <f t="shared" ca="1" si="124"/>
        <v>0.54491000000000001</v>
      </c>
      <c r="BD98" s="46">
        <v>96</v>
      </c>
      <c r="BE98" s="49">
        <v>48</v>
      </c>
      <c r="BF98" s="68" t="s">
        <v>0</v>
      </c>
    </row>
    <row r="99" spans="22:58" ht="39.950000000000003" hidden="1" customHeight="1" x14ac:dyDescent="0.25">
      <c r="V99" s="44"/>
      <c r="AE99" s="47">
        <f t="shared" ref="AE99" ca="1" si="130">(AE87+AE88+AE89+AE90+AE91+AE92+AE93+AE94+AE95+AE96+AE97+AE98)</f>
        <v>1752088.4994827253</v>
      </c>
      <c r="AF99" s="47">
        <f t="shared" ref="AF99:AH99" ca="1" si="131">(AF87+AF88+AF89+AF90+AF91+AF92+AF93+AF94+AF95+AF96+AF97+AF98)</f>
        <v>2676803.7799999998</v>
      </c>
      <c r="AG99" s="47">
        <f t="shared" ca="1" si="131"/>
        <v>489960</v>
      </c>
      <c r="AH99" s="47">
        <f t="shared" ca="1" si="131"/>
        <v>2186843.7800000003</v>
      </c>
      <c r="AI99" s="47">
        <f t="shared" ref="AI99:AJ99" ca="1" si="132">(AI87+AI88+AI89+AI90+AI91+AI92+AI93+AI94+AI95+AI96+AI97+AI98)</f>
        <v>-16598.14</v>
      </c>
      <c r="AJ99" s="47">
        <f t="shared" ca="1" si="132"/>
        <v>2676803.7799999998</v>
      </c>
      <c r="AK99" s="47">
        <f t="shared" ref="AK99" ca="1" si="133">(AK87+AK88+AK89+AK90+AK91+AK92+AK93+AK94+AK95+AK96+AK97+AK98)</f>
        <v>49296</v>
      </c>
      <c r="AL99" s="47">
        <f t="shared" ref="AL99" ca="1" si="134">(AL87+AL88+AL89+AL90+AL91+AL92+AL93+AL94+AL95+AL96+AL97+AL98)</f>
        <v>2398288.77</v>
      </c>
      <c r="AM99" s="47">
        <f t="shared" ref="AM99" ca="1" si="135">(AM87+AM88+AM89+AM90+AM91+AM92+AM93+AM94+AM95+AM96+AM97+AM98)</f>
        <v>-335760.44</v>
      </c>
      <c r="AN99" s="47">
        <f t="shared" ref="AN99:AO99" ca="1" si="136">(AN87+AN88+AN89+AN90+AN91+AN92+AN93+AN94+AN95+AN96+AN97+AN98)</f>
        <v>-23982.89</v>
      </c>
      <c r="AO99" s="47">
        <f t="shared" ca="1" si="136"/>
        <v>2317060.4500000002</v>
      </c>
      <c r="AP99" s="47">
        <f t="shared" ref="AP99" ca="1" si="137">(AP87+AP88+AP89+AP90+AP91+AP92+AP93+AP94+AP95+AP96+AP97+AP98)</f>
        <v>134903.22909537566</v>
      </c>
      <c r="AQ99" s="47">
        <f t="shared" ref="AQ99" ca="1" si="138">(AQ87+AQ88+AQ89+AQ90+AQ91+AQ92+AQ93+AQ94+AQ95+AQ96+AQ97+AQ98)</f>
        <v>2182157.2209046241</v>
      </c>
      <c r="AR99" s="62" t="s">
        <v>0</v>
      </c>
      <c r="AS99" s="46" t="s">
        <v>0</v>
      </c>
      <c r="AT99" s="46" t="s">
        <v>0</v>
      </c>
      <c r="AU99" s="74">
        <f t="shared" ref="AU99" ca="1" si="139">(AU87+AU88+AU89+AU90+AU91+AU92+AU93+AU94+AU95+AU96+AU97+AU98)</f>
        <v>3.1814982885466705</v>
      </c>
      <c r="AV99" s="47">
        <f t="shared" ref="AV99" ca="1" si="140">(AV87+AV88+AV89+AV90+AV91+AV92+AV93+AV94+AV95+AV96+AV97+AV98)</f>
        <v>-606255.05000000005</v>
      </c>
      <c r="AW99" s="47">
        <f t="shared" ref="AW99" ca="1" si="141">(AW87+AW88+AW89+AW90+AW91+AW92+AW93+AW94+AW95+AW96+AW97+AW98)</f>
        <v>-548373.81999999995</v>
      </c>
      <c r="AX99" s="46" t="s">
        <v>0</v>
      </c>
      <c r="AY99" s="46" t="s">
        <v>0</v>
      </c>
      <c r="AZ99" s="46" t="s">
        <v>0</v>
      </c>
      <c r="BD99" s="46">
        <v>97</v>
      </c>
      <c r="BE99" s="49">
        <v>48.5</v>
      </c>
      <c r="BF99" s="68" t="s">
        <v>0</v>
      </c>
    </row>
    <row r="100" spans="22:58" ht="39.950000000000003" hidden="1" customHeight="1" x14ac:dyDescent="0.25">
      <c r="V100" s="44"/>
      <c r="AE100" s="47">
        <f t="shared" ref="AE100" ca="1" si="142">(AE99/12)</f>
        <v>146007.37495689376</v>
      </c>
      <c r="AF100" s="47">
        <f t="shared" ref="AF100:AH100" ca="1" si="143">(AF99/12)</f>
        <v>223066.98166666666</v>
      </c>
      <c r="AG100" s="47">
        <f t="shared" ca="1" si="143"/>
        <v>40830</v>
      </c>
      <c r="AH100" s="47">
        <f t="shared" ca="1" si="143"/>
        <v>182236.98166666669</v>
      </c>
      <c r="AI100" s="47">
        <f t="shared" ref="AI100:AJ100" ca="1" si="144">(AI99/12)</f>
        <v>-1383.1783333333333</v>
      </c>
      <c r="AJ100" s="47">
        <f t="shared" ca="1" si="144"/>
        <v>223066.98166666666</v>
      </c>
      <c r="AK100" s="47">
        <f t="shared" ref="AK100" ca="1" si="145">(AK99/12)</f>
        <v>4108</v>
      </c>
      <c r="AL100" s="47">
        <f t="shared" ref="AL100" ca="1" si="146">(AL99/12)</f>
        <v>199857.39749999999</v>
      </c>
      <c r="AM100" s="47">
        <f t="shared" ref="AM100" ca="1" si="147">(AM99/12)</f>
        <v>-27980.036666666667</v>
      </c>
      <c r="AN100" s="47">
        <f t="shared" ref="AN100:AO100" ca="1" si="148">(AN99/12)</f>
        <v>-1998.5741666666665</v>
      </c>
      <c r="AO100" s="47">
        <f t="shared" ca="1" si="148"/>
        <v>193088.37083333335</v>
      </c>
      <c r="AP100" s="47">
        <f t="shared" ref="AP100" ca="1" si="149">(AP99/12)</f>
        <v>11241.935757947971</v>
      </c>
      <c r="AQ100" s="47">
        <f t="shared" ref="AQ100" ca="1" si="150">(AQ99/12)</f>
        <v>181846.43507538535</v>
      </c>
      <c r="AR100" s="62" t="s">
        <v>0</v>
      </c>
      <c r="AS100" s="62" t="s">
        <v>0</v>
      </c>
      <c r="AT100" s="62" t="s">
        <v>0</v>
      </c>
      <c r="AU100" s="74">
        <f t="shared" ref="AU100" ca="1" si="151">(AU99/12)</f>
        <v>0.26512485737888919</v>
      </c>
      <c r="AV100" s="47">
        <f t="shared" ref="AV100" ca="1" si="152">(AV99/12)</f>
        <v>-50521.254166666673</v>
      </c>
      <c r="AW100" s="47">
        <f t="shared" ref="AW100" ca="1" si="153">(AW99/12)</f>
        <v>-45697.818333333329</v>
      </c>
      <c r="AX100" s="62" t="s">
        <v>0</v>
      </c>
      <c r="AY100" s="62" t="s">
        <v>0</v>
      </c>
      <c r="AZ100" s="62" t="s">
        <v>0</v>
      </c>
      <c r="BD100" s="46">
        <v>98</v>
      </c>
      <c r="BE100" s="49">
        <v>49</v>
      </c>
      <c r="BF100" s="68" t="s">
        <v>0</v>
      </c>
    </row>
    <row r="101" spans="22:58" ht="39.950000000000003" hidden="1" customHeight="1" x14ac:dyDescent="0.25">
      <c r="V101" s="44"/>
      <c r="BD101" s="46">
        <v>99</v>
      </c>
      <c r="BE101" s="49">
        <v>49.5</v>
      </c>
      <c r="BF101" s="68" t="s">
        <v>0</v>
      </c>
    </row>
    <row r="102" spans="22:58" ht="39.950000000000003" hidden="1" customHeight="1" x14ac:dyDescent="0.25">
      <c r="V102" s="44"/>
      <c r="BD102" s="46">
        <v>100</v>
      </c>
      <c r="BE102" s="49">
        <v>50</v>
      </c>
      <c r="BF102" s="68" t="s">
        <v>0</v>
      </c>
    </row>
    <row r="103" spans="22:58" ht="39.950000000000003" hidden="1" customHeight="1" x14ac:dyDescent="0.25">
      <c r="V103" s="44"/>
      <c r="BD103" s="46">
        <v>101</v>
      </c>
      <c r="BE103" s="49">
        <v>50.5</v>
      </c>
      <c r="BF103" s="68" t="s">
        <v>0</v>
      </c>
    </row>
    <row r="104" spans="22:58" ht="39.950000000000003" hidden="1" customHeight="1" x14ac:dyDescent="0.25">
      <c r="BD104" s="46">
        <v>102</v>
      </c>
      <c r="BE104" s="49">
        <v>51</v>
      </c>
      <c r="BF104" s="68" t="s">
        <v>0</v>
      </c>
    </row>
    <row r="105" spans="22:58" ht="39.950000000000003" hidden="1" customHeight="1" x14ac:dyDescent="0.25">
      <c r="BD105" s="46">
        <v>103</v>
      </c>
      <c r="BE105" s="49">
        <v>51.5</v>
      </c>
      <c r="BF105" s="68" t="s">
        <v>0</v>
      </c>
    </row>
    <row r="106" spans="22:58" ht="39.950000000000003" hidden="1" customHeight="1" x14ac:dyDescent="0.25">
      <c r="BD106" s="46">
        <v>104</v>
      </c>
      <c r="BE106" s="49">
        <v>52</v>
      </c>
      <c r="BF106" s="68" t="s">
        <v>0</v>
      </c>
    </row>
    <row r="107" spans="22:58" ht="39.950000000000003" hidden="1" customHeight="1" x14ac:dyDescent="0.25">
      <c r="BD107" s="46">
        <v>105</v>
      </c>
      <c r="BE107" s="49">
        <v>52.5</v>
      </c>
      <c r="BF107" s="68" t="s">
        <v>0</v>
      </c>
    </row>
    <row r="108" spans="22:58" ht="39.950000000000003" hidden="1" customHeight="1" x14ac:dyDescent="0.25">
      <c r="BD108" s="46">
        <v>106</v>
      </c>
      <c r="BE108" s="49">
        <v>53</v>
      </c>
      <c r="BF108" s="68" t="s">
        <v>0</v>
      </c>
    </row>
    <row r="109" spans="22:58" ht="39.950000000000003" hidden="1" customHeight="1" x14ac:dyDescent="0.25">
      <c r="BD109" s="46">
        <v>107</v>
      </c>
      <c r="BE109" s="49">
        <v>53.5</v>
      </c>
      <c r="BF109" s="68" t="s">
        <v>0</v>
      </c>
    </row>
    <row r="110" spans="22:58" ht="39.950000000000003" hidden="1" customHeight="1" x14ac:dyDescent="0.25">
      <c r="BD110" s="46">
        <v>108</v>
      </c>
      <c r="BE110" s="49">
        <v>54</v>
      </c>
      <c r="BF110" s="68" t="s">
        <v>0</v>
      </c>
    </row>
    <row r="111" spans="22:58" ht="39.950000000000003" hidden="1" customHeight="1" x14ac:dyDescent="0.25">
      <c r="BD111" s="46">
        <v>109</v>
      </c>
      <c r="BE111" s="49">
        <v>54.5</v>
      </c>
      <c r="BF111" s="68" t="s">
        <v>0</v>
      </c>
    </row>
    <row r="112" spans="22:58" ht="39.950000000000003" hidden="1" customHeight="1" x14ac:dyDescent="0.25">
      <c r="BD112" s="46">
        <v>110</v>
      </c>
      <c r="BE112" s="49">
        <v>55</v>
      </c>
      <c r="BF112" s="68" t="s">
        <v>0</v>
      </c>
    </row>
    <row r="113" spans="56:58" ht="39.950000000000003" hidden="1" customHeight="1" x14ac:dyDescent="0.25">
      <c r="BD113" s="46">
        <v>111</v>
      </c>
      <c r="BE113" s="49">
        <v>55.5</v>
      </c>
      <c r="BF113" s="68" t="s">
        <v>0</v>
      </c>
    </row>
    <row r="114" spans="56:58" ht="39.950000000000003" hidden="1" customHeight="1" x14ac:dyDescent="0.25">
      <c r="BD114" s="46">
        <v>112</v>
      </c>
      <c r="BE114" s="49">
        <v>56</v>
      </c>
      <c r="BF114" s="68" t="s">
        <v>0</v>
      </c>
    </row>
    <row r="115" spans="56:58" ht="39.950000000000003" hidden="1" customHeight="1" x14ac:dyDescent="0.25">
      <c r="BD115" s="46">
        <v>113</v>
      </c>
      <c r="BE115" s="49">
        <v>56.5</v>
      </c>
      <c r="BF115" s="68" t="s">
        <v>0</v>
      </c>
    </row>
    <row r="116" spans="56:58" ht="39.950000000000003" hidden="1" customHeight="1" x14ac:dyDescent="0.25">
      <c r="BD116" s="46">
        <v>114</v>
      </c>
      <c r="BE116" s="49">
        <v>57</v>
      </c>
      <c r="BF116" s="68" t="s">
        <v>0</v>
      </c>
    </row>
    <row r="117" spans="56:58" ht="39.950000000000003" hidden="1" customHeight="1" x14ac:dyDescent="0.25">
      <c r="BD117" s="46">
        <v>115</v>
      </c>
      <c r="BE117" s="49">
        <v>57.5</v>
      </c>
      <c r="BF117" s="68" t="s">
        <v>0</v>
      </c>
    </row>
    <row r="118" spans="56:58" ht="39.950000000000003" hidden="1" customHeight="1" x14ac:dyDescent="0.25">
      <c r="BD118" s="46">
        <v>116</v>
      </c>
      <c r="BE118" s="49">
        <v>58</v>
      </c>
      <c r="BF118" s="68" t="s">
        <v>0</v>
      </c>
    </row>
    <row r="119" spans="56:58" ht="39.950000000000003" hidden="1" customHeight="1" x14ac:dyDescent="0.25">
      <c r="BD119" s="46">
        <v>117</v>
      </c>
      <c r="BE119" s="49">
        <v>58.5</v>
      </c>
      <c r="BF119" s="68" t="s">
        <v>0</v>
      </c>
    </row>
    <row r="120" spans="56:58" ht="39.950000000000003" hidden="1" customHeight="1" x14ac:dyDescent="0.25">
      <c r="BD120" s="46">
        <v>118</v>
      </c>
      <c r="BE120" s="49">
        <v>59</v>
      </c>
      <c r="BF120" s="68" t="s">
        <v>0</v>
      </c>
    </row>
    <row r="121" spans="56:58" ht="39.950000000000003" hidden="1" customHeight="1" x14ac:dyDescent="0.25">
      <c r="BD121" s="46">
        <v>119</v>
      </c>
      <c r="BE121" s="49">
        <v>59.5</v>
      </c>
      <c r="BF121" s="68" t="s">
        <v>0</v>
      </c>
    </row>
    <row r="122" spans="56:58" ht="39.950000000000003" hidden="1" customHeight="1" x14ac:dyDescent="0.25">
      <c r="BD122" s="46">
        <v>120</v>
      </c>
      <c r="BE122" s="49">
        <v>60</v>
      </c>
      <c r="BF122" s="68" t="s">
        <v>0</v>
      </c>
    </row>
    <row r="123" spans="56:58" ht="39.950000000000003" hidden="1" customHeight="1" x14ac:dyDescent="0.25">
      <c r="BD123" s="46">
        <v>121</v>
      </c>
      <c r="BE123" s="49">
        <v>60.5</v>
      </c>
      <c r="BF123" s="68" t="s">
        <v>0</v>
      </c>
    </row>
    <row r="124" spans="56:58" ht="39.950000000000003" hidden="1" customHeight="1" x14ac:dyDescent="0.25">
      <c r="BD124" s="46">
        <v>122</v>
      </c>
      <c r="BE124" s="49">
        <v>61</v>
      </c>
      <c r="BF124" s="68" t="s">
        <v>0</v>
      </c>
    </row>
    <row r="125" spans="56:58" ht="39.950000000000003" hidden="1" customHeight="1" x14ac:dyDescent="0.25">
      <c r="BD125" s="46">
        <v>123</v>
      </c>
      <c r="BE125" s="49">
        <v>61.5</v>
      </c>
      <c r="BF125" s="68" t="s">
        <v>0</v>
      </c>
    </row>
    <row r="126" spans="56:58" ht="39.950000000000003" hidden="1" customHeight="1" x14ac:dyDescent="0.25">
      <c r="BD126" s="46">
        <v>124</v>
      </c>
      <c r="BE126" s="49">
        <v>62</v>
      </c>
      <c r="BF126" s="68" t="s">
        <v>0</v>
      </c>
    </row>
    <row r="127" spans="56:58" ht="39.950000000000003" hidden="1" customHeight="1" x14ac:dyDescent="0.25">
      <c r="BD127" s="46">
        <v>125</v>
      </c>
      <c r="BE127" s="49">
        <v>62.5</v>
      </c>
      <c r="BF127" s="68" t="s">
        <v>0</v>
      </c>
    </row>
    <row r="128" spans="56:58" ht="39.950000000000003" hidden="1" customHeight="1" x14ac:dyDescent="0.25">
      <c r="BD128" s="46">
        <v>126</v>
      </c>
      <c r="BE128" s="49">
        <v>63</v>
      </c>
      <c r="BF128" s="68" t="s">
        <v>0</v>
      </c>
    </row>
    <row r="129" spans="56:58" ht="39.950000000000003" hidden="1" customHeight="1" x14ac:dyDescent="0.25">
      <c r="BD129" s="46">
        <v>127</v>
      </c>
      <c r="BE129" s="49">
        <v>63.5</v>
      </c>
      <c r="BF129" s="68" t="s">
        <v>0</v>
      </c>
    </row>
    <row r="130" spans="56:58" ht="39.950000000000003" hidden="1" customHeight="1" x14ac:dyDescent="0.25">
      <c r="BD130" s="46">
        <v>128</v>
      </c>
      <c r="BE130" s="49">
        <v>64</v>
      </c>
      <c r="BF130" s="68" t="s">
        <v>0</v>
      </c>
    </row>
    <row r="131" spans="56:58" ht="39.950000000000003" hidden="1" customHeight="1" x14ac:dyDescent="0.25">
      <c r="BD131" s="46">
        <v>129</v>
      </c>
      <c r="BE131" s="49">
        <v>64.5</v>
      </c>
      <c r="BF131" s="68" t="s">
        <v>0</v>
      </c>
    </row>
    <row r="132" spans="56:58" ht="39.950000000000003" hidden="1" customHeight="1" x14ac:dyDescent="0.25">
      <c r="BD132" s="46">
        <v>130</v>
      </c>
      <c r="BE132" s="49">
        <v>65</v>
      </c>
      <c r="BF132" s="68" t="s">
        <v>0</v>
      </c>
    </row>
    <row r="133" spans="56:58" ht="39.950000000000003" hidden="1" customHeight="1" x14ac:dyDescent="0.25">
      <c r="BD133" s="46">
        <v>131</v>
      </c>
      <c r="BE133" s="49">
        <v>65.5</v>
      </c>
      <c r="BF133" s="68" t="s">
        <v>0</v>
      </c>
    </row>
    <row r="134" spans="56:58" ht="39.950000000000003" hidden="1" customHeight="1" x14ac:dyDescent="0.25">
      <c r="BD134" s="46">
        <v>132</v>
      </c>
      <c r="BE134" s="49">
        <v>66</v>
      </c>
      <c r="BF134" s="68" t="s">
        <v>0</v>
      </c>
    </row>
    <row r="135" spans="56:58" ht="39.950000000000003" hidden="1" customHeight="1" x14ac:dyDescent="0.25">
      <c r="BD135" s="46">
        <v>133</v>
      </c>
      <c r="BE135" s="49">
        <v>66.5</v>
      </c>
      <c r="BF135" s="68" t="s">
        <v>0</v>
      </c>
    </row>
    <row r="136" spans="56:58" ht="39.950000000000003" hidden="1" customHeight="1" x14ac:dyDescent="0.25">
      <c r="BD136" s="46">
        <v>134</v>
      </c>
      <c r="BE136" s="49">
        <v>67</v>
      </c>
      <c r="BF136" s="68" t="s">
        <v>0</v>
      </c>
    </row>
    <row r="137" spans="56:58" ht="39.950000000000003" hidden="1" customHeight="1" x14ac:dyDescent="0.25">
      <c r="BD137" s="46">
        <v>135</v>
      </c>
      <c r="BE137" s="49">
        <v>67.5</v>
      </c>
      <c r="BF137" s="68" t="s">
        <v>0</v>
      </c>
    </row>
    <row r="138" spans="56:58" ht="39.950000000000003" hidden="1" customHeight="1" x14ac:dyDescent="0.25">
      <c r="BD138" s="46">
        <v>136</v>
      </c>
      <c r="BE138" s="49">
        <v>68</v>
      </c>
      <c r="BF138" s="68" t="s">
        <v>0</v>
      </c>
    </row>
    <row r="139" spans="56:58" ht="39.950000000000003" hidden="1" customHeight="1" x14ac:dyDescent="0.25">
      <c r="BD139" s="46">
        <v>137</v>
      </c>
      <c r="BE139" s="49">
        <v>68.5</v>
      </c>
      <c r="BF139" s="68" t="s">
        <v>0</v>
      </c>
    </row>
    <row r="140" spans="56:58" ht="39.950000000000003" hidden="1" customHeight="1" x14ac:dyDescent="0.25">
      <c r="BD140" s="46">
        <v>138</v>
      </c>
      <c r="BE140" s="49">
        <v>69</v>
      </c>
      <c r="BF140" s="68" t="s">
        <v>0</v>
      </c>
    </row>
    <row r="141" spans="56:58" ht="39.950000000000003" hidden="1" customHeight="1" x14ac:dyDescent="0.25">
      <c r="BD141" s="46">
        <v>139</v>
      </c>
      <c r="BE141" s="49">
        <v>69.5</v>
      </c>
      <c r="BF141" s="68" t="s">
        <v>0</v>
      </c>
    </row>
    <row r="142" spans="56:58" ht="39.950000000000003" hidden="1" customHeight="1" x14ac:dyDescent="0.25">
      <c r="BD142" s="46">
        <v>140</v>
      </c>
      <c r="BE142" s="49">
        <v>70</v>
      </c>
      <c r="BF142" s="68" t="s">
        <v>0</v>
      </c>
    </row>
    <row r="143" spans="56:58" ht="39.950000000000003" hidden="1" customHeight="1" x14ac:dyDescent="0.25">
      <c r="BD143" s="46">
        <v>141</v>
      </c>
      <c r="BE143" s="49">
        <v>70.5</v>
      </c>
      <c r="BF143" s="68" t="s">
        <v>0</v>
      </c>
    </row>
    <row r="144" spans="56:58" ht="39.950000000000003" hidden="1" customHeight="1" x14ac:dyDescent="0.25">
      <c r="BD144" s="46">
        <v>142</v>
      </c>
      <c r="BE144" s="49">
        <v>71</v>
      </c>
      <c r="BF144" s="68" t="s">
        <v>0</v>
      </c>
    </row>
    <row r="145" spans="56:58" ht="39.950000000000003" hidden="1" customHeight="1" x14ac:dyDescent="0.25">
      <c r="BD145" s="46">
        <v>143</v>
      </c>
      <c r="BE145" s="49">
        <v>71.5</v>
      </c>
      <c r="BF145" s="68" t="s">
        <v>0</v>
      </c>
    </row>
    <row r="146" spans="56:58" ht="39.950000000000003" hidden="1" customHeight="1" x14ac:dyDescent="0.25">
      <c r="BD146" s="46">
        <v>144</v>
      </c>
      <c r="BE146" s="49">
        <v>72</v>
      </c>
      <c r="BF146" s="68" t="s">
        <v>0</v>
      </c>
    </row>
    <row r="147" spans="56:58" ht="39.950000000000003" hidden="1" customHeight="1" x14ac:dyDescent="0.25">
      <c r="BD147" s="46">
        <v>145</v>
      </c>
      <c r="BE147" s="49">
        <v>72.5</v>
      </c>
      <c r="BF147" s="68" t="s">
        <v>0</v>
      </c>
    </row>
    <row r="148" spans="56:58" ht="39.950000000000003" hidden="1" customHeight="1" x14ac:dyDescent="0.25">
      <c r="BD148" s="46">
        <v>146</v>
      </c>
      <c r="BE148" s="49">
        <v>73</v>
      </c>
      <c r="BF148" s="68" t="s">
        <v>0</v>
      </c>
    </row>
    <row r="149" spans="56:58" ht="39.950000000000003" hidden="1" customHeight="1" x14ac:dyDescent="0.25">
      <c r="BD149" s="46">
        <v>147</v>
      </c>
      <c r="BE149" s="49">
        <v>73.5</v>
      </c>
      <c r="BF149" s="68" t="s">
        <v>0</v>
      </c>
    </row>
    <row r="150" spans="56:58" ht="39.950000000000003" hidden="1" customHeight="1" x14ac:dyDescent="0.25">
      <c r="BD150" s="46">
        <v>148</v>
      </c>
      <c r="BE150" s="49">
        <v>74</v>
      </c>
      <c r="BF150" s="68" t="s">
        <v>0</v>
      </c>
    </row>
    <row r="151" spans="56:58" ht="39.950000000000003" hidden="1" customHeight="1" x14ac:dyDescent="0.25">
      <c r="BD151" s="46">
        <v>149</v>
      </c>
      <c r="BE151" s="49">
        <v>74.5</v>
      </c>
      <c r="BF151" s="68" t="s">
        <v>0</v>
      </c>
    </row>
    <row r="152" spans="56:58" ht="39.950000000000003" hidden="1" customHeight="1" x14ac:dyDescent="0.25">
      <c r="BD152" s="46">
        <v>150</v>
      </c>
      <c r="BE152" s="49">
        <v>75</v>
      </c>
      <c r="BF152" s="68" t="s">
        <v>0</v>
      </c>
    </row>
    <row r="153" spans="56:58" ht="39.950000000000003" hidden="1" customHeight="1" x14ac:dyDescent="0.25">
      <c r="BD153" s="46">
        <v>151</v>
      </c>
      <c r="BE153" s="49">
        <v>75.5</v>
      </c>
      <c r="BF153" s="68" t="s">
        <v>0</v>
      </c>
    </row>
    <row r="154" spans="56:58" ht="39.950000000000003" hidden="1" customHeight="1" x14ac:dyDescent="0.25">
      <c r="BD154" s="46">
        <v>152</v>
      </c>
      <c r="BE154" s="49">
        <v>76</v>
      </c>
      <c r="BF154" s="68" t="s">
        <v>0</v>
      </c>
    </row>
    <row r="155" spans="56:58" ht="39.950000000000003" hidden="1" customHeight="1" x14ac:dyDescent="0.25">
      <c r="BD155" s="46">
        <v>153</v>
      </c>
      <c r="BE155" s="49">
        <v>76.5</v>
      </c>
      <c r="BF155" s="68" t="s">
        <v>0</v>
      </c>
    </row>
    <row r="156" spans="56:58" ht="39.950000000000003" hidden="1" customHeight="1" x14ac:dyDescent="0.25">
      <c r="BD156" s="46">
        <v>154</v>
      </c>
      <c r="BE156" s="49">
        <v>77</v>
      </c>
      <c r="BF156" s="68" t="s">
        <v>0</v>
      </c>
    </row>
    <row r="157" spans="56:58" ht="39.950000000000003" hidden="1" customHeight="1" x14ac:dyDescent="0.25">
      <c r="BD157" s="46">
        <v>155</v>
      </c>
      <c r="BE157" s="49">
        <v>77.5</v>
      </c>
      <c r="BF157" s="68" t="s">
        <v>0</v>
      </c>
    </row>
    <row r="158" spans="56:58" ht="39.950000000000003" hidden="1" customHeight="1" x14ac:dyDescent="0.25">
      <c r="BD158" s="46">
        <v>156</v>
      </c>
      <c r="BE158" s="49">
        <v>78</v>
      </c>
      <c r="BF158" s="68" t="s">
        <v>0</v>
      </c>
    </row>
    <row r="159" spans="56:58" ht="39.950000000000003" hidden="1" customHeight="1" x14ac:dyDescent="0.25">
      <c r="BD159" s="46">
        <v>157</v>
      </c>
      <c r="BE159" s="49">
        <v>78.5</v>
      </c>
      <c r="BF159" s="68" t="s">
        <v>0</v>
      </c>
    </row>
    <row r="160" spans="56:58" ht="39.950000000000003" hidden="1" customHeight="1" x14ac:dyDescent="0.25">
      <c r="BD160" s="46">
        <v>158</v>
      </c>
      <c r="BE160" s="49">
        <v>79</v>
      </c>
      <c r="BF160" s="68" t="s">
        <v>0</v>
      </c>
    </row>
    <row r="161" spans="56:58" ht="39.950000000000003" hidden="1" customHeight="1" x14ac:dyDescent="0.25">
      <c r="BD161" s="46">
        <v>159</v>
      </c>
      <c r="BE161" s="49">
        <v>79.5</v>
      </c>
      <c r="BF161" s="68" t="s">
        <v>0</v>
      </c>
    </row>
    <row r="162" spans="56:58" ht="39.950000000000003" hidden="1" customHeight="1" x14ac:dyDescent="0.25">
      <c r="BD162" s="46">
        <v>160</v>
      </c>
      <c r="BE162" s="49">
        <v>80</v>
      </c>
      <c r="BF162" s="68" t="s">
        <v>0</v>
      </c>
    </row>
    <row r="163" spans="56:58" ht="39.950000000000003" hidden="1" customHeight="1" x14ac:dyDescent="0.25">
      <c r="BD163" s="46">
        <v>161</v>
      </c>
      <c r="BE163" s="49">
        <v>80.5</v>
      </c>
      <c r="BF163" s="68" t="s">
        <v>0</v>
      </c>
    </row>
    <row r="164" spans="56:58" ht="39.950000000000003" hidden="1" customHeight="1" x14ac:dyDescent="0.25">
      <c r="BD164" s="46">
        <v>162</v>
      </c>
      <c r="BE164" s="49">
        <v>81</v>
      </c>
      <c r="BF164" s="68" t="s">
        <v>0</v>
      </c>
    </row>
    <row r="165" spans="56:58" ht="39.950000000000003" hidden="1" customHeight="1" x14ac:dyDescent="0.25">
      <c r="BD165" s="46">
        <v>163</v>
      </c>
      <c r="BE165" s="49">
        <v>81.5</v>
      </c>
      <c r="BF165" s="68" t="s">
        <v>0</v>
      </c>
    </row>
    <row r="166" spans="56:58" ht="39.950000000000003" hidden="1" customHeight="1" x14ac:dyDescent="0.25">
      <c r="BD166" s="46">
        <v>164</v>
      </c>
      <c r="BE166" s="49">
        <v>82</v>
      </c>
      <c r="BF166" s="68" t="s">
        <v>0</v>
      </c>
    </row>
    <row r="167" spans="56:58" ht="39.950000000000003" hidden="1" customHeight="1" x14ac:dyDescent="0.25">
      <c r="BD167" s="46">
        <v>165</v>
      </c>
      <c r="BE167" s="49">
        <v>82.5</v>
      </c>
      <c r="BF167" s="68" t="s">
        <v>0</v>
      </c>
    </row>
    <row r="168" spans="56:58" ht="39.950000000000003" hidden="1" customHeight="1" x14ac:dyDescent="0.25">
      <c r="BD168" s="46">
        <v>166</v>
      </c>
      <c r="BE168" s="49">
        <v>83</v>
      </c>
      <c r="BF168" s="68" t="s">
        <v>0</v>
      </c>
    </row>
    <row r="169" spans="56:58" ht="39.950000000000003" hidden="1" customHeight="1" x14ac:dyDescent="0.25">
      <c r="BD169" s="46">
        <v>167</v>
      </c>
      <c r="BE169" s="49">
        <v>83.5</v>
      </c>
      <c r="BF169" s="68" t="s">
        <v>0</v>
      </c>
    </row>
    <row r="170" spans="56:58" ht="39.950000000000003" hidden="1" customHeight="1" x14ac:dyDescent="0.25">
      <c r="BD170" s="46">
        <v>168</v>
      </c>
      <c r="BE170" s="49">
        <v>84</v>
      </c>
      <c r="BF170" s="68" t="s">
        <v>0</v>
      </c>
    </row>
    <row r="171" spans="56:58" ht="39.950000000000003" hidden="1" customHeight="1" x14ac:dyDescent="0.25">
      <c r="BD171" s="46">
        <v>169</v>
      </c>
      <c r="BE171" s="49">
        <v>84.5</v>
      </c>
      <c r="BF171" s="68" t="s">
        <v>0</v>
      </c>
    </row>
    <row r="172" spans="56:58" ht="39.950000000000003" hidden="1" customHeight="1" x14ac:dyDescent="0.25">
      <c r="BD172" s="46">
        <v>170</v>
      </c>
      <c r="BE172" s="49">
        <v>85</v>
      </c>
      <c r="BF172" s="68" t="s">
        <v>0</v>
      </c>
    </row>
    <row r="173" spans="56:58" ht="39.950000000000003" hidden="1" customHeight="1" x14ac:dyDescent="0.25">
      <c r="BD173" s="46">
        <v>171</v>
      </c>
      <c r="BE173" s="49">
        <v>85.5</v>
      </c>
      <c r="BF173" s="68" t="s">
        <v>0</v>
      </c>
    </row>
    <row r="174" spans="56:58" ht="39.950000000000003" hidden="1" customHeight="1" x14ac:dyDescent="0.25">
      <c r="BD174" s="46">
        <v>172</v>
      </c>
      <c r="BE174" s="49">
        <v>86</v>
      </c>
      <c r="BF174" s="68" t="s">
        <v>0</v>
      </c>
    </row>
    <row r="175" spans="56:58" ht="39.950000000000003" hidden="1" customHeight="1" x14ac:dyDescent="0.25">
      <c r="BD175" s="46">
        <v>173</v>
      </c>
      <c r="BE175" s="49">
        <v>86.5</v>
      </c>
      <c r="BF175" s="68" t="s">
        <v>0</v>
      </c>
    </row>
    <row r="176" spans="56:58" ht="39.950000000000003" hidden="1" customHeight="1" x14ac:dyDescent="0.25">
      <c r="BD176" s="46">
        <v>174</v>
      </c>
      <c r="BE176" s="49">
        <v>87</v>
      </c>
      <c r="BF176" s="68" t="s">
        <v>0</v>
      </c>
    </row>
    <row r="177" spans="56:58" ht="39.950000000000003" hidden="1" customHeight="1" x14ac:dyDescent="0.25">
      <c r="BD177" s="46">
        <v>175</v>
      </c>
      <c r="BE177" s="49">
        <v>87.5</v>
      </c>
      <c r="BF177" s="68" t="s">
        <v>0</v>
      </c>
    </row>
    <row r="178" spans="56:58" ht="39.950000000000003" hidden="1" customHeight="1" x14ac:dyDescent="0.25">
      <c r="BD178" s="46">
        <v>176</v>
      </c>
      <c r="BE178" s="49">
        <v>88</v>
      </c>
      <c r="BF178" s="68" t="s">
        <v>0</v>
      </c>
    </row>
    <row r="179" spans="56:58" ht="39.950000000000003" hidden="1" customHeight="1" x14ac:dyDescent="0.25">
      <c r="BD179" s="46">
        <v>177</v>
      </c>
      <c r="BE179" s="49">
        <v>88.5</v>
      </c>
      <c r="BF179" s="68" t="s">
        <v>0</v>
      </c>
    </row>
    <row r="180" spans="56:58" ht="39.950000000000003" hidden="1" customHeight="1" x14ac:dyDescent="0.25">
      <c r="BD180" s="46">
        <v>178</v>
      </c>
      <c r="BE180" s="49">
        <v>89</v>
      </c>
      <c r="BF180" s="68" t="s">
        <v>0</v>
      </c>
    </row>
    <row r="181" spans="56:58" ht="39.950000000000003" hidden="1" customHeight="1" x14ac:dyDescent="0.25">
      <c r="BD181" s="46">
        <v>179</v>
      </c>
      <c r="BE181" s="49">
        <v>89.5</v>
      </c>
      <c r="BF181" s="68" t="s">
        <v>0</v>
      </c>
    </row>
    <row r="182" spans="56:58" ht="39.950000000000003" hidden="1" customHeight="1" x14ac:dyDescent="0.25">
      <c r="BD182" s="46">
        <v>180</v>
      </c>
      <c r="BE182" s="49">
        <v>90</v>
      </c>
      <c r="BF182" s="68" t="s">
        <v>0</v>
      </c>
    </row>
    <row r="183" spans="56:58" ht="39.950000000000003" hidden="1" customHeight="1" x14ac:dyDescent="0.25">
      <c r="BD183" s="46">
        <v>181</v>
      </c>
      <c r="BE183" s="49">
        <v>90.5</v>
      </c>
      <c r="BF183" s="68" t="s">
        <v>0</v>
      </c>
    </row>
    <row r="184" spans="56:58" ht="39.950000000000003" hidden="1" customHeight="1" x14ac:dyDescent="0.25">
      <c r="BD184" s="46">
        <v>182</v>
      </c>
      <c r="BE184" s="49">
        <v>91</v>
      </c>
      <c r="BF184" s="68" t="s">
        <v>0</v>
      </c>
    </row>
    <row r="185" spans="56:58" ht="39.950000000000003" hidden="1" customHeight="1" x14ac:dyDescent="0.25">
      <c r="BD185" s="46">
        <v>183</v>
      </c>
      <c r="BE185" s="49">
        <v>91.5</v>
      </c>
      <c r="BF185" s="68" t="s">
        <v>0</v>
      </c>
    </row>
    <row r="186" spans="56:58" ht="39.950000000000003" hidden="1" customHeight="1" x14ac:dyDescent="0.25">
      <c r="BD186" s="46">
        <v>184</v>
      </c>
      <c r="BE186" s="49">
        <v>92</v>
      </c>
      <c r="BF186" s="68" t="s">
        <v>0</v>
      </c>
    </row>
    <row r="187" spans="56:58" ht="39.950000000000003" hidden="1" customHeight="1" x14ac:dyDescent="0.25">
      <c r="BD187" s="46">
        <v>185</v>
      </c>
      <c r="BE187" s="49">
        <v>92.5</v>
      </c>
      <c r="BF187" s="68" t="s">
        <v>0</v>
      </c>
    </row>
    <row r="188" spans="56:58" ht="39.950000000000003" hidden="1" customHeight="1" x14ac:dyDescent="0.25">
      <c r="BD188" s="46">
        <v>186</v>
      </c>
      <c r="BE188" s="49">
        <v>93</v>
      </c>
      <c r="BF188" s="68" t="s">
        <v>0</v>
      </c>
    </row>
    <row r="189" spans="56:58" ht="39.950000000000003" hidden="1" customHeight="1" x14ac:dyDescent="0.25">
      <c r="BD189" s="46">
        <v>187</v>
      </c>
      <c r="BE189" s="49">
        <v>93.5</v>
      </c>
      <c r="BF189" s="68" t="s">
        <v>0</v>
      </c>
    </row>
    <row r="190" spans="56:58" ht="39.950000000000003" hidden="1" customHeight="1" x14ac:dyDescent="0.25">
      <c r="BD190" s="46">
        <v>188</v>
      </c>
      <c r="BE190" s="49">
        <v>94</v>
      </c>
      <c r="BF190" s="68" t="s">
        <v>0</v>
      </c>
    </row>
    <row r="191" spans="56:58" ht="39.950000000000003" hidden="1" customHeight="1" x14ac:dyDescent="0.25">
      <c r="BD191" s="46">
        <v>189</v>
      </c>
      <c r="BE191" s="49">
        <v>94.5</v>
      </c>
      <c r="BF191" s="68" t="s">
        <v>0</v>
      </c>
    </row>
    <row r="192" spans="56:58" ht="39.950000000000003" hidden="1" customHeight="1" x14ac:dyDescent="0.25">
      <c r="BD192" s="46">
        <v>190</v>
      </c>
      <c r="BE192" s="49">
        <v>95</v>
      </c>
      <c r="BF192" s="68" t="s">
        <v>0</v>
      </c>
    </row>
    <row r="193" spans="56:58" ht="39.950000000000003" hidden="1" customHeight="1" x14ac:dyDescent="0.25">
      <c r="BD193" s="46">
        <v>191</v>
      </c>
      <c r="BE193" s="49">
        <v>95.5</v>
      </c>
      <c r="BF193" s="68" t="s">
        <v>0</v>
      </c>
    </row>
    <row r="194" spans="56:58" ht="39.950000000000003" hidden="1" customHeight="1" x14ac:dyDescent="0.25">
      <c r="BD194" s="46">
        <v>192</v>
      </c>
      <c r="BE194" s="49">
        <v>96</v>
      </c>
      <c r="BF194" s="68" t="s">
        <v>0</v>
      </c>
    </row>
    <row r="195" spans="56:58" ht="39.950000000000003" hidden="1" customHeight="1" x14ac:dyDescent="0.25">
      <c r="BD195" s="46">
        <v>193</v>
      </c>
      <c r="BE195" s="49">
        <v>96.5</v>
      </c>
      <c r="BF195" s="68" t="s">
        <v>0</v>
      </c>
    </row>
    <row r="196" spans="56:58" ht="39.950000000000003" hidden="1" customHeight="1" x14ac:dyDescent="0.25">
      <c r="BD196" s="46">
        <v>194</v>
      </c>
      <c r="BE196" s="49">
        <v>97</v>
      </c>
      <c r="BF196" s="68" t="s">
        <v>0</v>
      </c>
    </row>
    <row r="197" spans="56:58" ht="39.950000000000003" hidden="1" customHeight="1" x14ac:dyDescent="0.25">
      <c r="BD197" s="46">
        <v>195</v>
      </c>
      <c r="BE197" s="49">
        <v>97.5</v>
      </c>
      <c r="BF197" s="68" t="s">
        <v>0</v>
      </c>
    </row>
    <row r="198" spans="56:58" ht="39.950000000000003" hidden="1" customHeight="1" x14ac:dyDescent="0.25">
      <c r="BD198" s="46">
        <v>196</v>
      </c>
      <c r="BE198" s="49">
        <v>98</v>
      </c>
      <c r="BF198" s="68" t="s">
        <v>0</v>
      </c>
    </row>
    <row r="199" spans="56:58" ht="39.950000000000003" hidden="1" customHeight="1" x14ac:dyDescent="0.25">
      <c r="BD199" s="46">
        <v>197</v>
      </c>
      <c r="BE199" s="49">
        <v>98.5</v>
      </c>
      <c r="BF199" s="68" t="s">
        <v>0</v>
      </c>
    </row>
    <row r="200" spans="56:58" ht="39.950000000000003" hidden="1" customHeight="1" x14ac:dyDescent="0.25">
      <c r="BD200" s="46">
        <v>198</v>
      </c>
      <c r="BE200" s="49">
        <v>99</v>
      </c>
      <c r="BF200" s="68" t="s">
        <v>0</v>
      </c>
    </row>
    <row r="201" spans="56:58" ht="39.950000000000003" hidden="1" customHeight="1" x14ac:dyDescent="0.25">
      <c r="BD201" s="46">
        <v>199</v>
      </c>
      <c r="BE201" s="49">
        <v>99.5</v>
      </c>
      <c r="BF201" s="68" t="s">
        <v>0</v>
      </c>
    </row>
    <row r="202" spans="56:58" ht="39.950000000000003" hidden="1" customHeight="1" x14ac:dyDescent="0.25">
      <c r="BD202" s="46">
        <v>200</v>
      </c>
      <c r="BE202" s="49">
        <v>100</v>
      </c>
      <c r="BF202" s="68" t="s">
        <v>0</v>
      </c>
    </row>
    <row r="203" spans="56:58" ht="39.950000000000003" hidden="1" customHeight="1" x14ac:dyDescent="0.25">
      <c r="BD203" s="46">
        <v>201</v>
      </c>
      <c r="BE203" s="49">
        <v>100.5</v>
      </c>
      <c r="BF203" s="68" t="s">
        <v>0</v>
      </c>
    </row>
    <row r="204" spans="56:58" ht="39.950000000000003" hidden="1" customHeight="1" x14ac:dyDescent="0.25">
      <c r="BD204" s="46">
        <v>202</v>
      </c>
      <c r="BE204" s="49">
        <v>101</v>
      </c>
      <c r="BF204" s="68" t="s">
        <v>0</v>
      </c>
    </row>
    <row r="205" spans="56:58" ht="39.950000000000003" hidden="1" customHeight="1" x14ac:dyDescent="0.25">
      <c r="BD205" s="46">
        <v>203</v>
      </c>
      <c r="BE205" s="49">
        <v>101.5</v>
      </c>
      <c r="BF205" s="68" t="s">
        <v>0</v>
      </c>
    </row>
    <row r="206" spans="56:58" ht="39.950000000000003" hidden="1" customHeight="1" x14ac:dyDescent="0.25">
      <c r="BD206" s="46">
        <v>204</v>
      </c>
      <c r="BE206" s="49">
        <v>102</v>
      </c>
      <c r="BF206" s="68" t="s">
        <v>0</v>
      </c>
    </row>
    <row r="207" spans="56:58" ht="39.950000000000003" hidden="1" customHeight="1" x14ac:dyDescent="0.25">
      <c r="BD207" s="46">
        <v>205</v>
      </c>
      <c r="BE207" s="49">
        <v>102.5</v>
      </c>
      <c r="BF207" s="68" t="s">
        <v>0</v>
      </c>
    </row>
    <row r="208" spans="56:58" ht="39.950000000000003" hidden="1" customHeight="1" x14ac:dyDescent="0.25">
      <c r="BD208" s="46">
        <v>206</v>
      </c>
      <c r="BE208" s="49">
        <v>103</v>
      </c>
      <c r="BF208" s="68" t="s">
        <v>0</v>
      </c>
    </row>
    <row r="209" spans="56:58" ht="39.950000000000003" hidden="1" customHeight="1" x14ac:dyDescent="0.25">
      <c r="BD209" s="46">
        <v>207</v>
      </c>
      <c r="BE209" s="49">
        <v>103.5</v>
      </c>
      <c r="BF209" s="68" t="s">
        <v>0</v>
      </c>
    </row>
    <row r="210" spans="56:58" ht="39.950000000000003" hidden="1" customHeight="1" x14ac:dyDescent="0.25">
      <c r="BD210" s="46">
        <v>208</v>
      </c>
      <c r="BE210" s="49">
        <v>104</v>
      </c>
      <c r="BF210" s="68" t="s">
        <v>0</v>
      </c>
    </row>
    <row r="211" spans="56:58" ht="39.950000000000003" hidden="1" customHeight="1" x14ac:dyDescent="0.25">
      <c r="BD211" s="46">
        <v>209</v>
      </c>
      <c r="BE211" s="49">
        <v>104.5</v>
      </c>
      <c r="BF211" s="68" t="s">
        <v>0</v>
      </c>
    </row>
    <row r="212" spans="56:58" ht="39.950000000000003" hidden="1" customHeight="1" x14ac:dyDescent="0.25">
      <c r="BD212" s="46">
        <v>210</v>
      </c>
      <c r="BE212" s="49">
        <v>105</v>
      </c>
      <c r="BF212" s="68" t="s">
        <v>0</v>
      </c>
    </row>
    <row r="213" spans="56:58" ht="39.950000000000003" hidden="1" customHeight="1" x14ac:dyDescent="0.25">
      <c r="BD213" s="46">
        <v>211</v>
      </c>
      <c r="BE213" s="49">
        <v>105.5</v>
      </c>
      <c r="BF213" s="68" t="s">
        <v>0</v>
      </c>
    </row>
    <row r="214" spans="56:58" ht="39.950000000000003" hidden="1" customHeight="1" x14ac:dyDescent="0.25">
      <c r="BD214" s="46">
        <v>212</v>
      </c>
      <c r="BE214" s="49">
        <v>106</v>
      </c>
      <c r="BF214" s="68" t="s">
        <v>0</v>
      </c>
    </row>
    <row r="215" spans="56:58" ht="39.950000000000003" hidden="1" customHeight="1" x14ac:dyDescent="0.25">
      <c r="BD215" s="46">
        <v>213</v>
      </c>
      <c r="BE215" s="49">
        <v>106.5</v>
      </c>
      <c r="BF215" s="68" t="s">
        <v>0</v>
      </c>
    </row>
    <row r="216" spans="56:58" ht="39.950000000000003" hidden="1" customHeight="1" x14ac:dyDescent="0.25">
      <c r="BD216" s="46">
        <v>214</v>
      </c>
      <c r="BE216" s="49">
        <v>107</v>
      </c>
      <c r="BF216" s="68" t="s">
        <v>0</v>
      </c>
    </row>
    <row r="217" spans="56:58" ht="39.950000000000003" hidden="1" customHeight="1" x14ac:dyDescent="0.25">
      <c r="BD217" s="46">
        <v>215</v>
      </c>
      <c r="BE217" s="49">
        <v>107.5</v>
      </c>
      <c r="BF217" s="68" t="s">
        <v>0</v>
      </c>
    </row>
    <row r="218" spans="56:58" ht="39.950000000000003" hidden="1" customHeight="1" x14ac:dyDescent="0.25">
      <c r="BD218" s="46">
        <v>216</v>
      </c>
      <c r="BE218" s="49">
        <v>108</v>
      </c>
      <c r="BF218" s="68" t="s">
        <v>0</v>
      </c>
    </row>
    <row r="219" spans="56:58" ht="39.950000000000003" hidden="1" customHeight="1" x14ac:dyDescent="0.25">
      <c r="BD219" s="46">
        <v>217</v>
      </c>
      <c r="BE219" s="49">
        <v>108.5</v>
      </c>
      <c r="BF219" s="68" t="s">
        <v>0</v>
      </c>
    </row>
    <row r="220" spans="56:58" ht="39.950000000000003" hidden="1" customHeight="1" x14ac:dyDescent="0.25">
      <c r="BD220" s="46">
        <v>218</v>
      </c>
      <c r="BE220" s="49">
        <v>109</v>
      </c>
      <c r="BF220" s="68" t="s">
        <v>0</v>
      </c>
    </row>
    <row r="221" spans="56:58" ht="39.950000000000003" hidden="1" customHeight="1" x14ac:dyDescent="0.25">
      <c r="BD221" s="46">
        <v>219</v>
      </c>
      <c r="BE221" s="49">
        <v>109.5</v>
      </c>
      <c r="BF221" s="68" t="s">
        <v>0</v>
      </c>
    </row>
    <row r="222" spans="56:58" ht="39.950000000000003" hidden="1" customHeight="1" x14ac:dyDescent="0.25">
      <c r="BD222" s="46">
        <v>220</v>
      </c>
      <c r="BE222" s="49">
        <v>110</v>
      </c>
      <c r="BF222" s="68" t="s">
        <v>0</v>
      </c>
    </row>
    <row r="223" spans="56:58" ht="39.950000000000003" hidden="1" customHeight="1" x14ac:dyDescent="0.25">
      <c r="BD223" s="46">
        <v>221</v>
      </c>
      <c r="BE223" s="49">
        <v>110.5</v>
      </c>
      <c r="BF223" s="68" t="s">
        <v>0</v>
      </c>
    </row>
    <row r="224" spans="56:58" ht="39.950000000000003" hidden="1" customHeight="1" x14ac:dyDescent="0.25">
      <c r="BD224" s="46">
        <v>222</v>
      </c>
      <c r="BE224" s="49">
        <v>111</v>
      </c>
      <c r="BF224" s="68" t="s">
        <v>0</v>
      </c>
    </row>
    <row r="225" spans="56:58" ht="39.950000000000003" hidden="1" customHeight="1" x14ac:dyDescent="0.25">
      <c r="BD225" s="46">
        <v>223</v>
      </c>
      <c r="BE225" s="49">
        <v>111.5</v>
      </c>
      <c r="BF225" s="68" t="s">
        <v>0</v>
      </c>
    </row>
    <row r="226" spans="56:58" ht="39.950000000000003" hidden="1" customHeight="1" x14ac:dyDescent="0.25">
      <c r="BD226" s="46">
        <v>224</v>
      </c>
      <c r="BE226" s="49">
        <v>112</v>
      </c>
      <c r="BF226" s="68" t="s">
        <v>0</v>
      </c>
    </row>
    <row r="227" spans="56:58" ht="39.950000000000003" hidden="1" customHeight="1" x14ac:dyDescent="0.25">
      <c r="BD227" s="46">
        <v>225</v>
      </c>
      <c r="BE227" s="49">
        <v>112.5</v>
      </c>
      <c r="BF227" s="68" t="s">
        <v>0</v>
      </c>
    </row>
    <row r="228" spans="56:58" ht="39.950000000000003" hidden="1" customHeight="1" x14ac:dyDescent="0.25">
      <c r="BD228" s="46">
        <v>226</v>
      </c>
      <c r="BE228" s="49">
        <v>113</v>
      </c>
      <c r="BF228" s="68" t="s">
        <v>0</v>
      </c>
    </row>
    <row r="229" spans="56:58" ht="39.950000000000003" hidden="1" customHeight="1" x14ac:dyDescent="0.25">
      <c r="BD229" s="46">
        <v>227</v>
      </c>
      <c r="BE229" s="49">
        <v>113.5</v>
      </c>
      <c r="BF229" s="68" t="s">
        <v>0</v>
      </c>
    </row>
    <row r="230" spans="56:58" ht="39.950000000000003" hidden="1" customHeight="1" x14ac:dyDescent="0.25">
      <c r="BD230" s="46">
        <v>228</v>
      </c>
      <c r="BE230" s="49">
        <v>114</v>
      </c>
      <c r="BF230" s="68" t="s">
        <v>0</v>
      </c>
    </row>
    <row r="231" spans="56:58" ht="39.950000000000003" hidden="1" customHeight="1" x14ac:dyDescent="0.25">
      <c r="BD231" s="46">
        <v>229</v>
      </c>
      <c r="BE231" s="49">
        <v>114.5</v>
      </c>
      <c r="BF231" s="68" t="s">
        <v>0</v>
      </c>
    </row>
    <row r="232" spans="56:58" ht="39.950000000000003" hidden="1" customHeight="1" x14ac:dyDescent="0.25">
      <c r="BD232" s="46">
        <v>230</v>
      </c>
      <c r="BE232" s="49">
        <v>115</v>
      </c>
      <c r="BF232" s="68" t="s">
        <v>0</v>
      </c>
    </row>
    <row r="233" spans="56:58" ht="39.950000000000003" hidden="1" customHeight="1" x14ac:dyDescent="0.25">
      <c r="BD233" s="46">
        <v>231</v>
      </c>
      <c r="BE233" s="49">
        <v>115.5</v>
      </c>
      <c r="BF233" s="68" t="s">
        <v>0</v>
      </c>
    </row>
    <row r="234" spans="56:58" ht="39.950000000000003" hidden="1" customHeight="1" x14ac:dyDescent="0.25">
      <c r="BD234" s="46">
        <v>232</v>
      </c>
      <c r="BE234" s="49">
        <v>116</v>
      </c>
      <c r="BF234" s="68" t="s">
        <v>0</v>
      </c>
    </row>
    <row r="235" spans="56:58" ht="39.950000000000003" hidden="1" customHeight="1" x14ac:dyDescent="0.25">
      <c r="BD235" s="46">
        <v>233</v>
      </c>
      <c r="BE235" s="49">
        <v>116.5</v>
      </c>
      <c r="BF235" s="68" t="s">
        <v>0</v>
      </c>
    </row>
    <row r="236" spans="56:58" ht="39.950000000000003" hidden="1" customHeight="1" x14ac:dyDescent="0.25">
      <c r="BD236" s="46">
        <v>234</v>
      </c>
      <c r="BE236" s="49">
        <v>117</v>
      </c>
      <c r="BF236" s="68" t="s">
        <v>0</v>
      </c>
    </row>
    <row r="237" spans="56:58" ht="39.950000000000003" hidden="1" customHeight="1" x14ac:dyDescent="0.25">
      <c r="BD237" s="46">
        <v>235</v>
      </c>
      <c r="BE237" s="49">
        <v>117.5</v>
      </c>
      <c r="BF237" s="68" t="s">
        <v>0</v>
      </c>
    </row>
    <row r="238" spans="56:58" ht="39.950000000000003" hidden="1" customHeight="1" x14ac:dyDescent="0.25">
      <c r="BD238" s="46">
        <v>236</v>
      </c>
      <c r="BE238" s="49">
        <v>118</v>
      </c>
      <c r="BF238" s="68" t="s">
        <v>0</v>
      </c>
    </row>
    <row r="239" spans="56:58" ht="39.950000000000003" hidden="1" customHeight="1" x14ac:dyDescent="0.25">
      <c r="BD239" s="46">
        <v>237</v>
      </c>
      <c r="BE239" s="49">
        <v>118.5</v>
      </c>
      <c r="BF239" s="68" t="s">
        <v>0</v>
      </c>
    </row>
    <row r="240" spans="56:58" ht="39.950000000000003" hidden="1" customHeight="1" x14ac:dyDescent="0.25">
      <c r="BD240" s="46">
        <v>238</v>
      </c>
      <c r="BE240" s="49">
        <v>119</v>
      </c>
      <c r="BF240" s="68" t="s">
        <v>0</v>
      </c>
    </row>
    <row r="241" spans="1:58" ht="39.950000000000003" hidden="1" customHeight="1" x14ac:dyDescent="0.25">
      <c r="BD241" s="46">
        <v>239</v>
      </c>
      <c r="BE241" s="49">
        <v>119.5</v>
      </c>
      <c r="BF241" s="68" t="s">
        <v>0</v>
      </c>
    </row>
    <row r="242" spans="1:58" ht="39.950000000000003" hidden="1" customHeight="1" x14ac:dyDescent="0.25">
      <c r="BD242" s="46">
        <v>240</v>
      </c>
      <c r="BE242" s="49">
        <v>120</v>
      </c>
      <c r="BF242" s="68" t="s">
        <v>0</v>
      </c>
    </row>
    <row r="243" spans="1:58" ht="39.950000000000003" hidden="1" customHeight="1" x14ac:dyDescent="0.25">
      <c r="BD243" s="46">
        <v>241</v>
      </c>
      <c r="BE243" s="49">
        <v>120.5</v>
      </c>
      <c r="BF243" s="68" t="s">
        <v>0</v>
      </c>
    </row>
    <row r="244" spans="1:58" ht="39.950000000000003" hidden="1" customHeight="1" x14ac:dyDescent="0.25">
      <c r="BD244" s="46">
        <v>242</v>
      </c>
      <c r="BE244" s="49">
        <v>121</v>
      </c>
      <c r="BF244" s="68" t="s">
        <v>0</v>
      </c>
    </row>
    <row r="245" spans="1:58" ht="39.950000000000003" hidden="1" customHeight="1" x14ac:dyDescent="0.25">
      <c r="BD245" s="46">
        <v>243</v>
      </c>
      <c r="BE245" s="49">
        <v>121.5</v>
      </c>
      <c r="BF245" s="68" t="s">
        <v>0</v>
      </c>
    </row>
    <row r="246" spans="1:58" ht="39.950000000000003" hidden="1" customHeight="1" x14ac:dyDescent="0.25">
      <c r="BD246" s="46">
        <v>244</v>
      </c>
      <c r="BE246" s="49">
        <v>122</v>
      </c>
      <c r="BF246" s="68" t="s">
        <v>0</v>
      </c>
    </row>
    <row r="247" spans="1:58" ht="39.950000000000003" hidden="1" customHeight="1" x14ac:dyDescent="0.25">
      <c r="BD247" s="46">
        <v>245</v>
      </c>
      <c r="BE247" s="49">
        <v>122.5</v>
      </c>
      <c r="BF247" s="68" t="s">
        <v>0</v>
      </c>
    </row>
    <row r="248" spans="1:58" ht="39.950000000000003" hidden="1" customHeight="1" x14ac:dyDescent="0.25">
      <c r="BD248" s="46">
        <v>246</v>
      </c>
      <c r="BE248" s="49">
        <v>123</v>
      </c>
      <c r="BF248" s="68" t="s">
        <v>0</v>
      </c>
    </row>
    <row r="249" spans="1:58" ht="39.950000000000003" hidden="1" customHeight="1" x14ac:dyDescent="0.25">
      <c r="BD249" s="46">
        <v>247</v>
      </c>
      <c r="BE249" s="49">
        <v>123.5</v>
      </c>
      <c r="BF249" s="68" t="s">
        <v>0</v>
      </c>
    </row>
    <row r="250" spans="1:58" ht="39.950000000000003" hidden="1" customHeight="1" x14ac:dyDescent="0.25">
      <c r="BD250" s="46">
        <v>248</v>
      </c>
      <c r="BE250" s="49">
        <v>124</v>
      </c>
      <c r="BF250" s="68" t="s">
        <v>0</v>
      </c>
    </row>
    <row r="251" spans="1:58" ht="39.950000000000003" hidden="1" customHeight="1" x14ac:dyDescent="0.25">
      <c r="BD251" s="46">
        <v>249</v>
      </c>
      <c r="BE251" s="49">
        <v>124.5</v>
      </c>
      <c r="BF251" s="68" t="s">
        <v>0</v>
      </c>
    </row>
    <row r="252" spans="1:58" ht="39.950000000000003" hidden="1" customHeight="1" x14ac:dyDescent="0.25">
      <c r="BD252" s="46">
        <v>250</v>
      </c>
      <c r="BE252" s="49">
        <v>125</v>
      </c>
      <c r="BF252" s="68" t="s">
        <v>0</v>
      </c>
    </row>
    <row r="253" spans="1:58" ht="39.950000000000003" hidden="1" customHeight="1" x14ac:dyDescent="0.25">
      <c r="BD253" s="46">
        <v>251</v>
      </c>
      <c r="BE253" s="49">
        <v>125.5</v>
      </c>
      <c r="BF253" s="68" t="s">
        <v>0</v>
      </c>
    </row>
    <row r="254" spans="1:58" s="43" customFormat="1" ht="39.950000000000003" hidden="1" customHeight="1" x14ac:dyDescent="0.25">
      <c r="A254" s="13"/>
      <c r="B254" s="42"/>
      <c r="C254" s="42"/>
      <c r="D254" s="42"/>
      <c r="E254" s="42"/>
      <c r="F254" s="42"/>
      <c r="G254" s="42"/>
      <c r="H254" s="42"/>
      <c r="I254" s="42"/>
      <c r="J254" s="42"/>
      <c r="K254" s="42"/>
      <c r="L254" s="42"/>
      <c r="M254" s="42"/>
      <c r="N254" s="42"/>
      <c r="O254" s="13"/>
      <c r="P254" s="13"/>
      <c r="Q254" s="13"/>
      <c r="R254" s="13"/>
      <c r="S254" s="13"/>
      <c r="T254" s="13"/>
      <c r="U254" s="79"/>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c r="BC254" s="46"/>
      <c r="BD254" s="46">
        <v>252</v>
      </c>
      <c r="BE254" s="49">
        <v>126</v>
      </c>
      <c r="BF254" s="68" t="s">
        <v>0</v>
      </c>
    </row>
    <row r="255" spans="1:58" s="43" customFormat="1" ht="39.950000000000003" hidden="1" customHeight="1" x14ac:dyDescent="0.25">
      <c r="A255" s="13"/>
      <c r="B255" s="42"/>
      <c r="C255" s="42"/>
      <c r="D255" s="42"/>
      <c r="E255" s="42"/>
      <c r="F255" s="42"/>
      <c r="G255" s="42"/>
      <c r="H255" s="42"/>
      <c r="I255" s="42"/>
      <c r="J255" s="42"/>
      <c r="K255" s="42"/>
      <c r="L255" s="42"/>
      <c r="M255" s="42"/>
      <c r="N255" s="42"/>
      <c r="O255" s="13"/>
      <c r="P255" s="13"/>
      <c r="Q255" s="13"/>
      <c r="R255" s="13"/>
      <c r="S255" s="13"/>
      <c r="T255" s="13"/>
      <c r="U255" s="79"/>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c r="BC255" s="46"/>
      <c r="BD255" s="46">
        <v>253</v>
      </c>
      <c r="BE255" s="49">
        <v>126.5</v>
      </c>
      <c r="BF255" s="68" t="s">
        <v>0</v>
      </c>
    </row>
    <row r="256" spans="1:58" s="43" customFormat="1" ht="39.950000000000003" hidden="1" customHeight="1" x14ac:dyDescent="0.25">
      <c r="A256" s="13"/>
      <c r="B256" s="42"/>
      <c r="C256" s="42"/>
      <c r="D256" s="42"/>
      <c r="E256" s="42"/>
      <c r="F256" s="42"/>
      <c r="G256" s="42"/>
      <c r="H256" s="42"/>
      <c r="I256" s="42"/>
      <c r="J256" s="42"/>
      <c r="K256" s="42"/>
      <c r="L256" s="42"/>
      <c r="M256" s="42"/>
      <c r="N256" s="42"/>
      <c r="O256" s="13"/>
      <c r="P256" s="13"/>
      <c r="Q256" s="13"/>
      <c r="R256" s="13"/>
      <c r="S256" s="13"/>
      <c r="T256" s="13"/>
      <c r="U256" s="79"/>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c r="BC256" s="46"/>
      <c r="BD256" s="46">
        <v>254</v>
      </c>
      <c r="BE256" s="49">
        <v>127</v>
      </c>
      <c r="BF256" s="68" t="s">
        <v>0</v>
      </c>
    </row>
    <row r="257" spans="1:58" s="43" customFormat="1" ht="39.950000000000003" hidden="1" customHeight="1" x14ac:dyDescent="0.25">
      <c r="A257" s="13"/>
      <c r="B257" s="42"/>
      <c r="C257" s="42"/>
      <c r="D257" s="42"/>
      <c r="E257" s="42"/>
      <c r="F257" s="42"/>
      <c r="G257" s="42"/>
      <c r="H257" s="42"/>
      <c r="I257" s="42"/>
      <c r="J257" s="42"/>
      <c r="K257" s="42"/>
      <c r="L257" s="42"/>
      <c r="M257" s="42"/>
      <c r="N257" s="42"/>
      <c r="O257" s="13"/>
      <c r="P257" s="13"/>
      <c r="Q257" s="13"/>
      <c r="R257" s="13"/>
      <c r="S257" s="13"/>
      <c r="T257" s="13"/>
      <c r="U257" s="79"/>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c r="BC257" s="46"/>
      <c r="BD257" s="46">
        <v>255</v>
      </c>
      <c r="BE257" s="49">
        <v>127.5</v>
      </c>
      <c r="BF257" s="68" t="s">
        <v>0</v>
      </c>
    </row>
    <row r="258" spans="1:58" s="43" customFormat="1" ht="39.950000000000003" hidden="1" customHeight="1" x14ac:dyDescent="0.25">
      <c r="A258" s="13"/>
      <c r="B258" s="42"/>
      <c r="C258" s="42"/>
      <c r="D258" s="42"/>
      <c r="E258" s="42"/>
      <c r="F258" s="42"/>
      <c r="G258" s="42"/>
      <c r="H258" s="42"/>
      <c r="I258" s="42"/>
      <c r="J258" s="42"/>
      <c r="K258" s="42"/>
      <c r="L258" s="42"/>
      <c r="M258" s="42"/>
      <c r="N258" s="42"/>
      <c r="O258" s="13"/>
      <c r="P258" s="13"/>
      <c r="Q258" s="13"/>
      <c r="R258" s="13"/>
      <c r="S258" s="13"/>
      <c r="T258" s="13"/>
      <c r="U258" s="79"/>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c r="BC258" s="46"/>
      <c r="BD258" s="46">
        <v>256</v>
      </c>
      <c r="BE258" s="49">
        <v>128</v>
      </c>
      <c r="BF258" s="68" t="s">
        <v>0</v>
      </c>
    </row>
    <row r="259" spans="1:58" s="43" customFormat="1" ht="39.950000000000003" hidden="1" customHeight="1" x14ac:dyDescent="0.25">
      <c r="A259" s="13"/>
      <c r="B259" s="42"/>
      <c r="C259" s="42"/>
      <c r="D259" s="42"/>
      <c r="E259" s="42"/>
      <c r="F259" s="42"/>
      <c r="G259" s="42"/>
      <c r="H259" s="42"/>
      <c r="I259" s="42"/>
      <c r="J259" s="42"/>
      <c r="K259" s="42"/>
      <c r="L259" s="42"/>
      <c r="M259" s="42"/>
      <c r="N259" s="42"/>
      <c r="O259" s="13"/>
      <c r="P259" s="13"/>
      <c r="Q259" s="13"/>
      <c r="R259" s="13"/>
      <c r="S259" s="13"/>
      <c r="T259" s="13"/>
      <c r="U259" s="79"/>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c r="BC259" s="46"/>
      <c r="BD259" s="46">
        <v>257</v>
      </c>
      <c r="BE259" s="49">
        <v>128.5</v>
      </c>
      <c r="BF259" s="68" t="s">
        <v>0</v>
      </c>
    </row>
    <row r="260" spans="1:58" s="43" customFormat="1" ht="39.950000000000003" hidden="1" customHeight="1" x14ac:dyDescent="0.25">
      <c r="A260" s="13"/>
      <c r="B260" s="42"/>
      <c r="C260" s="42"/>
      <c r="D260" s="42"/>
      <c r="E260" s="42"/>
      <c r="F260" s="42"/>
      <c r="G260" s="42"/>
      <c r="H260" s="42"/>
      <c r="I260" s="42"/>
      <c r="J260" s="42"/>
      <c r="K260" s="42"/>
      <c r="L260" s="42"/>
      <c r="M260" s="42"/>
      <c r="N260" s="42"/>
      <c r="O260" s="13"/>
      <c r="P260" s="13"/>
      <c r="Q260" s="13"/>
      <c r="R260" s="13"/>
      <c r="S260" s="13"/>
      <c r="T260" s="13"/>
      <c r="U260" s="79"/>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c r="BC260" s="46"/>
      <c r="BD260" s="46">
        <v>258</v>
      </c>
      <c r="BE260" s="49">
        <v>129</v>
      </c>
      <c r="BF260" s="68" t="s">
        <v>0</v>
      </c>
    </row>
    <row r="261" spans="1:58" s="43" customFormat="1" ht="39.950000000000003" hidden="1" customHeight="1" x14ac:dyDescent="0.25">
      <c r="A261" s="13"/>
      <c r="B261" s="42"/>
      <c r="C261" s="42"/>
      <c r="D261" s="42"/>
      <c r="E261" s="42"/>
      <c r="F261" s="42"/>
      <c r="G261" s="42"/>
      <c r="H261" s="42"/>
      <c r="I261" s="42"/>
      <c r="J261" s="42"/>
      <c r="K261" s="42"/>
      <c r="L261" s="42"/>
      <c r="M261" s="42"/>
      <c r="N261" s="42"/>
      <c r="O261" s="13"/>
      <c r="P261" s="13"/>
      <c r="Q261" s="13"/>
      <c r="R261" s="13"/>
      <c r="S261" s="13"/>
      <c r="T261" s="13"/>
      <c r="U261" s="79"/>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c r="BC261" s="46"/>
      <c r="BD261" s="46">
        <v>259</v>
      </c>
      <c r="BE261" s="49">
        <v>129.5</v>
      </c>
      <c r="BF261" s="68" t="s">
        <v>0</v>
      </c>
    </row>
    <row r="262" spans="1:58" s="43" customFormat="1" ht="39.950000000000003" hidden="1" customHeight="1" x14ac:dyDescent="0.25">
      <c r="A262" s="13"/>
      <c r="B262" s="42"/>
      <c r="C262" s="42"/>
      <c r="D262" s="42"/>
      <c r="E262" s="42"/>
      <c r="F262" s="42"/>
      <c r="G262" s="42"/>
      <c r="H262" s="42"/>
      <c r="I262" s="42"/>
      <c r="J262" s="42"/>
      <c r="K262" s="42"/>
      <c r="L262" s="42"/>
      <c r="M262" s="42"/>
      <c r="N262" s="42"/>
      <c r="O262" s="13"/>
      <c r="P262" s="13"/>
      <c r="Q262" s="13"/>
      <c r="R262" s="13"/>
      <c r="S262" s="13"/>
      <c r="T262" s="13"/>
      <c r="U262" s="79"/>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c r="BC262" s="46"/>
      <c r="BD262" s="46">
        <v>260</v>
      </c>
      <c r="BE262" s="49">
        <v>130</v>
      </c>
      <c r="BF262" s="68" t="s">
        <v>0</v>
      </c>
    </row>
    <row r="263" spans="1:58" s="43" customFormat="1" ht="39.950000000000003" hidden="1" customHeight="1" x14ac:dyDescent="0.25">
      <c r="A263" s="13"/>
      <c r="B263" s="42"/>
      <c r="C263" s="42"/>
      <c r="D263" s="42"/>
      <c r="E263" s="42"/>
      <c r="F263" s="42"/>
      <c r="G263" s="42"/>
      <c r="H263" s="42"/>
      <c r="I263" s="42"/>
      <c r="J263" s="42"/>
      <c r="K263" s="42"/>
      <c r="L263" s="42"/>
      <c r="M263" s="42"/>
      <c r="N263" s="42"/>
      <c r="O263" s="13"/>
      <c r="P263" s="13"/>
      <c r="Q263" s="13"/>
      <c r="R263" s="13"/>
      <c r="S263" s="13"/>
      <c r="T263" s="13"/>
      <c r="U263" s="79"/>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c r="BC263" s="46"/>
      <c r="BD263" s="46">
        <v>261</v>
      </c>
      <c r="BE263" s="49">
        <v>130.5</v>
      </c>
      <c r="BF263" s="68" t="s">
        <v>0</v>
      </c>
    </row>
    <row r="264" spans="1:58" s="43" customFormat="1" ht="39.950000000000003" hidden="1" customHeight="1" x14ac:dyDescent="0.25">
      <c r="A264" s="13"/>
      <c r="B264" s="42"/>
      <c r="C264" s="42"/>
      <c r="D264" s="42"/>
      <c r="E264" s="42"/>
      <c r="F264" s="42"/>
      <c r="G264" s="42"/>
      <c r="H264" s="42"/>
      <c r="I264" s="42"/>
      <c r="J264" s="42"/>
      <c r="K264" s="42"/>
      <c r="L264" s="42"/>
      <c r="M264" s="42"/>
      <c r="N264" s="42"/>
      <c r="O264" s="13"/>
      <c r="P264" s="13"/>
      <c r="Q264" s="13"/>
      <c r="R264" s="13"/>
      <c r="S264" s="13"/>
      <c r="T264" s="13"/>
      <c r="U264" s="79"/>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c r="BC264" s="46"/>
      <c r="BD264" s="46">
        <v>262</v>
      </c>
      <c r="BE264" s="49">
        <v>131</v>
      </c>
      <c r="BF264" s="68" t="s">
        <v>0</v>
      </c>
    </row>
    <row r="265" spans="1:58" s="43" customFormat="1" ht="39.950000000000003" hidden="1" customHeight="1" x14ac:dyDescent="0.25">
      <c r="A265" s="13"/>
      <c r="B265" s="42"/>
      <c r="C265" s="42"/>
      <c r="D265" s="42"/>
      <c r="E265" s="42"/>
      <c r="F265" s="42"/>
      <c r="G265" s="42"/>
      <c r="H265" s="42"/>
      <c r="I265" s="42"/>
      <c r="J265" s="42"/>
      <c r="K265" s="42"/>
      <c r="L265" s="42"/>
      <c r="M265" s="42"/>
      <c r="N265" s="42"/>
      <c r="O265" s="13"/>
      <c r="P265" s="13"/>
      <c r="Q265" s="13"/>
      <c r="R265" s="13"/>
      <c r="S265" s="13"/>
      <c r="T265" s="13"/>
      <c r="U265" s="79"/>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c r="BC265" s="46"/>
      <c r="BD265" s="46">
        <v>263</v>
      </c>
      <c r="BE265" s="49">
        <v>131.5</v>
      </c>
      <c r="BF265" s="68" t="s">
        <v>0</v>
      </c>
    </row>
    <row r="266" spans="1:58" s="43" customFormat="1" ht="39.950000000000003" hidden="1" customHeight="1" x14ac:dyDescent="0.25">
      <c r="A266" s="13"/>
      <c r="B266" s="42"/>
      <c r="C266" s="42"/>
      <c r="D266" s="42"/>
      <c r="E266" s="42"/>
      <c r="F266" s="42"/>
      <c r="G266" s="42"/>
      <c r="H266" s="42"/>
      <c r="I266" s="42"/>
      <c r="J266" s="42"/>
      <c r="K266" s="42"/>
      <c r="L266" s="42"/>
      <c r="M266" s="42"/>
      <c r="N266" s="42"/>
      <c r="O266" s="13"/>
      <c r="P266" s="13"/>
      <c r="Q266" s="13"/>
      <c r="R266" s="13"/>
      <c r="S266" s="13"/>
      <c r="T266" s="13"/>
      <c r="U266" s="79"/>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c r="BC266" s="46"/>
      <c r="BD266" s="46">
        <v>264</v>
      </c>
      <c r="BE266" s="49">
        <v>132</v>
      </c>
      <c r="BF266" s="68" t="s">
        <v>0</v>
      </c>
    </row>
    <row r="267" spans="1:58" s="43" customFormat="1" ht="39.950000000000003" hidden="1" customHeight="1" x14ac:dyDescent="0.25">
      <c r="A267" s="13"/>
      <c r="B267" s="42"/>
      <c r="C267" s="42"/>
      <c r="D267" s="42"/>
      <c r="E267" s="42"/>
      <c r="F267" s="42"/>
      <c r="G267" s="42"/>
      <c r="H267" s="42"/>
      <c r="I267" s="42"/>
      <c r="J267" s="42"/>
      <c r="K267" s="42"/>
      <c r="L267" s="42"/>
      <c r="M267" s="42"/>
      <c r="N267" s="42"/>
      <c r="O267" s="13"/>
      <c r="P267" s="13"/>
      <c r="Q267" s="13"/>
      <c r="R267" s="13"/>
      <c r="S267" s="13"/>
      <c r="T267" s="13"/>
      <c r="U267" s="79"/>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c r="BC267" s="46"/>
      <c r="BD267" s="46">
        <v>265</v>
      </c>
      <c r="BE267" s="49">
        <v>132.5</v>
      </c>
      <c r="BF267" s="68" t="s">
        <v>0</v>
      </c>
    </row>
    <row r="268" spans="1:58" s="43" customFormat="1" ht="39.950000000000003" hidden="1" customHeight="1" x14ac:dyDescent="0.25">
      <c r="A268" s="13"/>
      <c r="B268" s="42"/>
      <c r="C268" s="42"/>
      <c r="D268" s="42"/>
      <c r="E268" s="42"/>
      <c r="F268" s="42"/>
      <c r="G268" s="42"/>
      <c r="H268" s="42"/>
      <c r="I268" s="42"/>
      <c r="J268" s="42"/>
      <c r="K268" s="42"/>
      <c r="L268" s="42"/>
      <c r="M268" s="42"/>
      <c r="N268" s="42"/>
      <c r="O268" s="13"/>
      <c r="P268" s="13"/>
      <c r="Q268" s="13"/>
      <c r="R268" s="13"/>
      <c r="S268" s="13"/>
      <c r="T268" s="13"/>
      <c r="U268" s="79"/>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c r="BC268" s="46"/>
      <c r="BD268" s="46">
        <v>266</v>
      </c>
      <c r="BE268" s="49">
        <v>133</v>
      </c>
      <c r="BF268" s="68" t="s">
        <v>0</v>
      </c>
    </row>
    <row r="269" spans="1:58" s="43" customFormat="1" ht="39.950000000000003" hidden="1" customHeight="1" x14ac:dyDescent="0.25">
      <c r="A269" s="13"/>
      <c r="B269" s="42"/>
      <c r="C269" s="42"/>
      <c r="D269" s="42"/>
      <c r="E269" s="42"/>
      <c r="F269" s="42"/>
      <c r="G269" s="42"/>
      <c r="H269" s="42"/>
      <c r="I269" s="42"/>
      <c r="J269" s="42"/>
      <c r="K269" s="42"/>
      <c r="L269" s="42"/>
      <c r="M269" s="42"/>
      <c r="N269" s="42"/>
      <c r="O269" s="13"/>
      <c r="P269" s="13"/>
      <c r="Q269" s="13"/>
      <c r="R269" s="13"/>
      <c r="S269" s="13"/>
      <c r="T269" s="13"/>
      <c r="U269" s="79"/>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c r="BC269" s="46"/>
      <c r="BD269" s="46">
        <v>267</v>
      </c>
      <c r="BE269" s="49">
        <v>133.5</v>
      </c>
      <c r="BF269" s="68" t="s">
        <v>0</v>
      </c>
    </row>
    <row r="270" spans="1:58" ht="39.950000000000003" hidden="1" customHeight="1" x14ac:dyDescent="0.25">
      <c r="BD270" s="46">
        <v>268</v>
      </c>
      <c r="BE270" s="49">
        <v>134</v>
      </c>
      <c r="BF270" s="68" t="s">
        <v>0</v>
      </c>
    </row>
    <row r="271" spans="1:58" ht="39.950000000000003" hidden="1" customHeight="1" x14ac:dyDescent="0.25">
      <c r="BD271" s="46">
        <v>269</v>
      </c>
      <c r="BE271" s="49">
        <v>134.5</v>
      </c>
      <c r="BF271" s="68" t="s">
        <v>0</v>
      </c>
    </row>
    <row r="272" spans="1:58" ht="39.950000000000003" hidden="1" customHeight="1" x14ac:dyDescent="0.25">
      <c r="BD272" s="46">
        <v>270</v>
      </c>
      <c r="BE272" s="49">
        <v>135</v>
      </c>
      <c r="BF272" s="68" t="s">
        <v>0</v>
      </c>
    </row>
    <row r="273" spans="56:58" ht="39.950000000000003" hidden="1" customHeight="1" x14ac:dyDescent="0.25">
      <c r="BD273" s="46">
        <v>271</v>
      </c>
      <c r="BE273" s="49">
        <v>135.5</v>
      </c>
      <c r="BF273" s="68" t="s">
        <v>0</v>
      </c>
    </row>
    <row r="274" spans="56:58" ht="39.950000000000003" hidden="1" customHeight="1" x14ac:dyDescent="0.25">
      <c r="BD274" s="46">
        <v>272</v>
      </c>
      <c r="BE274" s="49">
        <v>136</v>
      </c>
      <c r="BF274" s="68" t="s">
        <v>0</v>
      </c>
    </row>
    <row r="275" spans="56:58" ht="39.950000000000003" hidden="1" customHeight="1" x14ac:dyDescent="0.25">
      <c r="BD275" s="46">
        <v>273</v>
      </c>
      <c r="BE275" s="49">
        <v>136.5</v>
      </c>
      <c r="BF275" s="68" t="s">
        <v>0</v>
      </c>
    </row>
    <row r="276" spans="56:58" ht="39.950000000000003" hidden="1" customHeight="1" x14ac:dyDescent="0.25">
      <c r="BD276" s="46">
        <v>274</v>
      </c>
      <c r="BE276" s="49">
        <v>137</v>
      </c>
      <c r="BF276" s="68" t="s">
        <v>0</v>
      </c>
    </row>
    <row r="277" spans="56:58" ht="39.950000000000003" hidden="1" customHeight="1" x14ac:dyDescent="0.25">
      <c r="BD277" s="46">
        <v>275</v>
      </c>
      <c r="BE277" s="49">
        <v>137.5</v>
      </c>
      <c r="BF277" s="68" t="s">
        <v>0</v>
      </c>
    </row>
    <row r="278" spans="56:58" ht="39.950000000000003" hidden="1" customHeight="1" x14ac:dyDescent="0.25">
      <c r="BD278" s="46">
        <v>276</v>
      </c>
      <c r="BE278" s="49">
        <v>138</v>
      </c>
      <c r="BF278" s="68" t="s">
        <v>0</v>
      </c>
    </row>
    <row r="279" spans="56:58" ht="39.950000000000003" hidden="1" customHeight="1" x14ac:dyDescent="0.25">
      <c r="BD279" s="46">
        <v>277</v>
      </c>
      <c r="BE279" s="49">
        <v>138.5</v>
      </c>
      <c r="BF279" s="68" t="s">
        <v>0</v>
      </c>
    </row>
    <row r="280" spans="56:58" ht="39.950000000000003" hidden="1" customHeight="1" x14ac:dyDescent="0.25">
      <c r="BD280" s="46">
        <v>278</v>
      </c>
      <c r="BE280" s="49">
        <v>139</v>
      </c>
      <c r="BF280" s="68" t="s">
        <v>0</v>
      </c>
    </row>
    <row r="281" spans="56:58" ht="39.950000000000003" hidden="1" customHeight="1" x14ac:dyDescent="0.25">
      <c r="BD281" s="46">
        <v>279</v>
      </c>
      <c r="BE281" s="49">
        <v>139.5</v>
      </c>
      <c r="BF281" s="68" t="s">
        <v>0</v>
      </c>
    </row>
    <row r="282" spans="56:58" ht="39.950000000000003" hidden="1" customHeight="1" x14ac:dyDescent="0.25">
      <c r="BD282" s="46">
        <v>280</v>
      </c>
      <c r="BE282" s="49">
        <v>140</v>
      </c>
      <c r="BF282" s="68" t="s">
        <v>0</v>
      </c>
    </row>
    <row r="283" spans="56:58" ht="39.950000000000003" hidden="1" customHeight="1" x14ac:dyDescent="0.25">
      <c r="BD283" s="46">
        <v>281</v>
      </c>
      <c r="BE283" s="49">
        <v>140.5</v>
      </c>
      <c r="BF283" s="68" t="s">
        <v>0</v>
      </c>
    </row>
    <row r="284" spans="56:58" ht="39.950000000000003" hidden="1" customHeight="1" x14ac:dyDescent="0.25">
      <c r="BD284" s="46">
        <v>282</v>
      </c>
      <c r="BE284" s="49">
        <v>141</v>
      </c>
      <c r="BF284" s="68" t="s">
        <v>0</v>
      </c>
    </row>
    <row r="285" spans="56:58" ht="39.950000000000003" hidden="1" customHeight="1" x14ac:dyDescent="0.25">
      <c r="BD285" s="46">
        <v>283</v>
      </c>
      <c r="BE285" s="49">
        <v>141.5</v>
      </c>
      <c r="BF285" s="68" t="s">
        <v>0</v>
      </c>
    </row>
    <row r="286" spans="56:58" ht="39.950000000000003" hidden="1" customHeight="1" x14ac:dyDescent="0.25">
      <c r="BD286" s="46">
        <v>284</v>
      </c>
      <c r="BE286" s="49">
        <v>142</v>
      </c>
      <c r="BF286" s="68" t="s">
        <v>0</v>
      </c>
    </row>
    <row r="287" spans="56:58" ht="39.950000000000003" hidden="1" customHeight="1" x14ac:dyDescent="0.25">
      <c r="BD287" s="46">
        <v>285</v>
      </c>
      <c r="BE287" s="49">
        <v>142.5</v>
      </c>
      <c r="BF287" s="68" t="s">
        <v>0</v>
      </c>
    </row>
    <row r="288" spans="56:58" ht="39.950000000000003" hidden="1" customHeight="1" x14ac:dyDescent="0.25">
      <c r="BD288" s="46">
        <v>286</v>
      </c>
      <c r="BE288" s="49">
        <v>143</v>
      </c>
      <c r="BF288" s="68" t="s">
        <v>0</v>
      </c>
    </row>
    <row r="289" spans="56:58" ht="39.950000000000003" hidden="1" customHeight="1" x14ac:dyDescent="0.25">
      <c r="BD289" s="46">
        <v>287</v>
      </c>
      <c r="BE289" s="49">
        <v>143.5</v>
      </c>
      <c r="BF289" s="68" t="s">
        <v>0</v>
      </c>
    </row>
    <row r="290" spans="56:58" ht="39.950000000000003" hidden="1" customHeight="1" x14ac:dyDescent="0.25">
      <c r="BD290" s="46">
        <v>288</v>
      </c>
      <c r="BE290" s="49">
        <v>144</v>
      </c>
      <c r="BF290" s="68" t="s">
        <v>0</v>
      </c>
    </row>
    <row r="291" spans="56:58" ht="39.950000000000003" hidden="1" customHeight="1" x14ac:dyDescent="0.25">
      <c r="BD291" s="46">
        <v>289</v>
      </c>
      <c r="BE291" s="49">
        <v>144.5</v>
      </c>
      <c r="BF291" s="68" t="s">
        <v>0</v>
      </c>
    </row>
    <row r="292" spans="56:58" ht="39.950000000000003" hidden="1" customHeight="1" x14ac:dyDescent="0.25">
      <c r="BD292" s="46">
        <v>290</v>
      </c>
      <c r="BE292" s="49">
        <v>145</v>
      </c>
      <c r="BF292" s="68" t="s">
        <v>0</v>
      </c>
    </row>
    <row r="293" spans="56:58" ht="39.950000000000003" hidden="1" customHeight="1" x14ac:dyDescent="0.25">
      <c r="BD293" s="46">
        <v>291</v>
      </c>
      <c r="BE293" s="49">
        <v>145.5</v>
      </c>
      <c r="BF293" s="68" t="s">
        <v>0</v>
      </c>
    </row>
    <row r="294" spans="56:58" ht="39.950000000000003" hidden="1" customHeight="1" x14ac:dyDescent="0.25">
      <c r="BD294" s="46">
        <v>292</v>
      </c>
      <c r="BE294" s="49">
        <v>146</v>
      </c>
      <c r="BF294" s="68" t="s">
        <v>0</v>
      </c>
    </row>
    <row r="295" spans="56:58" ht="39.950000000000003" hidden="1" customHeight="1" x14ac:dyDescent="0.25">
      <c r="BD295" s="46">
        <v>293</v>
      </c>
      <c r="BE295" s="49">
        <v>146.5</v>
      </c>
      <c r="BF295" s="68" t="s">
        <v>0</v>
      </c>
    </row>
    <row r="296" spans="56:58" ht="39.950000000000003" hidden="1" customHeight="1" x14ac:dyDescent="0.25">
      <c r="BD296" s="46">
        <v>294</v>
      </c>
      <c r="BE296" s="49">
        <v>147</v>
      </c>
      <c r="BF296" s="68" t="s">
        <v>0</v>
      </c>
    </row>
    <row r="297" spans="56:58" ht="39.950000000000003" hidden="1" customHeight="1" x14ac:dyDescent="0.25">
      <c r="BD297" s="46">
        <v>295</v>
      </c>
      <c r="BE297" s="49">
        <v>147.5</v>
      </c>
      <c r="BF297" s="68" t="s">
        <v>0</v>
      </c>
    </row>
    <row r="298" spans="56:58" ht="39.950000000000003" hidden="1" customHeight="1" x14ac:dyDescent="0.25">
      <c r="BD298" s="46">
        <v>296</v>
      </c>
      <c r="BE298" s="49">
        <v>148</v>
      </c>
      <c r="BF298" s="68" t="s">
        <v>0</v>
      </c>
    </row>
    <row r="299" spans="56:58" ht="39.950000000000003" hidden="1" customHeight="1" x14ac:dyDescent="0.25">
      <c r="BD299" s="46">
        <v>297</v>
      </c>
      <c r="BE299" s="49">
        <v>148.5</v>
      </c>
      <c r="BF299" s="68" t="s">
        <v>0</v>
      </c>
    </row>
    <row r="300" spans="56:58" ht="39.950000000000003" hidden="1" customHeight="1" x14ac:dyDescent="0.25">
      <c r="BD300" s="46">
        <v>298</v>
      </c>
      <c r="BE300" s="49">
        <v>149</v>
      </c>
      <c r="BF300" s="68" t="s">
        <v>0</v>
      </c>
    </row>
    <row r="301" spans="56:58" ht="39.950000000000003" hidden="1" customHeight="1" x14ac:dyDescent="0.25">
      <c r="BD301" s="46">
        <v>299</v>
      </c>
      <c r="BE301" s="49">
        <v>149.5</v>
      </c>
      <c r="BF301" s="68" t="s">
        <v>0</v>
      </c>
    </row>
    <row r="302" spans="56:58" ht="39.950000000000003" hidden="1" customHeight="1" x14ac:dyDescent="0.25">
      <c r="BD302" s="46">
        <v>300</v>
      </c>
      <c r="BE302" s="49">
        <v>150</v>
      </c>
      <c r="BF302" s="68" t="s">
        <v>0</v>
      </c>
    </row>
    <row r="303" spans="56:58" ht="39.950000000000003" hidden="1" customHeight="1" x14ac:dyDescent="0.25">
      <c r="BD303" s="46">
        <v>301</v>
      </c>
      <c r="BE303" s="49">
        <v>150.5</v>
      </c>
      <c r="BF303" s="68" t="s">
        <v>0</v>
      </c>
    </row>
    <row r="304" spans="56:58" ht="39.950000000000003" hidden="1" customHeight="1" x14ac:dyDescent="0.25">
      <c r="BD304" s="46">
        <v>302</v>
      </c>
      <c r="BE304" s="49">
        <v>151</v>
      </c>
      <c r="BF304" s="68" t="s">
        <v>0</v>
      </c>
    </row>
    <row r="305" spans="56:58" ht="39.950000000000003" hidden="1" customHeight="1" x14ac:dyDescent="0.25">
      <c r="BD305" s="46">
        <v>303</v>
      </c>
      <c r="BE305" s="49">
        <v>151.5</v>
      </c>
      <c r="BF305" s="68" t="s">
        <v>0</v>
      </c>
    </row>
    <row r="306" spans="56:58" ht="39.950000000000003" hidden="1" customHeight="1" x14ac:dyDescent="0.25">
      <c r="BD306" s="46">
        <v>304</v>
      </c>
      <c r="BE306" s="49">
        <v>152</v>
      </c>
      <c r="BF306" s="68" t="s">
        <v>0</v>
      </c>
    </row>
    <row r="307" spans="56:58" ht="39.950000000000003" hidden="1" customHeight="1" x14ac:dyDescent="0.25">
      <c r="BD307" s="46">
        <v>305</v>
      </c>
      <c r="BE307" s="49">
        <v>152.5</v>
      </c>
      <c r="BF307" s="68" t="s">
        <v>0</v>
      </c>
    </row>
    <row r="308" spans="56:58" ht="39.950000000000003" hidden="1" customHeight="1" x14ac:dyDescent="0.25">
      <c r="BD308" s="46">
        <v>306</v>
      </c>
      <c r="BE308" s="49">
        <v>153</v>
      </c>
      <c r="BF308" s="68" t="s">
        <v>0</v>
      </c>
    </row>
    <row r="309" spans="56:58" ht="39.950000000000003" hidden="1" customHeight="1" x14ac:dyDescent="0.25">
      <c r="BD309" s="46">
        <v>307</v>
      </c>
      <c r="BE309" s="49">
        <v>153.5</v>
      </c>
      <c r="BF309" s="68" t="s">
        <v>0</v>
      </c>
    </row>
    <row r="310" spans="56:58" ht="39.950000000000003" hidden="1" customHeight="1" x14ac:dyDescent="0.25">
      <c r="BD310" s="46">
        <v>308</v>
      </c>
      <c r="BE310" s="49">
        <v>154</v>
      </c>
      <c r="BF310" s="68" t="s">
        <v>0</v>
      </c>
    </row>
    <row r="311" spans="56:58" ht="39.950000000000003" hidden="1" customHeight="1" x14ac:dyDescent="0.25">
      <c r="BD311" s="46">
        <v>309</v>
      </c>
      <c r="BE311" s="49">
        <v>154.5</v>
      </c>
      <c r="BF311" s="68" t="s">
        <v>0</v>
      </c>
    </row>
    <row r="312" spans="56:58" ht="39.950000000000003" hidden="1" customHeight="1" x14ac:dyDescent="0.25">
      <c r="BD312" s="46">
        <v>310</v>
      </c>
      <c r="BE312" s="49">
        <v>155</v>
      </c>
      <c r="BF312" s="68" t="s">
        <v>0</v>
      </c>
    </row>
    <row r="313" spans="56:58" ht="39.950000000000003" hidden="1" customHeight="1" x14ac:dyDescent="0.25">
      <c r="BD313" s="46">
        <v>311</v>
      </c>
      <c r="BE313" s="49">
        <v>155.5</v>
      </c>
      <c r="BF313" s="68" t="s">
        <v>0</v>
      </c>
    </row>
    <row r="314" spans="56:58" ht="39.950000000000003" hidden="1" customHeight="1" x14ac:dyDescent="0.25">
      <c r="BD314" s="46">
        <v>312</v>
      </c>
      <c r="BE314" s="49">
        <v>156</v>
      </c>
      <c r="BF314" s="68" t="s">
        <v>0</v>
      </c>
    </row>
    <row r="315" spans="56:58" ht="39.950000000000003" hidden="1" customHeight="1" x14ac:dyDescent="0.25">
      <c r="BD315" s="46">
        <v>313</v>
      </c>
      <c r="BE315" s="49">
        <v>156.5</v>
      </c>
      <c r="BF315" s="68" t="s">
        <v>0</v>
      </c>
    </row>
    <row r="316" spans="56:58" ht="39.950000000000003" hidden="1" customHeight="1" x14ac:dyDescent="0.25">
      <c r="BD316" s="46">
        <v>314</v>
      </c>
      <c r="BE316" s="49">
        <v>157</v>
      </c>
      <c r="BF316" s="68" t="s">
        <v>0</v>
      </c>
    </row>
    <row r="317" spans="56:58" ht="39.950000000000003" hidden="1" customHeight="1" x14ac:dyDescent="0.25">
      <c r="BD317" s="46">
        <v>315</v>
      </c>
      <c r="BE317" s="49">
        <v>157.5</v>
      </c>
      <c r="BF317" s="68" t="s">
        <v>0</v>
      </c>
    </row>
    <row r="318" spans="56:58" ht="39.950000000000003" hidden="1" customHeight="1" x14ac:dyDescent="0.25">
      <c r="BD318" s="46">
        <v>316</v>
      </c>
      <c r="BE318" s="49">
        <v>158</v>
      </c>
      <c r="BF318" s="68" t="s">
        <v>0</v>
      </c>
    </row>
    <row r="319" spans="56:58" ht="39.950000000000003" hidden="1" customHeight="1" x14ac:dyDescent="0.25">
      <c r="BD319" s="46">
        <v>317</v>
      </c>
      <c r="BE319" s="49">
        <v>158.5</v>
      </c>
      <c r="BF319" s="68" t="s">
        <v>0</v>
      </c>
    </row>
    <row r="320" spans="56:58" ht="39.950000000000003" hidden="1" customHeight="1" x14ac:dyDescent="0.25">
      <c r="BD320" s="46">
        <v>318</v>
      </c>
      <c r="BE320" s="49">
        <v>159</v>
      </c>
      <c r="BF320" s="68" t="s">
        <v>0</v>
      </c>
    </row>
    <row r="321" spans="56:58" ht="39.950000000000003" hidden="1" customHeight="1" x14ac:dyDescent="0.25">
      <c r="BD321" s="46">
        <v>319</v>
      </c>
      <c r="BE321" s="49">
        <v>159.5</v>
      </c>
      <c r="BF321" s="68" t="s">
        <v>0</v>
      </c>
    </row>
    <row r="322" spans="56:58" ht="39.950000000000003" hidden="1" customHeight="1" x14ac:dyDescent="0.25">
      <c r="BD322" s="46">
        <v>320</v>
      </c>
      <c r="BE322" s="49">
        <v>160</v>
      </c>
      <c r="BF322" s="68" t="s">
        <v>0</v>
      </c>
    </row>
    <row r="323" spans="56:58" ht="39.950000000000003" hidden="1" customHeight="1" x14ac:dyDescent="0.25">
      <c r="BD323" s="46">
        <v>321</v>
      </c>
      <c r="BE323" s="49">
        <v>160.5</v>
      </c>
      <c r="BF323" s="68" t="s">
        <v>0</v>
      </c>
    </row>
    <row r="324" spans="56:58" ht="39.950000000000003" hidden="1" customHeight="1" x14ac:dyDescent="0.25">
      <c r="BD324" s="46">
        <v>322</v>
      </c>
      <c r="BE324" s="49">
        <v>161</v>
      </c>
      <c r="BF324" s="68" t="s">
        <v>0</v>
      </c>
    </row>
    <row r="325" spans="56:58" ht="39.950000000000003" hidden="1" customHeight="1" x14ac:dyDescent="0.25">
      <c r="BD325" s="46">
        <v>323</v>
      </c>
      <c r="BE325" s="49">
        <v>161.5</v>
      </c>
      <c r="BF325" s="68" t="s">
        <v>0</v>
      </c>
    </row>
    <row r="326" spans="56:58" ht="39.950000000000003" hidden="1" customHeight="1" x14ac:dyDescent="0.25">
      <c r="BD326" s="46">
        <v>324</v>
      </c>
      <c r="BE326" s="49">
        <v>162</v>
      </c>
      <c r="BF326" s="68" t="s">
        <v>0</v>
      </c>
    </row>
    <row r="327" spans="56:58" ht="39.950000000000003" hidden="1" customHeight="1" x14ac:dyDescent="0.25">
      <c r="BD327" s="46">
        <v>325</v>
      </c>
      <c r="BE327" s="49">
        <v>162.5</v>
      </c>
      <c r="BF327" s="68" t="s">
        <v>0</v>
      </c>
    </row>
    <row r="328" spans="56:58" ht="39.950000000000003" hidden="1" customHeight="1" x14ac:dyDescent="0.25">
      <c r="BD328" s="46">
        <v>326</v>
      </c>
      <c r="BE328" s="49">
        <v>163</v>
      </c>
      <c r="BF328" s="68" t="s">
        <v>0</v>
      </c>
    </row>
    <row r="329" spans="56:58" ht="39.950000000000003" hidden="1" customHeight="1" x14ac:dyDescent="0.25">
      <c r="BD329" s="46">
        <v>327</v>
      </c>
      <c r="BE329" s="49">
        <v>163.5</v>
      </c>
      <c r="BF329" s="68" t="s">
        <v>0</v>
      </c>
    </row>
    <row r="330" spans="56:58" ht="39.950000000000003" hidden="1" customHeight="1" x14ac:dyDescent="0.25">
      <c r="BD330" s="46">
        <v>328</v>
      </c>
      <c r="BE330" s="49">
        <v>164</v>
      </c>
      <c r="BF330" s="68" t="s">
        <v>0</v>
      </c>
    </row>
    <row r="331" spans="56:58" ht="39.950000000000003" hidden="1" customHeight="1" x14ac:dyDescent="0.25">
      <c r="BD331" s="46">
        <v>329</v>
      </c>
      <c r="BE331" s="49">
        <v>164.5</v>
      </c>
      <c r="BF331" s="68" t="s">
        <v>0</v>
      </c>
    </row>
    <row r="332" spans="56:58" ht="39.950000000000003" hidden="1" customHeight="1" x14ac:dyDescent="0.25">
      <c r="BD332" s="46">
        <v>330</v>
      </c>
      <c r="BE332" s="49">
        <v>165</v>
      </c>
      <c r="BF332" s="68" t="s">
        <v>0</v>
      </c>
    </row>
    <row r="333" spans="56:58" ht="39.950000000000003" hidden="1" customHeight="1" x14ac:dyDescent="0.25">
      <c r="BD333" s="46">
        <v>331</v>
      </c>
      <c r="BE333" s="49">
        <v>165.5</v>
      </c>
      <c r="BF333" s="68" t="s">
        <v>0</v>
      </c>
    </row>
    <row r="334" spans="56:58" ht="39.950000000000003" hidden="1" customHeight="1" x14ac:dyDescent="0.25">
      <c r="BD334" s="46">
        <v>332</v>
      </c>
      <c r="BE334" s="49">
        <v>166</v>
      </c>
      <c r="BF334" s="68" t="s">
        <v>0</v>
      </c>
    </row>
    <row r="335" spans="56:58" ht="39.950000000000003" hidden="1" customHeight="1" x14ac:dyDescent="0.25">
      <c r="BD335" s="46">
        <v>333</v>
      </c>
      <c r="BE335" s="49">
        <v>166.5</v>
      </c>
      <c r="BF335" s="68" t="s">
        <v>0</v>
      </c>
    </row>
    <row r="336" spans="56:58" ht="39.950000000000003" hidden="1" customHeight="1" x14ac:dyDescent="0.25">
      <c r="BD336" s="46">
        <v>334</v>
      </c>
      <c r="BE336" s="49">
        <v>167</v>
      </c>
      <c r="BF336" s="68" t="s">
        <v>0</v>
      </c>
    </row>
    <row r="337" spans="56:58" ht="39.950000000000003" hidden="1" customHeight="1" x14ac:dyDescent="0.25">
      <c r="BD337" s="46">
        <v>335</v>
      </c>
      <c r="BE337" s="49">
        <v>167.5</v>
      </c>
      <c r="BF337" s="68" t="s">
        <v>0</v>
      </c>
    </row>
    <row r="338" spans="56:58" ht="39.950000000000003" hidden="1" customHeight="1" x14ac:dyDescent="0.25">
      <c r="BD338" s="46">
        <v>336</v>
      </c>
      <c r="BE338" s="49">
        <v>168</v>
      </c>
      <c r="BF338" s="68" t="s">
        <v>0</v>
      </c>
    </row>
    <row r="339" spans="56:58" ht="39.950000000000003" hidden="1" customHeight="1" x14ac:dyDescent="0.25">
      <c r="BD339" s="46">
        <v>337</v>
      </c>
      <c r="BE339" s="49">
        <v>168.5</v>
      </c>
      <c r="BF339" s="68" t="s">
        <v>0</v>
      </c>
    </row>
    <row r="340" spans="56:58" ht="39.950000000000003" hidden="1" customHeight="1" x14ac:dyDescent="0.25">
      <c r="BD340" s="46">
        <v>338</v>
      </c>
      <c r="BE340" s="49">
        <v>169</v>
      </c>
      <c r="BF340" s="68" t="s">
        <v>0</v>
      </c>
    </row>
    <row r="341" spans="56:58" ht="39.950000000000003" hidden="1" customHeight="1" x14ac:dyDescent="0.25">
      <c r="BD341" s="46">
        <v>339</v>
      </c>
      <c r="BE341" s="49">
        <v>169.5</v>
      </c>
      <c r="BF341" s="68" t="s">
        <v>0</v>
      </c>
    </row>
    <row r="342" spans="56:58" ht="39.950000000000003" hidden="1" customHeight="1" x14ac:dyDescent="0.25">
      <c r="BD342" s="46">
        <v>340</v>
      </c>
      <c r="BE342" s="49">
        <v>170</v>
      </c>
      <c r="BF342" s="68" t="s">
        <v>0</v>
      </c>
    </row>
    <row r="343" spans="56:58" ht="39.950000000000003" hidden="1" customHeight="1" x14ac:dyDescent="0.25">
      <c r="BD343" s="46">
        <v>341</v>
      </c>
      <c r="BE343" s="49">
        <v>170.5</v>
      </c>
      <c r="BF343" s="68" t="s">
        <v>0</v>
      </c>
    </row>
    <row r="344" spans="56:58" ht="39.950000000000003" hidden="1" customHeight="1" x14ac:dyDescent="0.25">
      <c r="BD344" s="46">
        <v>342</v>
      </c>
      <c r="BE344" s="49">
        <v>171</v>
      </c>
      <c r="BF344" s="68" t="s">
        <v>0</v>
      </c>
    </row>
    <row r="345" spans="56:58" ht="39.950000000000003" hidden="1" customHeight="1" x14ac:dyDescent="0.25">
      <c r="BD345" s="46">
        <v>343</v>
      </c>
      <c r="BE345" s="49">
        <v>171.5</v>
      </c>
      <c r="BF345" s="68" t="s">
        <v>0</v>
      </c>
    </row>
    <row r="346" spans="56:58" ht="39.950000000000003" hidden="1" customHeight="1" x14ac:dyDescent="0.25">
      <c r="BD346" s="46">
        <v>344</v>
      </c>
      <c r="BE346" s="49">
        <v>172</v>
      </c>
      <c r="BF346" s="68" t="s">
        <v>0</v>
      </c>
    </row>
    <row r="347" spans="56:58" ht="39.950000000000003" hidden="1" customHeight="1" x14ac:dyDescent="0.25">
      <c r="BD347" s="46">
        <v>345</v>
      </c>
      <c r="BE347" s="49">
        <v>172.5</v>
      </c>
      <c r="BF347" s="68" t="s">
        <v>0</v>
      </c>
    </row>
    <row r="348" spans="56:58" ht="39.950000000000003" hidden="1" customHeight="1" x14ac:dyDescent="0.25">
      <c r="BD348" s="46">
        <v>346</v>
      </c>
      <c r="BE348" s="49">
        <v>173</v>
      </c>
      <c r="BF348" s="68" t="s">
        <v>0</v>
      </c>
    </row>
    <row r="349" spans="56:58" ht="39.950000000000003" hidden="1" customHeight="1" x14ac:dyDescent="0.25">
      <c r="BD349" s="46">
        <v>347</v>
      </c>
      <c r="BE349" s="49">
        <v>173.5</v>
      </c>
      <c r="BF349" s="68" t="s">
        <v>0</v>
      </c>
    </row>
    <row r="350" spans="56:58" ht="39.950000000000003" hidden="1" customHeight="1" x14ac:dyDescent="0.25">
      <c r="BD350" s="46">
        <v>348</v>
      </c>
      <c r="BE350" s="49">
        <v>174</v>
      </c>
      <c r="BF350" s="68" t="s">
        <v>0</v>
      </c>
    </row>
    <row r="351" spans="56:58" ht="39.950000000000003" hidden="1" customHeight="1" x14ac:dyDescent="0.25">
      <c r="BD351" s="46">
        <v>349</v>
      </c>
      <c r="BE351" s="49">
        <v>174.5</v>
      </c>
      <c r="BF351" s="68" t="s">
        <v>0</v>
      </c>
    </row>
    <row r="352" spans="56:58" ht="39.950000000000003" hidden="1" customHeight="1" x14ac:dyDescent="0.25">
      <c r="BD352" s="46">
        <v>350</v>
      </c>
      <c r="BE352" s="49">
        <v>175</v>
      </c>
      <c r="BF352" s="68" t="s">
        <v>0</v>
      </c>
    </row>
    <row r="353" spans="56:58" ht="39.950000000000003" hidden="1" customHeight="1" x14ac:dyDescent="0.25">
      <c r="BD353" s="46">
        <v>351</v>
      </c>
      <c r="BE353" s="49">
        <v>175.5</v>
      </c>
      <c r="BF353" s="68" t="s">
        <v>0</v>
      </c>
    </row>
    <row r="354" spans="56:58" ht="39.950000000000003" hidden="1" customHeight="1" x14ac:dyDescent="0.25">
      <c r="BD354" s="46">
        <v>352</v>
      </c>
      <c r="BE354" s="49">
        <v>176</v>
      </c>
      <c r="BF354" s="68" t="s">
        <v>0</v>
      </c>
    </row>
    <row r="355" spans="56:58" ht="39.950000000000003" hidden="1" customHeight="1" x14ac:dyDescent="0.25">
      <c r="BD355" s="46">
        <v>353</v>
      </c>
      <c r="BE355" s="49">
        <v>176.5</v>
      </c>
      <c r="BF355" s="68" t="s">
        <v>0</v>
      </c>
    </row>
    <row r="356" spans="56:58" ht="39.950000000000003" hidden="1" customHeight="1" x14ac:dyDescent="0.25">
      <c r="BD356" s="46">
        <v>354</v>
      </c>
      <c r="BE356" s="49">
        <v>177</v>
      </c>
      <c r="BF356" s="68" t="s">
        <v>0</v>
      </c>
    </row>
    <row r="357" spans="56:58" ht="39.950000000000003" hidden="1" customHeight="1" x14ac:dyDescent="0.25">
      <c r="BD357" s="46">
        <v>355</v>
      </c>
      <c r="BE357" s="49">
        <v>177.5</v>
      </c>
      <c r="BF357" s="68" t="s">
        <v>0</v>
      </c>
    </row>
    <row r="358" spans="56:58" ht="39.950000000000003" hidden="1" customHeight="1" x14ac:dyDescent="0.25">
      <c r="BD358" s="46">
        <v>356</v>
      </c>
      <c r="BE358" s="49">
        <v>178</v>
      </c>
      <c r="BF358" s="68" t="s">
        <v>0</v>
      </c>
    </row>
    <row r="359" spans="56:58" ht="39.950000000000003" hidden="1" customHeight="1" x14ac:dyDescent="0.25">
      <c r="BD359" s="46">
        <v>357</v>
      </c>
      <c r="BE359" s="49">
        <v>178.5</v>
      </c>
      <c r="BF359" s="68" t="s">
        <v>0</v>
      </c>
    </row>
    <row r="360" spans="56:58" ht="39.950000000000003" hidden="1" customHeight="1" x14ac:dyDescent="0.25">
      <c r="BD360" s="46">
        <v>358</v>
      </c>
      <c r="BE360" s="49">
        <v>179</v>
      </c>
      <c r="BF360" s="68" t="s">
        <v>0</v>
      </c>
    </row>
    <row r="361" spans="56:58" ht="39.950000000000003" hidden="1" customHeight="1" x14ac:dyDescent="0.25">
      <c r="BD361" s="46">
        <v>359</v>
      </c>
      <c r="BE361" s="49">
        <v>179.5</v>
      </c>
      <c r="BF361" s="68" t="s">
        <v>0</v>
      </c>
    </row>
    <row r="362" spans="56:58" ht="39.950000000000003" hidden="1" customHeight="1" x14ac:dyDescent="0.25">
      <c r="BD362" s="46">
        <v>360</v>
      </c>
      <c r="BE362" s="49">
        <v>180</v>
      </c>
      <c r="BF362" s="68" t="s">
        <v>0</v>
      </c>
    </row>
    <row r="363" spans="56:58" ht="9.9499999999999993" hidden="1" customHeight="1" x14ac:dyDescent="0.25"/>
  </sheetData>
  <sheetProtection algorithmName="SHA-512" hashValue="/6wAmekUn/h05AQ1OfsMn13x6vpqaq7zH3QJBZ4oah2jw35WrqI1q7FqU0UMGSODicQ3qQKSGXMtjawNk7/3xA==" saltValue="80qaXEvl0/mf+dt4F29dnQ==" spinCount="100000" sheet="1" objects="1" scenarios="1" selectLockedCells="1"/>
  <mergeCells count="39">
    <mergeCell ref="O1:O28"/>
    <mergeCell ref="A1:A14"/>
    <mergeCell ref="G1:G14"/>
    <mergeCell ref="F1:F14"/>
    <mergeCell ref="D1:D14"/>
    <mergeCell ref="K1:K14"/>
    <mergeCell ref="H1:J14"/>
    <mergeCell ref="U1:U28"/>
    <mergeCell ref="R28:T28"/>
    <mergeCell ref="L1:L14"/>
    <mergeCell ref="P1:P28"/>
    <mergeCell ref="M1:M14"/>
    <mergeCell ref="R2:R27"/>
    <mergeCell ref="T2:T27"/>
    <mergeCell ref="S2:S27"/>
    <mergeCell ref="R1:T1"/>
    <mergeCell ref="Q1:Q28"/>
    <mergeCell ref="N1:N14"/>
    <mergeCell ref="E1:E14"/>
    <mergeCell ref="B1:B4"/>
    <mergeCell ref="C1:C4"/>
    <mergeCell ref="B5:B9"/>
    <mergeCell ref="C5:C9"/>
    <mergeCell ref="B10:B14"/>
    <mergeCell ref="C10:C14"/>
    <mergeCell ref="B15:C15"/>
    <mergeCell ref="B16:C16"/>
    <mergeCell ref="B17:C17"/>
    <mergeCell ref="B27:C27"/>
    <mergeCell ref="B28:C28"/>
    <mergeCell ref="B18:C18"/>
    <mergeCell ref="B19:C19"/>
    <mergeCell ref="B20:C20"/>
    <mergeCell ref="B21:C21"/>
    <mergeCell ref="B22:C22"/>
    <mergeCell ref="B23:C23"/>
    <mergeCell ref="B24:C24"/>
    <mergeCell ref="B25:C25"/>
    <mergeCell ref="B26:C26"/>
  </mergeCells>
  <phoneticPr fontId="4" type="noConversion"/>
  <dataValidations count="9">
    <dataValidation type="list" allowBlank="1" showInputMessage="1" showErrorMessage="1" sqref="AH57:AH68" xr:uid="{00000000-0002-0000-0000-000000000000}">
      <formula1>"Yok, Var"</formula1>
    </dataValidation>
    <dataValidation type="list" allowBlank="1" showInputMessage="1" showErrorMessage="1" sqref="K15:K26" xr:uid="{00000000-0002-0000-0000-000001000000}">
      <formula1>$BF$2:$BF$50</formula1>
    </dataValidation>
    <dataValidation type="list" allowBlank="1" showInputMessage="1" showErrorMessage="1" sqref="O1:O28" xr:uid="{00000000-0002-0000-0000-000002000000}">
      <formula1>"Ocak, Şubat, Mart, Nisan, Mayıs, Haziran, Temmuz, Ağustos, Eylül, Ekim, Kasım, Aralık, Yıllık Toplam, Yıllık Ortalama"</formula1>
    </dataValidation>
    <dataValidation type="list" allowBlank="1" showInputMessage="1" showErrorMessage="1" sqref="AF18" xr:uid="{00000000-0002-0000-0000-000003000000}">
      <formula1>#REF!</formula1>
    </dataValidation>
    <dataValidation type="list" allowBlank="1" showInputMessage="1" showErrorMessage="1" sqref="E15:F26" xr:uid="{00000000-0002-0000-0000-000005000000}">
      <formula1>$BE$2:$BE$362</formula1>
    </dataValidation>
    <dataValidation type="list" allowBlank="1" showInputMessage="1" showErrorMessage="1" sqref="AK43:AK54 AF43:AF54 G15:G26 D15:D26 AP29:AP40 AN43:AN54" xr:uid="{00000000-0002-0000-0000-000006000000}">
      <formula1>$BD$2:$BD$362</formula1>
    </dataValidation>
    <dataValidation type="list" allowBlank="1" showInputMessage="1" showErrorMessage="1" sqref="A1:A14" xr:uid="{4E68C257-D1C5-4403-A697-6CEA5C6945C3}">
      <formula1>$AA$39:$AA$40</formula1>
    </dataValidation>
    <dataValidation type="list" allowBlank="1" showInputMessage="1" showErrorMessage="1" sqref="H15:J26" xr:uid="{B1C9EBE5-C9F4-47FB-9F0A-E0153B17AD49}">
      <formula1>$AR$29:$AR$44</formula1>
    </dataValidation>
    <dataValidation type="list" allowBlank="1" showInputMessage="1" showErrorMessage="1" sqref="Q1" xr:uid="{00000000-0002-0000-0000-000007000000}">
      <formula1>$V$20:$V$33</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2026-03-04T03:15:01Z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