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BuÇalışmaKitabı" autoCompressPictures="0" defaultThemeVersion="124226"/>
  <mc:AlternateContent xmlns:mc="http://schemas.openxmlformats.org/markup-compatibility/2006">
    <mc:Choice Requires="x15">
      <x15ac:absPath xmlns:x15ac="http://schemas.microsoft.com/office/spreadsheetml/2010/11/ac" url="D:\Arif Gürer\Web Sayfası\Ödenekler Hesabı\01 - Genel Çalışmalar\Ödenekler Hesabı\"/>
    </mc:Choice>
  </mc:AlternateContent>
  <xr:revisionPtr revIDLastSave="0" documentId="13_ncr:1_{4316D565-E354-4A4D-A806-5E8F4332665E}" xr6:coauthVersionLast="47" xr6:coauthVersionMax="47" xr10:uidLastSave="{00000000-0000-0000-0000-000000000000}"/>
  <workbookProtection workbookAlgorithmName="SHA-512" workbookHashValue="VHq+bPucEJRCiScN+3ul/zN+epQHdK80ssJ29ENkC493yVg3I8cDKQpnh6AuObZrTt9y0DrfXQ4GFCUsWZAt8Q==" workbookSaltValue="BLnrD/pjuUooFQVA2q5SXw==" workbookSpinCount="100000" lockStructure="1"/>
  <bookViews>
    <workbookView xWindow="-120" yWindow="-120" windowWidth="29040" windowHeight="15840" xr2:uid="{00000000-000D-0000-FFFF-FFFF00000000}"/>
  </bookViews>
  <sheets>
    <sheet name="Özet Tablo" sheetId="130" r:id="rId1"/>
  </sheets>
  <definedNames>
    <definedName name="_xlnm._FilterDatabase" localSheetId="0" hidden="1">'Özet Tablo'!#REF!</definedName>
    <definedName name="Bartın_854">'Özet Tablo'!#REF!</definedName>
    <definedName name="Çanakkale_4857">'Özet Tablo'!#REF!</definedName>
    <definedName name="Çanakkale_854">'Özet Tablo'!#REF!</definedName>
    <definedName name="İST_K_4857">'Özet Tablo'!#REF!</definedName>
    <definedName name="İST_K_854">'Özet Tablo'!#REF!</definedName>
    <definedName name="İST_K_854_Deniz_Taksi">'Özet Tablo'!#REF!</definedName>
    <definedName name="İST_K_Güvenlik_Kapsam_Dışı">'Özet Tablo'!#REF!</definedName>
    <definedName name="İST_K_Kafe_Kapsam_Dışı">'Özet Tablo'!#REF!</definedName>
    <definedName name="İST_K_Temizlik_Kapsam_Dışı">'Özet Tablo'!#REF!</definedName>
    <definedName name="İST_Ö_4857">'Özet Tablo'!#REF!</definedName>
    <definedName name="İST_Ö_854">'Özet Tablo'!#REF!</definedName>
    <definedName name="İzmir_4857">'Özet Tablo'!#REF!</definedName>
    <definedName name="İzmir_854">'Özet Tablo'!#REF!</definedName>
    <definedName name="Zonguldak_854">'Özet Tablo'!#REF!</definedName>
  </definedNames>
  <calcPr calcId="18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E2" i="130" l="1"/>
  <c r="AO23" i="130"/>
  <c r="AO24" i="130"/>
  <c r="AO25" i="130"/>
  <c r="BC4" i="130"/>
  <c r="BC5" i="130"/>
  <c r="BC6" i="130"/>
  <c r="BC7" i="130"/>
  <c r="BC8" i="130"/>
  <c r="BC9" i="130"/>
  <c r="BC10" i="130"/>
  <c r="BC11" i="130"/>
  <c r="AO22" i="130"/>
  <c r="CN18" i="130" l="1"/>
  <c r="BW18" i="130"/>
  <c r="CN17" i="130"/>
  <c r="BW17" i="130"/>
  <c r="CK25" i="130"/>
  <c r="BT25" i="130"/>
  <c r="CK24" i="130"/>
  <c r="BT24" i="130"/>
  <c r="CK23" i="130"/>
  <c r="BT23" i="130"/>
  <c r="CK22" i="130"/>
  <c r="BT22" i="130"/>
  <c r="CN16" i="130"/>
  <c r="BW16" i="130"/>
  <c r="CN15" i="130"/>
  <c r="BW15" i="130"/>
  <c r="CN14" i="130"/>
  <c r="BW14" i="130"/>
  <c r="BD28" i="130"/>
  <c r="BU3" i="130"/>
  <c r="BD27" i="130"/>
  <c r="BU2" i="130"/>
  <c r="BD26" i="130"/>
  <c r="BU1" i="130"/>
  <c r="BW19" i="130" l="1"/>
  <c r="BW20" i="130" s="1"/>
  <c r="BN11" i="130" l="1"/>
  <c r="BN12" i="130"/>
  <c r="BN13" i="130"/>
  <c r="CF4" i="130"/>
  <c r="CF5" i="130"/>
  <c r="CF6" i="130"/>
  <c r="CF7" i="130"/>
  <c r="BN4" i="130"/>
  <c r="BN5" i="130"/>
  <c r="BN6" i="130"/>
  <c r="BN7" i="130"/>
  <c r="BN10" i="130"/>
  <c r="BP2" i="130" l="1"/>
  <c r="BP3" i="130"/>
  <c r="BR14" i="130"/>
  <c r="BR15" i="130"/>
  <c r="BR16" i="130"/>
  <c r="BO22" i="130"/>
  <c r="BO23" i="130"/>
  <c r="BO24" i="130"/>
  <c r="BO25" i="130"/>
  <c r="BR17" i="130"/>
  <c r="BR18" i="130"/>
  <c r="BP1" i="130"/>
  <c r="I27" i="130"/>
  <c r="BN2" i="130"/>
  <c r="BN3" i="130"/>
  <c r="BP14" i="130"/>
  <c r="BP15" i="130"/>
  <c r="BP16" i="130"/>
  <c r="BM22" i="130"/>
  <c r="BM23" i="130"/>
  <c r="BM24" i="130"/>
  <c r="BM25" i="130"/>
  <c r="BP17" i="130"/>
  <c r="BP18" i="130"/>
  <c r="BN1" i="130"/>
  <c r="BO19" i="130"/>
  <c r="BK2" i="130"/>
  <c r="BK3" i="130"/>
  <c r="BM14" i="130"/>
  <c r="BM15" i="130"/>
  <c r="BM16" i="130"/>
  <c r="BJ22" i="130"/>
  <c r="BJ23" i="130"/>
  <c r="BJ24" i="130"/>
  <c r="BJ25" i="130"/>
  <c r="BM17" i="130"/>
  <c r="BM18" i="130"/>
  <c r="BK1" i="130"/>
  <c r="BB23" i="130"/>
  <c r="BB24" i="130"/>
  <c r="BB25" i="130"/>
  <c r="BE17" i="130"/>
  <c r="BE18" i="130"/>
  <c r="BB22" i="130"/>
  <c r="BC2" i="130"/>
  <c r="BC3" i="130"/>
  <c r="BE14" i="130"/>
  <c r="BE15" i="130"/>
  <c r="BE16" i="130"/>
  <c r="BC1" i="130"/>
  <c r="BP19" i="130" l="1"/>
  <c r="BP20" i="130" s="1"/>
  <c r="BR19" i="130"/>
  <c r="BR20" i="130" s="1"/>
  <c r="AL16" i="130"/>
  <c r="AY16" i="130" s="1"/>
  <c r="AL17" i="130"/>
  <c r="AY17" i="130" s="1"/>
  <c r="AL18" i="130"/>
  <c r="AY18" i="130" s="1"/>
  <c r="AL19" i="130"/>
  <c r="AY19" i="130" s="1"/>
  <c r="BA4" i="130" s="1"/>
  <c r="AL20" i="130"/>
  <c r="AY20" i="130" s="1"/>
  <c r="BA5" i="130" s="1"/>
  <c r="AL21" i="130"/>
  <c r="AY21" i="130" s="1"/>
  <c r="AW1" i="130"/>
  <c r="AT11" i="130" s="1"/>
  <c r="AW2" i="130"/>
  <c r="AT12" i="130" s="1"/>
  <c r="AW3" i="130"/>
  <c r="AT13" i="130" s="1"/>
  <c r="AS7" i="130"/>
  <c r="AT14" i="130" s="1"/>
  <c r="AS8" i="130"/>
  <c r="AT26" i="130" s="1"/>
  <c r="AL15" i="130"/>
  <c r="AY15" i="130" s="1"/>
  <c r="B1" i="130"/>
  <c r="AR26" i="130"/>
  <c r="AY11" i="130" s="1"/>
  <c r="AR14" i="130"/>
  <c r="AY10" i="130" s="1"/>
  <c r="AR13" i="130"/>
  <c r="AY9" i="130" s="1"/>
  <c r="AR12" i="130"/>
  <c r="AY8" i="130" s="1"/>
  <c r="AR11" i="130"/>
  <c r="AY7" i="130" s="1"/>
  <c r="AW21" i="130"/>
  <c r="AY6" i="130" s="1"/>
  <c r="AW20" i="130"/>
  <c r="AY5" i="130" s="1"/>
  <c r="AW19" i="130"/>
  <c r="AY4" i="130" s="1"/>
  <c r="AW18" i="130"/>
  <c r="AK25" i="130" s="1"/>
  <c r="AW17" i="130"/>
  <c r="AK24" i="130" s="1"/>
  <c r="AW16" i="130"/>
  <c r="AK23" i="130" s="1"/>
  <c r="AW15" i="130"/>
  <c r="AK22" i="130" s="1"/>
  <c r="AP11" i="130"/>
  <c r="AP12" i="130"/>
  <c r="AP13" i="130"/>
  <c r="AP14" i="130"/>
  <c r="AP26" i="130"/>
  <c r="AU21" i="130"/>
  <c r="AU16" i="130"/>
  <c r="AU17" i="130"/>
  <c r="AU18" i="130"/>
  <c r="AU19" i="130"/>
  <c r="AU20" i="130"/>
  <c r="AU15" i="130"/>
  <c r="BA10" i="130" l="1"/>
  <c r="AU7" i="130"/>
  <c r="BA9" i="130"/>
  <c r="AY3" i="130"/>
  <c r="BA7" i="130"/>
  <c r="AY1" i="130"/>
  <c r="BA6" i="130"/>
  <c r="AN21" i="130"/>
  <c r="BA8" i="130"/>
  <c r="AY2" i="130"/>
  <c r="AM25" i="130"/>
  <c r="AN18" i="130"/>
  <c r="AM24" i="130"/>
  <c r="AN17" i="130"/>
  <c r="AM23" i="130"/>
  <c r="AN16" i="130"/>
  <c r="AM22" i="130"/>
  <c r="AN15" i="130"/>
  <c r="BA11" i="130"/>
  <c r="AU8" i="130"/>
  <c r="AN20" i="130"/>
  <c r="AN19" i="130"/>
  <c r="AN10" i="130" l="1"/>
  <c r="AN9" i="130" s="1"/>
  <c r="AO8" i="130"/>
  <c r="AN8" i="130"/>
  <c r="AO7" i="130"/>
  <c r="AN7" i="130"/>
  <c r="AO6" i="130"/>
  <c r="AQ10" i="130" s="1"/>
  <c r="AN6" i="130"/>
  <c r="AS5" i="130"/>
  <c r="AR4" i="130"/>
  <c r="AR3" i="130"/>
  <c r="AR2" i="130"/>
  <c r="AR1" i="130"/>
  <c r="AN4" i="130"/>
  <c r="AN2" i="130"/>
  <c r="AN3" i="130" s="1"/>
  <c r="AN1" i="130"/>
  <c r="AM10" i="130"/>
  <c r="AL10" i="130"/>
  <c r="AM9" i="130"/>
  <c r="BH7" i="130" s="1"/>
  <c r="AL9" i="130"/>
  <c r="AT23" i="130" s="1"/>
  <c r="AJ9" i="130"/>
  <c r="AM8" i="130"/>
  <c r="AL8" i="130"/>
  <c r="AM7" i="130"/>
  <c r="AL7" i="130"/>
  <c r="AJ3" i="130"/>
  <c r="AJ2" i="130"/>
  <c r="AJ1" i="130"/>
  <c r="AR23" i="130"/>
  <c r="AR24" i="130"/>
  <c r="AR25" i="130"/>
  <c r="BF4" i="130"/>
  <c r="BF5" i="130"/>
  <c r="BF6" i="130"/>
  <c r="BF7" i="130"/>
  <c r="BF8" i="130"/>
  <c r="BF9" i="130"/>
  <c r="BF10" i="130"/>
  <c r="BF11" i="130"/>
  <c r="AR22" i="130"/>
  <c r="CZ1" i="130"/>
  <c r="CY1" i="130"/>
  <c r="BX7" i="130"/>
  <c r="BX6" i="130"/>
  <c r="BX5" i="130"/>
  <c r="BX4" i="130"/>
  <c r="CI11" i="130"/>
  <c r="CI10" i="130"/>
  <c r="CI9" i="130"/>
  <c r="CI8" i="130"/>
  <c r="BX13" i="130"/>
  <c r="BX12" i="130"/>
  <c r="BX11" i="130"/>
  <c r="BX10" i="130"/>
  <c r="CH11" i="130"/>
  <c r="BW4" i="130"/>
  <c r="BW5" i="130"/>
  <c r="BW6" i="130"/>
  <c r="BW7" i="130"/>
  <c r="CH10" i="130"/>
  <c r="BW11" i="130"/>
  <c r="BW12" i="130"/>
  <c r="BW13" i="130"/>
  <c r="CH8" i="130"/>
  <c r="CH9" i="130"/>
  <c r="BW10" i="130"/>
  <c r="BY10" i="130" l="1"/>
  <c r="BY5" i="130"/>
  <c r="AT22" i="130"/>
  <c r="AM2" i="130"/>
  <c r="BH5" i="130"/>
  <c r="AU3" i="130"/>
  <c r="BH4" i="130"/>
  <c r="AT25" i="130"/>
  <c r="AT24" i="130"/>
  <c r="BH6" i="130"/>
  <c r="BH11" i="130"/>
  <c r="BH10" i="130"/>
  <c r="BH9" i="130"/>
  <c r="BH8" i="130"/>
  <c r="AP3" i="130"/>
  <c r="AT4" i="130"/>
  <c r="AM1" i="130"/>
  <c r="AU4" i="130"/>
  <c r="AQ3" i="130"/>
  <c r="AM3" i="130"/>
  <c r="AL3" i="130"/>
  <c r="AR5" i="130"/>
  <c r="AT5" i="130" s="1"/>
  <c r="AT3" i="130"/>
  <c r="AL1" i="130"/>
  <c r="AP1" i="130"/>
  <c r="AQ1" i="130"/>
  <c r="AT1" i="130"/>
  <c r="AP9" i="130"/>
  <c r="AL2" i="130"/>
  <c r="AP2" i="130"/>
  <c r="AU1" i="130"/>
  <c r="AQ9" i="130"/>
  <c r="AQ2" i="130"/>
  <c r="AT2" i="130"/>
  <c r="AP10" i="130"/>
  <c r="AU2" i="130"/>
  <c r="BY6" i="130"/>
  <c r="BY7" i="130"/>
  <c r="AQ22" i="130"/>
  <c r="BE11" i="130"/>
  <c r="BE10" i="130"/>
  <c r="BE9" i="130"/>
  <c r="BE8" i="130"/>
  <c r="BE7" i="130"/>
  <c r="BE6" i="130"/>
  <c r="BE5" i="130"/>
  <c r="BE4" i="130"/>
  <c r="AQ25" i="130"/>
  <c r="AQ24" i="130"/>
  <c r="AQ23" i="130"/>
  <c r="BY13" i="130"/>
  <c r="CJ10" i="130"/>
  <c r="BY11" i="130"/>
  <c r="CJ8" i="130"/>
  <c r="CJ9" i="130"/>
  <c r="BY4" i="130"/>
  <c r="CJ11" i="130"/>
  <c r="BY12" i="130"/>
  <c r="BV16" i="130" l="1"/>
  <c r="BT2" i="130"/>
  <c r="BV14" i="130"/>
  <c r="BT1" i="130"/>
  <c r="BT3" i="130"/>
  <c r="BV15" i="130"/>
  <c r="AL4" i="130"/>
  <c r="BR1" i="130"/>
  <c r="BT14" i="130"/>
  <c r="BT16" i="130"/>
  <c r="BR2" i="130"/>
  <c r="BR3" i="130"/>
  <c r="BT15" i="130"/>
  <c r="BX18" i="130"/>
  <c r="BU25" i="130"/>
  <c r="BU23" i="130"/>
  <c r="BU22" i="130"/>
  <c r="BX17" i="130"/>
  <c r="BU24" i="130"/>
  <c r="CI25" i="130"/>
  <c r="CI23" i="130"/>
  <c r="CA22" i="130"/>
  <c r="CL18" i="130"/>
  <c r="CD17" i="130"/>
  <c r="CA24" i="130"/>
  <c r="CI22" i="130"/>
  <c r="CA25" i="130"/>
  <c r="CL17" i="130"/>
  <c r="CI24" i="130"/>
  <c r="CA23" i="130"/>
  <c r="CD18" i="130"/>
  <c r="BX2" i="130"/>
  <c r="AX26" i="130"/>
  <c r="CH14" i="130"/>
  <c r="AX27" i="130"/>
  <c r="CH16" i="130"/>
  <c r="BZ15" i="130"/>
  <c r="BX3" i="130"/>
  <c r="BZ16" i="130"/>
  <c r="BX1" i="130"/>
  <c r="CH15" i="130"/>
  <c r="AX28" i="130"/>
  <c r="BZ14" i="130"/>
  <c r="AL6" i="130"/>
  <c r="BZ3" i="130"/>
  <c r="CB15" i="130"/>
  <c r="BZ1" i="130"/>
  <c r="CB16" i="130"/>
  <c r="CB14" i="130"/>
  <c r="BZ2" i="130"/>
  <c r="CL16" i="130"/>
  <c r="BB26" i="130"/>
  <c r="CD15" i="130"/>
  <c r="CL14" i="130"/>
  <c r="CB3" i="130"/>
  <c r="BB27" i="130"/>
  <c r="CB1" i="130"/>
  <c r="CD14" i="130"/>
  <c r="BB28" i="130"/>
  <c r="CB2" i="130"/>
  <c r="CD16" i="130"/>
  <c r="CL15" i="130"/>
  <c r="AM6" i="130"/>
  <c r="CB17" i="130"/>
  <c r="BY22" i="130"/>
  <c r="BY23" i="130"/>
  <c r="BY24" i="130"/>
  <c r="BY25" i="130"/>
  <c r="CB18" i="130"/>
  <c r="BX14" i="130"/>
  <c r="BX16" i="130"/>
  <c r="BV2" i="130"/>
  <c r="BX15" i="130"/>
  <c r="BV3" i="130"/>
  <c r="BV1" i="130"/>
  <c r="BS23" i="130"/>
  <c r="BS25" i="130"/>
  <c r="BV18" i="130"/>
  <c r="BS22" i="130"/>
  <c r="BV17" i="130"/>
  <c r="BS24" i="130"/>
  <c r="BZ18" i="130"/>
  <c r="CE25" i="130"/>
  <c r="BW22" i="130"/>
  <c r="CH18" i="130"/>
  <c r="BZ17" i="130"/>
  <c r="CE23" i="130"/>
  <c r="BW24" i="130"/>
  <c r="CE22" i="130"/>
  <c r="CH17" i="130"/>
  <c r="BW25" i="130"/>
  <c r="CE24" i="130"/>
  <c r="BW23" i="130"/>
  <c r="AM4" i="130"/>
  <c r="BQ23" i="130"/>
  <c r="BT18" i="130"/>
  <c r="BQ25" i="130"/>
  <c r="BQ22" i="130"/>
  <c r="BT17" i="130"/>
  <c r="BQ24" i="130"/>
  <c r="AU5" i="130"/>
  <c r="AU6" i="130" s="1"/>
  <c r="AM5" i="130"/>
  <c r="AQ4" i="130"/>
  <c r="AT6" i="130"/>
  <c r="AL5" i="130"/>
  <c r="AP4" i="130"/>
  <c r="AX23" i="130"/>
  <c r="AX24" i="130"/>
  <c r="AX25" i="130"/>
  <c r="BL4" i="130"/>
  <c r="BL5" i="130"/>
  <c r="BL6" i="130"/>
  <c r="BL7" i="130"/>
  <c r="BL8" i="130"/>
  <c r="BL9" i="130"/>
  <c r="BL10" i="130"/>
  <c r="BL11" i="130"/>
  <c r="AX22" i="130"/>
  <c r="BH2" i="130"/>
  <c r="BJ14" i="130"/>
  <c r="BJ15" i="130"/>
  <c r="BJ16" i="130"/>
  <c r="BG22" i="130"/>
  <c r="BG23" i="130"/>
  <c r="BG24" i="130"/>
  <c r="BG25" i="130"/>
  <c r="BJ17" i="130"/>
  <c r="BJ18" i="130"/>
  <c r="BH1" i="130"/>
  <c r="BQ11" i="130"/>
  <c r="BR11" i="130" s="1"/>
  <c r="BQ12" i="130"/>
  <c r="BR12" i="130" s="1"/>
  <c r="BQ13" i="130"/>
  <c r="BR13" i="130" s="1"/>
  <c r="CI4" i="130"/>
  <c r="CJ4" i="130" s="1"/>
  <c r="CI5" i="130"/>
  <c r="CJ5" i="130" s="1"/>
  <c r="CI6" i="130"/>
  <c r="CJ6" i="130" s="1"/>
  <c r="CI7" i="130"/>
  <c r="CJ7" i="130" s="1"/>
  <c r="BQ4" i="130"/>
  <c r="BR4" i="130" s="1"/>
  <c r="BQ5" i="130"/>
  <c r="BR5" i="130" s="1"/>
  <c r="BQ6" i="130"/>
  <c r="BR6" i="130" s="1"/>
  <c r="BQ7" i="130"/>
  <c r="BR7" i="130" s="1"/>
  <c r="BQ10" i="130"/>
  <c r="BR10" i="130" s="1"/>
  <c r="CN22" i="130" l="1"/>
  <c r="CQ18" i="130"/>
  <c r="CN23" i="130"/>
  <c r="CN24" i="130"/>
  <c r="AP5" i="130"/>
  <c r="CF15" i="130"/>
  <c r="CD1" i="130"/>
  <c r="CF16" i="130"/>
  <c r="CF14" i="130"/>
  <c r="CD2" i="130"/>
  <c r="CD3" i="130"/>
  <c r="CB19" i="130"/>
  <c r="CB20" i="130" s="1"/>
  <c r="BG26" i="130"/>
  <c r="CD19" i="130"/>
  <c r="CD20" i="130" s="1"/>
  <c r="CH19" i="130"/>
  <c r="CH20" i="130" s="1"/>
  <c r="AQ5" i="130"/>
  <c r="CF17" i="130"/>
  <c r="CC24" i="130"/>
  <c r="CC25" i="130"/>
  <c r="CC23" i="130"/>
  <c r="CF18" i="130"/>
  <c r="CC22" i="130"/>
  <c r="CE15" i="130"/>
  <c r="CM14" i="130"/>
  <c r="CC3" i="130"/>
  <c r="BC27" i="130"/>
  <c r="CC1" i="130"/>
  <c r="CE16" i="130"/>
  <c r="CM15" i="130"/>
  <c r="CE14" i="130"/>
  <c r="BC28" i="130"/>
  <c r="CC2" i="130"/>
  <c r="BC26" i="130"/>
  <c r="CM16" i="130"/>
  <c r="BG27" i="130"/>
  <c r="BT19" i="130"/>
  <c r="BT20" i="130" s="1"/>
  <c r="BX22" i="130"/>
  <c r="CF25" i="130"/>
  <c r="CF22" i="130"/>
  <c r="CI18" i="130"/>
  <c r="CA17" i="130"/>
  <c r="CF23" i="130"/>
  <c r="BX24" i="130"/>
  <c r="CI17" i="130"/>
  <c r="BX25" i="130"/>
  <c r="CF24" i="130"/>
  <c r="BX23" i="130"/>
  <c r="CA18" i="130"/>
  <c r="CN25" i="130"/>
  <c r="BG28" i="130"/>
  <c r="CQ14" i="130"/>
  <c r="AY26" i="130"/>
  <c r="CI16" i="130"/>
  <c r="CI14" i="130"/>
  <c r="CA15" i="130"/>
  <c r="AY27" i="130"/>
  <c r="CI15" i="130"/>
  <c r="AY28" i="130"/>
  <c r="BY3" i="130"/>
  <c r="BY1" i="130"/>
  <c r="BY2" i="130"/>
  <c r="CA16" i="130"/>
  <c r="CA14" i="130"/>
  <c r="CL19" i="130"/>
  <c r="CL20" i="130" s="1"/>
  <c r="BZ19" i="130"/>
  <c r="BZ20" i="130" s="1"/>
  <c r="BV19" i="130"/>
  <c r="BV20" i="130" s="1"/>
  <c r="BX19" i="130"/>
  <c r="BX20" i="130" s="1"/>
  <c r="CJ23" i="130"/>
  <c r="CB22" i="130"/>
  <c r="CM18" i="130"/>
  <c r="CE17" i="130"/>
  <c r="CB24" i="130"/>
  <c r="CJ22" i="130"/>
  <c r="CM17" i="130"/>
  <c r="CJ24" i="130"/>
  <c r="CB25" i="130"/>
  <c r="CB23" i="130"/>
  <c r="CE18" i="130"/>
  <c r="CJ25" i="130"/>
  <c r="CQ16" i="130"/>
  <c r="CQ17" i="130"/>
  <c r="CQ15" i="130"/>
  <c r="BH3" i="130"/>
  <c r="AS24" i="130"/>
  <c r="AS23" i="130"/>
  <c r="BG6" i="130"/>
  <c r="CR16" i="130" l="1"/>
  <c r="CR15" i="130"/>
  <c r="CR17" i="130"/>
  <c r="CF19" i="130"/>
  <c r="CF20" i="130" s="1"/>
  <c r="CI19" i="130"/>
  <c r="CI20" i="130" s="1"/>
  <c r="CO25" i="130"/>
  <c r="CE19" i="130"/>
  <c r="CE20" i="130" s="1"/>
  <c r="CR14" i="130"/>
  <c r="CO22" i="130"/>
  <c r="CG23" i="130"/>
  <c r="CG25" i="130"/>
  <c r="CJ18" i="130"/>
  <c r="CG22" i="130"/>
  <c r="CJ17" i="130"/>
  <c r="CG24" i="130"/>
  <c r="AZ27" i="130"/>
  <c r="CJ16" i="130"/>
  <c r="CO16" i="130" s="1"/>
  <c r="CJ14" i="130"/>
  <c r="AZ26" i="130"/>
  <c r="BE26" i="130" s="1"/>
  <c r="AZ28" i="130"/>
  <c r="CJ15" i="130"/>
  <c r="CR18" i="130"/>
  <c r="CO23" i="130"/>
  <c r="CA19" i="130"/>
  <c r="CA20" i="130" s="1"/>
  <c r="BH26" i="130"/>
  <c r="BH28" i="130"/>
  <c r="CQ19" i="130"/>
  <c r="CQ20" i="130" s="1"/>
  <c r="CM19" i="130"/>
  <c r="CM20" i="130" s="1"/>
  <c r="CO24" i="130"/>
  <c r="BH27" i="130"/>
  <c r="BT12" i="130"/>
  <c r="BT10" i="130"/>
  <c r="CE11" i="130"/>
  <c r="BT11" i="130"/>
  <c r="CE8" i="130"/>
  <c r="CE10" i="130"/>
  <c r="BT7" i="130"/>
  <c r="BT13" i="130"/>
  <c r="BT5" i="130"/>
  <c r="BT6" i="130"/>
  <c r="BT4" i="130"/>
  <c r="CE9" i="130"/>
  <c r="BG8" i="130"/>
  <c r="BG9" i="130"/>
  <c r="BG4" i="130"/>
  <c r="BG5" i="130"/>
  <c r="BG11" i="130"/>
  <c r="BG7" i="130"/>
  <c r="AS25" i="130"/>
  <c r="BG10" i="130"/>
  <c r="AU22" i="130"/>
  <c r="AS22" i="130"/>
  <c r="CR19" i="130" l="1"/>
  <c r="CR20" i="130" s="1"/>
  <c r="CL22" i="130"/>
  <c r="CL24" i="130"/>
  <c r="CO17" i="130"/>
  <c r="CO18" i="130"/>
  <c r="BE27" i="130"/>
  <c r="CO15" i="130"/>
  <c r="CL25" i="130"/>
  <c r="BE28" i="130"/>
  <c r="CO14" i="130"/>
  <c r="CJ19" i="130"/>
  <c r="CJ20" i="130" s="1"/>
  <c r="CL23" i="130"/>
  <c r="AW22" i="130"/>
  <c r="AV22" i="130"/>
  <c r="CO19" i="130" l="1"/>
  <c r="CO20" i="130" s="1"/>
  <c r="DD12" i="130"/>
  <c r="DD13" i="130"/>
  <c r="DD14" i="130"/>
  <c r="DD15" i="130"/>
  <c r="CH1" i="130"/>
  <c r="CH2" i="130"/>
  <c r="CH3" i="130"/>
  <c r="CG12" i="130"/>
  <c r="CG13" i="130"/>
  <c r="DJ6" i="130"/>
  <c r="DJ7" i="130"/>
  <c r="DD11" i="130"/>
  <c r="DT14" i="130"/>
  <c r="DS14" i="130"/>
  <c r="DK2" i="130"/>
  <c r="DL2" i="130" s="1"/>
  <c r="DK3" i="130"/>
  <c r="DK4" i="130"/>
  <c r="DK5" i="130"/>
  <c r="DL5" i="130" s="1"/>
  <c r="DB16" i="130"/>
  <c r="DC16" i="130" s="1"/>
  <c r="DB17" i="130"/>
  <c r="DB18" i="130"/>
  <c r="DC18" i="130" s="1"/>
  <c r="DB19" i="130"/>
  <c r="DC19" i="130" s="1"/>
  <c r="DB20" i="130"/>
  <c r="DB21" i="130"/>
  <c r="DC21" i="130" s="1"/>
  <c r="DB22" i="130"/>
  <c r="DC22" i="130" s="1"/>
  <c r="DK1" i="130"/>
  <c r="BX8" i="130"/>
  <c r="BX9" i="130" s="1"/>
  <c r="BW8" i="130"/>
  <c r="BW9" i="130" s="1"/>
  <c r="AT27" i="130"/>
  <c r="AT28" i="130" s="1"/>
  <c r="AR27" i="130"/>
  <c r="AR28" i="130" s="1"/>
  <c r="BE12" i="130" l="1"/>
  <c r="BE13" i="130" s="1"/>
  <c r="DL3" i="130"/>
  <c r="DB23" i="130"/>
  <c r="DB24" i="130" s="1"/>
  <c r="DL1" i="130"/>
  <c r="DC20" i="130"/>
  <c r="DC17" i="130"/>
  <c r="DL4" i="130"/>
  <c r="F27" i="130" l="1"/>
  <c r="E27" i="130"/>
  <c r="D27" i="130"/>
  <c r="BL19" i="130"/>
  <c r="H27" i="130"/>
  <c r="G27" i="130"/>
  <c r="CW3" i="130"/>
  <c r="CW4" i="130"/>
  <c r="CW5" i="130"/>
  <c r="CW6" i="130"/>
  <c r="CW7" i="130"/>
  <c r="CW8" i="130"/>
  <c r="CW9" i="130"/>
  <c r="CW10" i="130"/>
  <c r="CW11" i="130"/>
  <c r="CW12" i="130"/>
  <c r="CW13" i="130"/>
  <c r="CW2" i="130"/>
  <c r="CA11" i="130"/>
  <c r="CA12" i="130"/>
  <c r="CA13" i="130"/>
  <c r="CL8" i="130"/>
  <c r="CL9" i="130"/>
  <c r="CL10" i="130"/>
  <c r="CL11" i="130"/>
  <c r="CA4" i="130"/>
  <c r="CA5" i="130"/>
  <c r="CA6" i="130"/>
  <c r="CA7" i="130"/>
  <c r="CA10" i="130"/>
  <c r="CB10" i="130" s="1"/>
  <c r="CV19" i="130"/>
  <c r="CV21" i="130"/>
  <c r="CV22" i="130"/>
  <c r="DE2" i="130"/>
  <c r="CT3" i="130"/>
  <c r="CD10" i="130" l="1"/>
  <c r="CC10" i="130"/>
  <c r="BH12" i="130"/>
  <c r="BH13" i="130" s="1"/>
  <c r="CA8" i="130"/>
  <c r="CA9" i="130" s="1"/>
  <c r="CW14" i="130"/>
  <c r="CW15" i="130" s="1"/>
  <c r="BL12" i="130"/>
  <c r="BL13" i="130" s="1"/>
  <c r="CM8" i="130"/>
  <c r="CB4" i="130"/>
  <c r="CB6" i="130"/>
  <c r="CB7" i="130"/>
  <c r="CV20" i="130"/>
  <c r="CV18" i="130"/>
  <c r="CV17" i="130"/>
  <c r="CV16" i="130"/>
  <c r="DE5" i="130"/>
  <c r="DE4" i="130"/>
  <c r="DE3" i="130"/>
  <c r="DE1" i="130"/>
  <c r="CB5" i="130"/>
  <c r="CM9" i="130"/>
  <c r="CK11" i="130"/>
  <c r="CM11" i="130"/>
  <c r="CM10" i="130"/>
  <c r="CB13" i="130"/>
  <c r="CB12" i="130"/>
  <c r="CB11" i="130"/>
  <c r="CD4" i="130" l="1"/>
  <c r="CC4" i="130"/>
  <c r="CO11" i="130"/>
  <c r="CN11" i="130"/>
  <c r="CD6" i="130"/>
  <c r="CC6" i="130"/>
  <c r="CO8" i="130"/>
  <c r="CN8" i="130"/>
  <c r="CO10" i="130"/>
  <c r="CN10" i="130"/>
  <c r="CD13" i="130"/>
  <c r="CC13" i="130"/>
  <c r="CD7" i="130"/>
  <c r="CC7" i="130"/>
  <c r="CO9" i="130"/>
  <c r="CN9" i="130"/>
  <c r="CD11" i="130"/>
  <c r="CC11" i="130"/>
  <c r="CD12" i="130"/>
  <c r="CC12" i="130"/>
  <c r="CD5" i="130"/>
  <c r="CC5" i="130"/>
  <c r="CB8" i="130"/>
  <c r="CB9" i="130" s="1"/>
  <c r="CV23" i="130"/>
  <c r="CV24" i="130" s="1"/>
  <c r="BZ6" i="130"/>
  <c r="CK10" i="130"/>
  <c r="BZ5" i="130"/>
  <c r="BZ4" i="130"/>
  <c r="BZ7" i="130"/>
  <c r="BN8" i="130" l="1"/>
  <c r="BN9" i="130" s="1"/>
  <c r="CK9" i="130" l="1"/>
  <c r="CK8" i="130"/>
  <c r="BZ13" i="130"/>
  <c r="BZ12" i="130"/>
  <c r="BZ11" i="130"/>
  <c r="BZ10" i="130"/>
  <c r="BY8" i="130" l="1"/>
  <c r="BY9" i="130" s="1"/>
  <c r="DC23" i="130"/>
  <c r="DC24" i="130" s="1"/>
  <c r="BZ8" i="130"/>
  <c r="BZ9" i="130" s="1"/>
  <c r="CD8" i="130" l="1"/>
  <c r="CD9" i="130" s="1"/>
  <c r="CX2" i="130"/>
  <c r="DF1" i="130"/>
  <c r="CY2" i="130" l="1"/>
  <c r="AP15" i="130"/>
  <c r="AO16" i="130" s="1"/>
  <c r="AQ15" i="130" l="1"/>
  <c r="AJ15" i="130" s="1"/>
  <c r="AR15" i="130"/>
  <c r="AS15" i="130" l="1"/>
  <c r="AP16" i="130"/>
  <c r="AO17" i="130" s="1"/>
  <c r="AQ16" i="130" l="1"/>
  <c r="AJ16" i="130" s="1"/>
  <c r="AR16" i="130"/>
  <c r="AS16" i="130" l="1"/>
  <c r="AP17" i="130"/>
  <c r="AO18" i="130" s="1"/>
  <c r="AQ17" i="130" l="1"/>
  <c r="AJ17" i="130" s="1"/>
  <c r="AR17" i="130"/>
  <c r="AS17" i="130" l="1"/>
  <c r="AP18" i="130"/>
  <c r="AO19" i="130" s="1"/>
  <c r="AQ18" i="130" l="1"/>
  <c r="AJ18" i="130" s="1"/>
  <c r="AR18" i="130"/>
  <c r="AS18" i="130" l="1"/>
  <c r="AP19" i="130"/>
  <c r="AO20" i="130" s="1"/>
  <c r="AQ19" i="130" l="1"/>
  <c r="AJ19" i="130" s="1"/>
  <c r="AR19" i="130"/>
  <c r="AS19" i="130" l="1"/>
  <c r="AP20" i="130"/>
  <c r="AO21" i="130" s="1"/>
  <c r="AR20" i="130" l="1"/>
  <c r="AQ20" i="130"/>
  <c r="AJ20" i="130" s="1"/>
  <c r="AS20" i="130" l="1"/>
  <c r="AP21" i="130"/>
  <c r="AJ11" i="130" s="1"/>
  <c r="AR21" i="130" l="1"/>
  <c r="AQ21" i="130"/>
  <c r="AJ21" i="130" s="1"/>
  <c r="AS21" i="130" l="1"/>
  <c r="AK11" i="130"/>
  <c r="AJ12" i="130" s="1"/>
  <c r="AL11" i="130" l="1"/>
  <c r="AW11" i="130" s="1"/>
  <c r="AM11" i="130"/>
  <c r="AN11" i="130" l="1"/>
  <c r="AK12" i="130"/>
  <c r="AJ13" i="130" s="1"/>
  <c r="AL12" i="130" l="1"/>
  <c r="AW12" i="130" s="1"/>
  <c r="AM12" i="130"/>
  <c r="AN12" i="130" l="1"/>
  <c r="AK13" i="130"/>
  <c r="AJ14" i="130" s="1"/>
  <c r="AM13" i="130" l="1"/>
  <c r="AL13" i="130"/>
  <c r="AW13" i="130" s="1"/>
  <c r="AN13" i="130" l="1"/>
  <c r="AK14" i="130"/>
  <c r="AJ26" i="130" s="1"/>
  <c r="AM14" i="130" l="1"/>
  <c r="AL14" i="130"/>
  <c r="AW14" i="130" s="1"/>
  <c r="AN14" i="130" l="1"/>
  <c r="AK26" i="130"/>
  <c r="AL26" i="130" l="1"/>
  <c r="AW26" i="130" s="1"/>
  <c r="AM26" i="130"/>
  <c r="AM27" i="130" s="1"/>
  <c r="AL27" i="130" l="1"/>
  <c r="AN26" i="130"/>
  <c r="AN27" i="130" s="1"/>
  <c r="CT6" i="130" l="1"/>
  <c r="CT5" i="130"/>
  <c r="CT4" i="130"/>
  <c r="CV3" i="130" l="1"/>
  <c r="CV4" i="130" s="1"/>
  <c r="CV5" i="130" s="1"/>
  <c r="CV6" i="130" s="1"/>
  <c r="CX7" i="130" l="1"/>
  <c r="CW16" i="130"/>
  <c r="CX5" i="130"/>
  <c r="DF4" i="130"/>
  <c r="CX3" i="130"/>
  <c r="DF2" i="130"/>
  <c r="CY3" i="130" l="1"/>
  <c r="CZ3" i="130" s="1"/>
  <c r="CX4" i="130"/>
  <c r="CY5" i="130" s="1"/>
  <c r="CZ5" i="130" s="1"/>
  <c r="DF3" i="130"/>
  <c r="CX6" i="130"/>
  <c r="DF5" i="130"/>
  <c r="CY7" i="130"/>
  <c r="CZ7" i="130" s="1"/>
  <c r="CY6" i="130" l="1"/>
  <c r="CZ6" i="130" s="1"/>
  <c r="CY4" i="130"/>
  <c r="CZ4" i="130" s="1"/>
  <c r="CX8" i="130"/>
  <c r="CW17" i="130"/>
  <c r="CY8" i="130"/>
  <c r="CZ8" i="130" s="1"/>
  <c r="CX12" i="130" l="1"/>
  <c r="CW21" i="130"/>
  <c r="CX10" i="130"/>
  <c r="CW19" i="130"/>
  <c r="CX11" i="130"/>
  <c r="CW20" i="130"/>
  <c r="CX9" i="130"/>
  <c r="CW18" i="130"/>
  <c r="CW22" i="130"/>
  <c r="CY12" i="130" l="1"/>
  <c r="CZ12" i="130" s="1"/>
  <c r="CY11" i="130"/>
  <c r="CZ11" i="130" s="1"/>
  <c r="CW23" i="130"/>
  <c r="CW24" i="130" s="1"/>
  <c r="CC8" i="130"/>
  <c r="CC9" i="130" s="1"/>
  <c r="CY9" i="130"/>
  <c r="CZ9" i="130" s="1"/>
  <c r="CY10" i="130"/>
  <c r="CZ10" i="130" s="1"/>
  <c r="CX13" i="130"/>
  <c r="CX14" i="130" l="1"/>
  <c r="CX15" i="130" s="1"/>
  <c r="CY13" i="130"/>
  <c r="CZ13" i="130" s="1"/>
  <c r="DA13" i="130" s="1"/>
  <c r="CS22" i="130" s="1"/>
  <c r="CT22" i="130" s="1"/>
  <c r="CZ2" i="130"/>
  <c r="DA2" i="130" s="1"/>
  <c r="DB1" i="130" s="1"/>
  <c r="DC1" i="130" s="1"/>
  <c r="DA4" i="130"/>
  <c r="DB3" i="130" s="1"/>
  <c r="DC3" i="130" s="1"/>
  <c r="DA5" i="130"/>
  <c r="DB4" i="130" s="1"/>
  <c r="DC4" i="130" s="1"/>
  <c r="DA6" i="130"/>
  <c r="DB5" i="130" s="1"/>
  <c r="DC5" i="130" s="1"/>
  <c r="DA7" i="130"/>
  <c r="CS16" i="130" s="1"/>
  <c r="CT16" i="130" s="1"/>
  <c r="DA8" i="130"/>
  <c r="CS17" i="130" s="1"/>
  <c r="CT17" i="130" s="1"/>
  <c r="DA9" i="130"/>
  <c r="CS18" i="130" s="1"/>
  <c r="CT18" i="130" s="1"/>
  <c r="DA10" i="130"/>
  <c r="CS19" i="130" s="1"/>
  <c r="CT19" i="130" s="1"/>
  <c r="DA11" i="130"/>
  <c r="CS20" i="130" s="1"/>
  <c r="CT20" i="130" s="1"/>
  <c r="DA12" i="130"/>
  <c r="CS21" i="130" s="1"/>
  <c r="CT21" i="130" s="1"/>
  <c r="CE12" i="130" l="1"/>
  <c r="CU19" i="130"/>
  <c r="CF3" i="130"/>
  <c r="CU18" i="130"/>
  <c r="DB15" i="130"/>
  <c r="DD5" i="130"/>
  <c r="CE13" i="130"/>
  <c r="CU20" i="130"/>
  <c r="CF2" i="130"/>
  <c r="CU17" i="130"/>
  <c r="DB13" i="130"/>
  <c r="DD3" i="130"/>
  <c r="DB11" i="130"/>
  <c r="DD1" i="130"/>
  <c r="DH6" i="130"/>
  <c r="CU21" i="130"/>
  <c r="CF1" i="130"/>
  <c r="CU16" i="130"/>
  <c r="DB14" i="130"/>
  <c r="DD4" i="130"/>
  <c r="DH7" i="130"/>
  <c r="CU22" i="130"/>
  <c r="DA3" i="130"/>
  <c r="DB2" i="130" s="1"/>
  <c r="DC2" i="130" s="1"/>
  <c r="DB12" i="130" l="1"/>
  <c r="DH8" i="130" s="1"/>
  <c r="DH9" i="130" s="1"/>
  <c r="DD2" i="130"/>
  <c r="CT23" i="130" l="1"/>
  <c r="CT24" i="130" s="1"/>
  <c r="AP27" i="130" l="1"/>
  <c r="AP28" i="130" s="1"/>
  <c r="BA12" i="130" l="1"/>
  <c r="BA13" i="130" s="1"/>
  <c r="AY12" i="130"/>
  <c r="AY13" i="130" s="1"/>
  <c r="AU9" i="130"/>
  <c r="AU10" i="130" s="1"/>
  <c r="BJ19" i="130"/>
  <c r="AW27" i="130"/>
  <c r="AW28" i="130" s="1"/>
  <c r="BJ20" i="130" l="1"/>
  <c r="AS9" i="130" l="1"/>
  <c r="AS10" i="130" s="1"/>
  <c r="BE19" i="130"/>
  <c r="BE20" i="130" s="1"/>
  <c r="BM19" i="130"/>
  <c r="BM20" i="130" s="1"/>
  <c r="X7" i="130" l="1"/>
  <c r="W7" i="130" s="1"/>
  <c r="BR8" i="130"/>
  <c r="BR9" i="130" s="1"/>
  <c r="BQ8" i="130"/>
  <c r="BQ9" i="130" s="1"/>
  <c r="X15" i="130" l="1"/>
  <c r="W15" i="130" s="1"/>
  <c r="AZ1" i="130" l="1"/>
  <c r="AU23" i="130" l="1"/>
  <c r="AU24" i="130"/>
  <c r="AU25" i="130"/>
  <c r="BI4" i="130"/>
  <c r="BI5" i="130"/>
  <c r="BG12" i="130"/>
  <c r="BG13" i="130" s="1"/>
  <c r="BI6" i="130"/>
  <c r="BI7" i="130"/>
  <c r="BI8" i="130"/>
  <c r="BI9" i="130"/>
  <c r="BI10" i="130"/>
  <c r="BI11" i="130"/>
  <c r="BF12" i="130"/>
  <c r="BF13" i="130" s="1"/>
  <c r="BK10" i="130" l="1"/>
  <c r="BJ10" i="130"/>
  <c r="BK7" i="130"/>
  <c r="BJ7" i="130"/>
  <c r="AY23" i="130" s="1"/>
  <c r="BK9" i="130"/>
  <c r="BJ9" i="130"/>
  <c r="BK4" i="130"/>
  <c r="BJ4" i="130"/>
  <c r="AV24" i="130"/>
  <c r="AW24" i="130"/>
  <c r="AW23" i="130"/>
  <c r="AV23" i="130"/>
  <c r="BK8" i="130"/>
  <c r="BJ8" i="130"/>
  <c r="BK6" i="130"/>
  <c r="BJ6" i="130"/>
  <c r="BK5" i="130"/>
  <c r="BJ5" i="130"/>
  <c r="AW25" i="130"/>
  <c r="AV25" i="130"/>
  <c r="BK11" i="130"/>
  <c r="BJ11" i="130"/>
  <c r="AY22" i="130"/>
  <c r="BI12" i="130"/>
  <c r="BI13" i="130" s="1"/>
  <c r="BJ12" i="130" l="1"/>
  <c r="BJ13" i="130" s="1"/>
  <c r="BB15" i="130"/>
  <c r="BB17" i="130"/>
  <c r="BB14" i="130"/>
  <c r="BB16" i="130"/>
  <c r="AY24" i="130"/>
  <c r="BK12" i="130"/>
  <c r="BK13" i="130" s="1"/>
  <c r="AZ2" i="130"/>
  <c r="BB18" i="130"/>
  <c r="AZ3" i="130"/>
  <c r="AY25" i="130"/>
  <c r="BB19" i="130" l="1"/>
  <c r="BB20" i="130" s="1"/>
  <c r="BC12" i="130"/>
  <c r="BT8" i="130" l="1"/>
  <c r="BT9" i="130" s="1"/>
  <c r="BC13" i="130"/>
  <c r="W1" i="130" l="1"/>
  <c r="X1" i="130"/>
  <c r="AV1" i="130"/>
  <c r="AX1" i="130"/>
  <c r="BA1" i="130"/>
  <c r="BB1" i="130"/>
  <c r="BD1" i="130"/>
  <c r="BE1" i="130"/>
  <c r="BF1" i="130"/>
  <c r="BI1" i="130"/>
  <c r="BL1" i="130"/>
  <c r="BO1" i="130"/>
  <c r="BQ1" i="130"/>
  <c r="BS1" i="130"/>
  <c r="BW1" i="130"/>
  <c r="CA1" i="130"/>
  <c r="CE1" i="130"/>
  <c r="CG1" i="130"/>
  <c r="CI1" i="130"/>
  <c r="CJ1" i="130"/>
  <c r="CK1" i="130"/>
  <c r="CL1" i="130"/>
  <c r="CM1" i="130"/>
  <c r="DH1" i="130"/>
  <c r="DI1" i="130"/>
  <c r="DJ1" i="130"/>
  <c r="W2" i="130"/>
  <c r="X2" i="130"/>
  <c r="AV2" i="130"/>
  <c r="AX2" i="130"/>
  <c r="BA2" i="130"/>
  <c r="BB2" i="130"/>
  <c r="BD2" i="130"/>
  <c r="BE2" i="130"/>
  <c r="BF2" i="130"/>
  <c r="BI2" i="130"/>
  <c r="BL2" i="130"/>
  <c r="BO2" i="130"/>
  <c r="BQ2" i="130"/>
  <c r="BS2" i="130"/>
  <c r="BW2" i="130"/>
  <c r="CA2" i="130"/>
  <c r="CE2" i="130"/>
  <c r="CG2" i="130"/>
  <c r="CI2" i="130"/>
  <c r="CJ2" i="130"/>
  <c r="CK2" i="130"/>
  <c r="CL2" i="130"/>
  <c r="CM2" i="130"/>
  <c r="DH2" i="130"/>
  <c r="DI2" i="130"/>
  <c r="DJ2" i="130"/>
  <c r="W3" i="130"/>
  <c r="X3" i="130"/>
  <c r="AV3" i="130"/>
  <c r="AX3" i="130"/>
  <c r="BA3" i="130"/>
  <c r="BB3" i="130"/>
  <c r="BD3" i="130"/>
  <c r="BE3" i="130"/>
  <c r="BF3" i="130"/>
  <c r="BI3" i="130"/>
  <c r="BL3" i="130"/>
  <c r="BO3" i="130"/>
  <c r="BQ3" i="130"/>
  <c r="BS3" i="130"/>
  <c r="BW3" i="130"/>
  <c r="CA3" i="130"/>
  <c r="CE3" i="130"/>
  <c r="CG3" i="130"/>
  <c r="CI3" i="130"/>
  <c r="CJ3" i="130"/>
  <c r="CK3" i="130"/>
  <c r="CL3" i="130"/>
  <c r="CM3" i="130"/>
  <c r="DH3" i="130"/>
  <c r="DI3" i="130"/>
  <c r="DJ3" i="130"/>
  <c r="W4" i="130"/>
  <c r="X4" i="130"/>
  <c r="AX4" i="130"/>
  <c r="AZ4" i="130"/>
  <c r="BB4" i="130"/>
  <c r="BD4" i="130"/>
  <c r="BM4" i="130"/>
  <c r="BO4" i="130"/>
  <c r="BS4" i="130"/>
  <c r="BU4" i="130"/>
  <c r="CE4" i="130"/>
  <c r="CG4" i="130"/>
  <c r="CK4" i="130"/>
  <c r="CL4" i="130"/>
  <c r="CM4" i="130"/>
  <c r="CN4" i="130"/>
  <c r="CO4" i="130"/>
  <c r="CP4" i="130"/>
  <c r="DH4" i="130"/>
  <c r="DI4" i="130"/>
  <c r="DJ4" i="130"/>
  <c r="W5" i="130"/>
  <c r="X5" i="130"/>
  <c r="AX5" i="130"/>
  <c r="AZ5" i="130"/>
  <c r="BB5" i="130"/>
  <c r="BD5" i="130"/>
  <c r="BM5" i="130"/>
  <c r="BO5" i="130"/>
  <c r="BS5" i="130"/>
  <c r="BU5" i="130"/>
  <c r="CE5" i="130"/>
  <c r="CG5" i="130"/>
  <c r="CK5" i="130"/>
  <c r="CL5" i="130"/>
  <c r="CM5" i="130"/>
  <c r="CN5" i="130"/>
  <c r="CO5" i="130"/>
  <c r="CP5" i="130"/>
  <c r="DH5" i="130"/>
  <c r="DI5" i="130"/>
  <c r="DJ5" i="130"/>
  <c r="W6" i="130"/>
  <c r="X6" i="130"/>
  <c r="AX6" i="130"/>
  <c r="AZ6" i="130"/>
  <c r="BB6" i="130"/>
  <c r="BD6" i="130"/>
  <c r="BM6" i="130"/>
  <c r="BO6" i="130"/>
  <c r="BS6" i="130"/>
  <c r="BU6" i="130"/>
  <c r="CE6" i="130"/>
  <c r="CG6" i="130"/>
  <c r="CK6" i="130"/>
  <c r="CL6" i="130"/>
  <c r="CM6" i="130"/>
  <c r="CN6" i="130"/>
  <c r="CO6" i="130"/>
  <c r="CP6" i="130"/>
  <c r="CQ6" i="130"/>
  <c r="CR6" i="130"/>
  <c r="DB6" i="130"/>
  <c r="DC6" i="130"/>
  <c r="DD6" i="130"/>
  <c r="DE6" i="130"/>
  <c r="DF6" i="130"/>
  <c r="DG6" i="130"/>
  <c r="DI6" i="130"/>
  <c r="DK6" i="130"/>
  <c r="DL6" i="130"/>
  <c r="AR7" i="130"/>
  <c r="AT7" i="130"/>
  <c r="AX7" i="130"/>
  <c r="AZ7" i="130"/>
  <c r="BB7" i="130"/>
  <c r="BD7" i="130"/>
  <c r="BM7" i="130"/>
  <c r="BO7" i="130"/>
  <c r="BS7" i="130"/>
  <c r="BU7" i="130"/>
  <c r="CE7" i="130"/>
  <c r="CG7" i="130"/>
  <c r="CK7" i="130"/>
  <c r="CL7" i="130"/>
  <c r="CM7" i="130"/>
  <c r="CN7" i="130"/>
  <c r="CO7" i="130"/>
  <c r="CP7" i="130"/>
  <c r="CQ7" i="130"/>
  <c r="CR7" i="130"/>
  <c r="DB7" i="130"/>
  <c r="DC7" i="130"/>
  <c r="DD7" i="130"/>
  <c r="DE7" i="130"/>
  <c r="DF7" i="130"/>
  <c r="DG7" i="130"/>
  <c r="DI7" i="130"/>
  <c r="DK7" i="130"/>
  <c r="DL7" i="130"/>
  <c r="W8" i="130"/>
  <c r="X8" i="130"/>
  <c r="AR8" i="130"/>
  <c r="AT8" i="130"/>
  <c r="AX8" i="130"/>
  <c r="AZ8" i="130"/>
  <c r="BB8" i="130"/>
  <c r="BD8" i="130"/>
  <c r="BM8" i="130"/>
  <c r="BO8" i="130"/>
  <c r="BS8" i="130"/>
  <c r="BU8" i="130"/>
  <c r="CF8" i="130"/>
  <c r="CQ8" i="130"/>
  <c r="CR8" i="130"/>
  <c r="DB8" i="130"/>
  <c r="DC8" i="130"/>
  <c r="DD8" i="130"/>
  <c r="DE8" i="130"/>
  <c r="DF8" i="130"/>
  <c r="DG8" i="130"/>
  <c r="DI8" i="130"/>
  <c r="W9" i="130"/>
  <c r="X9" i="130"/>
  <c r="AR9" i="130"/>
  <c r="AT9" i="130"/>
  <c r="AX9" i="130"/>
  <c r="AZ9" i="130"/>
  <c r="BB9" i="130"/>
  <c r="BD9" i="130"/>
  <c r="BM9" i="130"/>
  <c r="BO9" i="130"/>
  <c r="BS9" i="130"/>
  <c r="BU9" i="130"/>
  <c r="CF9" i="130"/>
  <c r="CQ9" i="130"/>
  <c r="CR9" i="130"/>
  <c r="DB9" i="130"/>
  <c r="DC9" i="130"/>
  <c r="DD9" i="130"/>
  <c r="DE9" i="130"/>
  <c r="DF9" i="130"/>
  <c r="DG9" i="130"/>
  <c r="DI9" i="130"/>
  <c r="W10" i="130"/>
  <c r="X10" i="130"/>
  <c r="AR10" i="130"/>
  <c r="AT10" i="130"/>
  <c r="AX10" i="130"/>
  <c r="AZ10" i="130"/>
  <c r="BB10" i="130"/>
  <c r="BD10" i="130"/>
  <c r="BM10" i="130"/>
  <c r="BO10" i="130"/>
  <c r="BS10" i="130"/>
  <c r="BU10" i="130"/>
  <c r="CF10" i="130"/>
  <c r="CQ10" i="130"/>
  <c r="CR10" i="130"/>
  <c r="DB10" i="130"/>
  <c r="DC10" i="130"/>
  <c r="DD10" i="130"/>
  <c r="DE10" i="130"/>
  <c r="DF10" i="130"/>
  <c r="DG10" i="130"/>
  <c r="W11" i="130"/>
  <c r="X11" i="130"/>
  <c r="AQ11" i="130"/>
  <c r="AS11" i="130"/>
  <c r="AU11" i="130"/>
  <c r="AX11" i="130"/>
  <c r="AZ11" i="130"/>
  <c r="BB11" i="130"/>
  <c r="BD11" i="130"/>
  <c r="BM11" i="130"/>
  <c r="BO11" i="130"/>
  <c r="BS11" i="130"/>
  <c r="BU11" i="130"/>
  <c r="CF11" i="130"/>
  <c r="CQ11" i="130"/>
  <c r="CR11" i="130"/>
  <c r="DC11" i="130"/>
  <c r="DE11" i="130"/>
  <c r="DF11" i="130"/>
  <c r="DG11" i="130"/>
  <c r="DH11" i="130"/>
  <c r="DI11" i="130"/>
  <c r="W12" i="130"/>
  <c r="X12" i="130"/>
  <c r="AQ12" i="130"/>
  <c r="AS12" i="130"/>
  <c r="AU12" i="130"/>
  <c r="AX12" i="130"/>
  <c r="AZ12" i="130"/>
  <c r="BB12" i="130"/>
  <c r="BD12" i="130"/>
  <c r="BM12" i="130"/>
  <c r="BO12" i="130"/>
  <c r="BS12" i="130"/>
  <c r="BU12" i="130"/>
  <c r="CF12" i="130"/>
  <c r="CH12" i="130"/>
  <c r="CI12" i="130"/>
  <c r="CJ12" i="130"/>
  <c r="CK12" i="130"/>
  <c r="CL12" i="130"/>
  <c r="CM12" i="130"/>
  <c r="CN12" i="130"/>
  <c r="CQ12" i="130"/>
  <c r="CR12" i="130"/>
  <c r="DC12" i="130"/>
  <c r="DE12" i="130"/>
  <c r="DF12" i="130"/>
  <c r="DG12" i="130"/>
  <c r="DH12" i="130"/>
  <c r="DI12" i="130"/>
  <c r="W13" i="130"/>
  <c r="X13" i="130"/>
  <c r="AQ13" i="130"/>
  <c r="AS13" i="130"/>
  <c r="AU13" i="130"/>
  <c r="AX13" i="130"/>
  <c r="AZ13" i="130"/>
  <c r="BB13" i="130"/>
  <c r="BD13" i="130"/>
  <c r="BM13" i="130"/>
  <c r="BO13" i="130"/>
  <c r="BS13" i="130"/>
  <c r="BU13" i="130"/>
  <c r="CF13" i="130"/>
  <c r="CH13" i="130"/>
  <c r="CI13" i="130"/>
  <c r="CJ13" i="130"/>
  <c r="CK13" i="130"/>
  <c r="CL13" i="130"/>
  <c r="CM13" i="130"/>
  <c r="CN13" i="130"/>
  <c r="CQ13" i="130"/>
  <c r="CR13" i="130"/>
  <c r="DC13" i="130"/>
  <c r="DE13" i="130"/>
  <c r="DF13" i="130"/>
  <c r="DG13" i="130"/>
  <c r="DH13" i="130"/>
  <c r="DI13" i="130"/>
  <c r="W14" i="130"/>
  <c r="X14" i="130"/>
  <c r="AQ14" i="130"/>
  <c r="AS14" i="130"/>
  <c r="AU14" i="130"/>
  <c r="BC14" i="130"/>
  <c r="BD14" i="130"/>
  <c r="BF14" i="130"/>
  <c r="BG14" i="130"/>
  <c r="BH14" i="130"/>
  <c r="BK14" i="130"/>
  <c r="BN14" i="130"/>
  <c r="BQ14" i="130"/>
  <c r="BS14" i="130"/>
  <c r="BU14" i="130"/>
  <c r="BY14" i="130"/>
  <c r="CC14" i="130"/>
  <c r="CG14" i="130"/>
  <c r="CK14" i="130"/>
  <c r="CP14" i="130"/>
  <c r="DC14" i="130"/>
  <c r="DE14" i="130"/>
  <c r="DF14" i="130"/>
  <c r="DG14" i="130"/>
  <c r="DH14" i="130"/>
  <c r="DI14" i="130"/>
  <c r="A15" i="130"/>
  <c r="S15" i="130"/>
  <c r="T15" i="130"/>
  <c r="U15" i="130"/>
  <c r="AK15" i="130"/>
  <c r="AM15" i="130"/>
  <c r="AV15" i="130"/>
  <c r="AX15" i="130"/>
  <c r="AZ15" i="130"/>
  <c r="BC15" i="130"/>
  <c r="BD15" i="130"/>
  <c r="BF15" i="130"/>
  <c r="BG15" i="130"/>
  <c r="BH15" i="130"/>
  <c r="BK15" i="130"/>
  <c r="BN15" i="130"/>
  <c r="BQ15" i="130"/>
  <c r="BS15" i="130"/>
  <c r="BU15" i="130"/>
  <c r="BY15" i="130"/>
  <c r="CC15" i="130"/>
  <c r="CG15" i="130"/>
  <c r="CK15" i="130"/>
  <c r="CP15" i="130"/>
  <c r="DC15" i="130"/>
  <c r="DE15" i="130"/>
  <c r="DF15" i="130"/>
  <c r="DG15" i="130"/>
  <c r="DH15" i="130"/>
  <c r="DI15" i="130"/>
  <c r="DO15" i="130"/>
  <c r="DP15" i="130"/>
  <c r="DQ15" i="130"/>
  <c r="DR15" i="130"/>
  <c r="DS15" i="130"/>
  <c r="DT15" i="130"/>
  <c r="DU15" i="130"/>
  <c r="DV15" i="130"/>
  <c r="DW15" i="130"/>
  <c r="A16" i="130"/>
  <c r="S16" i="130"/>
  <c r="T16" i="130"/>
  <c r="U16" i="130"/>
  <c r="W16" i="130"/>
  <c r="X16" i="130"/>
  <c r="AK16" i="130"/>
  <c r="AM16" i="130"/>
  <c r="AV16" i="130"/>
  <c r="AX16" i="130"/>
  <c r="AZ16" i="130"/>
  <c r="BC16" i="130"/>
  <c r="BD16" i="130"/>
  <c r="BF16" i="130"/>
  <c r="BG16" i="130"/>
  <c r="BH16" i="130"/>
  <c r="BK16" i="130"/>
  <c r="BN16" i="130"/>
  <c r="BQ16" i="130"/>
  <c r="BS16" i="130"/>
  <c r="BU16" i="130"/>
  <c r="BY16" i="130"/>
  <c r="CC16" i="130"/>
  <c r="CG16" i="130"/>
  <c r="CK16" i="130"/>
  <c r="CP16" i="130"/>
  <c r="CY16" i="130"/>
  <c r="CZ16" i="130"/>
  <c r="DA16" i="130"/>
  <c r="DD16" i="130"/>
  <c r="DE16" i="130"/>
  <c r="DF16" i="130"/>
  <c r="DG16" i="130"/>
  <c r="DH16" i="130"/>
  <c r="DI16" i="130"/>
  <c r="DO16" i="130"/>
  <c r="DP16" i="130"/>
  <c r="DQ16" i="130"/>
  <c r="DR16" i="130"/>
  <c r="DS16" i="130"/>
  <c r="DT16" i="130"/>
  <c r="DU16" i="130"/>
  <c r="DV16" i="130"/>
  <c r="DW16" i="130"/>
  <c r="A17" i="130"/>
  <c r="S17" i="130"/>
  <c r="T17" i="130"/>
  <c r="U17" i="130"/>
  <c r="W17" i="130"/>
  <c r="X17" i="130"/>
  <c r="AK17" i="130"/>
  <c r="AM17" i="130"/>
  <c r="AV17" i="130"/>
  <c r="AX17" i="130"/>
  <c r="AZ17" i="130"/>
  <c r="BC17" i="130"/>
  <c r="BD17" i="130"/>
  <c r="BF17" i="130"/>
  <c r="BG17" i="130"/>
  <c r="BH17" i="130"/>
  <c r="BK17" i="130"/>
  <c r="BN17" i="130"/>
  <c r="BQ17" i="130"/>
  <c r="BS17" i="130"/>
  <c r="BU17" i="130"/>
  <c r="BY17" i="130"/>
  <c r="CC17" i="130"/>
  <c r="CG17" i="130"/>
  <c r="CK17" i="130"/>
  <c r="CP17" i="130"/>
  <c r="CY17" i="130"/>
  <c r="CZ17" i="130"/>
  <c r="DA17" i="130"/>
  <c r="DD17" i="130"/>
  <c r="DE17" i="130"/>
  <c r="DF17" i="130"/>
  <c r="DG17" i="130"/>
  <c r="DH17" i="130"/>
  <c r="DI17" i="130"/>
  <c r="DO17" i="130"/>
  <c r="DP17" i="130"/>
  <c r="DQ17" i="130"/>
  <c r="DR17" i="130"/>
  <c r="DS17" i="130"/>
  <c r="DT17" i="130"/>
  <c r="DU17" i="130"/>
  <c r="DV17" i="130"/>
  <c r="DW17" i="130"/>
  <c r="A18" i="130"/>
  <c r="S18" i="130"/>
  <c r="T18" i="130"/>
  <c r="U18" i="130"/>
  <c r="W18" i="130"/>
  <c r="X18" i="130"/>
  <c r="AK18" i="130"/>
  <c r="AM18" i="130"/>
  <c r="AV18" i="130"/>
  <c r="AX18" i="130"/>
  <c r="AZ18" i="130"/>
  <c r="BC18" i="130"/>
  <c r="BD18" i="130"/>
  <c r="BF18" i="130"/>
  <c r="BG18" i="130"/>
  <c r="BH18" i="130"/>
  <c r="BK18" i="130"/>
  <c r="BN18" i="130"/>
  <c r="BQ18" i="130"/>
  <c r="BS18" i="130"/>
  <c r="BU18" i="130"/>
  <c r="BY18" i="130"/>
  <c r="CC18" i="130"/>
  <c r="CG18" i="130"/>
  <c r="CK18" i="130"/>
  <c r="CP18" i="130"/>
  <c r="CY18" i="130"/>
  <c r="CZ18" i="130"/>
  <c r="DA18" i="130"/>
  <c r="DD18" i="130"/>
  <c r="DE18" i="130"/>
  <c r="DF18" i="130"/>
  <c r="DG18" i="130"/>
  <c r="DH18" i="130"/>
  <c r="DI18" i="130"/>
  <c r="DO18" i="130"/>
  <c r="DP18" i="130"/>
  <c r="DQ18" i="130"/>
  <c r="DR18" i="130"/>
  <c r="DS18" i="130"/>
  <c r="DT18" i="130"/>
  <c r="DU18" i="130"/>
  <c r="DV18" i="130"/>
  <c r="DW18" i="130"/>
  <c r="A19" i="130"/>
  <c r="S19" i="130"/>
  <c r="T19" i="130"/>
  <c r="U19" i="130"/>
  <c r="W19" i="130"/>
  <c r="X19" i="130"/>
  <c r="AK19" i="130"/>
  <c r="AM19" i="130"/>
  <c r="AV19" i="130"/>
  <c r="AX19" i="130"/>
  <c r="AZ19" i="130"/>
  <c r="BC19" i="130"/>
  <c r="BD19" i="130"/>
  <c r="BF19" i="130"/>
  <c r="BG19" i="130"/>
  <c r="BH19" i="130"/>
  <c r="BK19" i="130"/>
  <c r="BN19" i="130"/>
  <c r="BQ19" i="130"/>
  <c r="BS19" i="130"/>
  <c r="BU19" i="130"/>
  <c r="BY19" i="130"/>
  <c r="CC19" i="130"/>
  <c r="CG19" i="130"/>
  <c r="CK19" i="130"/>
  <c r="CP19" i="130"/>
  <c r="CY19" i="130"/>
  <c r="CZ19" i="130"/>
  <c r="DA19" i="130"/>
  <c r="DD19" i="130"/>
  <c r="DE19" i="130"/>
  <c r="DF19" i="130"/>
  <c r="DG19" i="130"/>
  <c r="DH19" i="130"/>
  <c r="DI19" i="130"/>
  <c r="DO19" i="130"/>
  <c r="DP19" i="130"/>
  <c r="DQ19" i="130"/>
  <c r="DR19" i="130"/>
  <c r="DS19" i="130"/>
  <c r="DT19" i="130"/>
  <c r="DU19" i="130"/>
  <c r="DV19" i="130"/>
  <c r="DW19" i="130"/>
  <c r="A20" i="130"/>
  <c r="S20" i="130"/>
  <c r="T20" i="130"/>
  <c r="U20" i="130"/>
  <c r="W20" i="130"/>
  <c r="X20" i="130"/>
  <c r="AK20" i="130"/>
  <c r="AM20" i="130"/>
  <c r="AV20" i="130"/>
  <c r="AX20" i="130"/>
  <c r="AZ20" i="130"/>
  <c r="BC20" i="130"/>
  <c r="BD20" i="130"/>
  <c r="BF20" i="130"/>
  <c r="BG20" i="130"/>
  <c r="BH20" i="130"/>
  <c r="BK20" i="130"/>
  <c r="BN20" i="130"/>
  <c r="BQ20" i="130"/>
  <c r="BS20" i="130"/>
  <c r="BU20" i="130"/>
  <c r="BY20" i="130"/>
  <c r="CC20" i="130"/>
  <c r="CG20" i="130"/>
  <c r="CK20" i="130"/>
  <c r="CP20" i="130"/>
  <c r="CY20" i="130"/>
  <c r="CZ20" i="130"/>
  <c r="DA20" i="130"/>
  <c r="DD20" i="130"/>
  <c r="DE20" i="130"/>
  <c r="DF20" i="130"/>
  <c r="DG20" i="130"/>
  <c r="DH20" i="130"/>
  <c r="DI20" i="130"/>
  <c r="DO20" i="130"/>
  <c r="DP20" i="130"/>
  <c r="DQ20" i="130"/>
  <c r="DR20" i="130"/>
  <c r="DS20" i="130"/>
  <c r="DT20" i="130"/>
  <c r="DU20" i="130"/>
  <c r="DV20" i="130"/>
  <c r="DW20" i="130"/>
  <c r="A21" i="130"/>
  <c r="S21" i="130"/>
  <c r="T21" i="130"/>
  <c r="U21" i="130"/>
  <c r="W21" i="130"/>
  <c r="X21" i="130"/>
  <c r="AK21" i="130"/>
  <c r="AM21" i="130"/>
  <c r="AV21" i="130"/>
  <c r="AX21" i="130"/>
  <c r="AZ21" i="130"/>
  <c r="CY21" i="130"/>
  <c r="CZ21" i="130"/>
  <c r="DA21" i="130"/>
  <c r="DD21" i="130"/>
  <c r="DE21" i="130"/>
  <c r="DF21" i="130"/>
  <c r="DG21" i="130"/>
  <c r="DH21" i="130"/>
  <c r="DI21" i="130"/>
  <c r="DO21" i="130"/>
  <c r="DP21" i="130"/>
  <c r="DQ21" i="130"/>
  <c r="DR21" i="130"/>
  <c r="DS21" i="130"/>
  <c r="DT21" i="130"/>
  <c r="DU21" i="130"/>
  <c r="DV21" i="130"/>
  <c r="DW21" i="130"/>
  <c r="A22" i="130"/>
  <c r="S22" i="130"/>
  <c r="T22" i="130"/>
  <c r="U22" i="130"/>
  <c r="W22" i="130"/>
  <c r="X22" i="130"/>
  <c r="AJ22" i="130"/>
  <c r="AL22" i="130"/>
  <c r="AN22" i="130"/>
  <c r="AP22" i="130"/>
  <c r="AZ22" i="130"/>
  <c r="BA22" i="130"/>
  <c r="BC22" i="130"/>
  <c r="BD22" i="130"/>
  <c r="BE22" i="130"/>
  <c r="BH22" i="130"/>
  <c r="BK22" i="130"/>
  <c r="BN22" i="130"/>
  <c r="BP22" i="130"/>
  <c r="BR22" i="130"/>
  <c r="BV22" i="130"/>
  <c r="BZ22" i="130"/>
  <c r="CD22" i="130"/>
  <c r="CH22" i="130"/>
  <c r="CM22" i="130"/>
  <c r="CY22" i="130"/>
  <c r="CZ22" i="130"/>
  <c r="DA22" i="130"/>
  <c r="DD22" i="130"/>
  <c r="DE22" i="130"/>
  <c r="DF22" i="130"/>
  <c r="DG22" i="130"/>
  <c r="DH22" i="130"/>
  <c r="DI22" i="130"/>
  <c r="DO22" i="130"/>
  <c r="DP22" i="130"/>
  <c r="DQ22" i="130"/>
  <c r="DR22" i="130"/>
  <c r="DS22" i="130"/>
  <c r="DT22" i="130"/>
  <c r="DU22" i="130"/>
  <c r="DV22" i="130"/>
  <c r="DW22" i="130"/>
  <c r="A23" i="130"/>
  <c r="S23" i="130"/>
  <c r="T23" i="130"/>
  <c r="U23" i="130"/>
  <c r="W23" i="130"/>
  <c r="X23" i="130"/>
  <c r="AJ23" i="130"/>
  <c r="AL23" i="130"/>
  <c r="AN23" i="130"/>
  <c r="AP23" i="130"/>
  <c r="AZ23" i="130"/>
  <c r="BA23" i="130"/>
  <c r="BC23" i="130"/>
  <c r="BD23" i="130"/>
  <c r="BE23" i="130"/>
  <c r="BH23" i="130"/>
  <c r="BK23" i="130"/>
  <c r="BN23" i="130"/>
  <c r="BP23" i="130"/>
  <c r="BR23" i="130"/>
  <c r="BV23" i="130"/>
  <c r="BZ23" i="130"/>
  <c r="CD23" i="130"/>
  <c r="CH23" i="130"/>
  <c r="CM23" i="130"/>
  <c r="CY23" i="130"/>
  <c r="CZ23" i="130"/>
  <c r="DA23" i="130"/>
  <c r="DD23" i="130"/>
  <c r="DE23" i="130"/>
  <c r="DF23" i="130"/>
  <c r="DG23" i="130"/>
  <c r="DH23" i="130"/>
  <c r="DI23" i="130"/>
  <c r="DO23" i="130"/>
  <c r="DP23" i="130"/>
  <c r="DQ23" i="130"/>
  <c r="DR23" i="130"/>
  <c r="DS23" i="130"/>
  <c r="DT23" i="130"/>
  <c r="DU23" i="130"/>
  <c r="DV23" i="130"/>
  <c r="DW23" i="130"/>
  <c r="A24" i="130"/>
  <c r="S24" i="130"/>
  <c r="T24" i="130"/>
  <c r="U24" i="130"/>
  <c r="AJ24" i="130"/>
  <c r="AL24" i="130"/>
  <c r="AN24" i="130"/>
  <c r="AP24" i="130"/>
  <c r="AZ24" i="130"/>
  <c r="BA24" i="130"/>
  <c r="BC24" i="130"/>
  <c r="BD24" i="130"/>
  <c r="BE24" i="130"/>
  <c r="BH24" i="130"/>
  <c r="BK24" i="130"/>
  <c r="BN24" i="130"/>
  <c r="BP24" i="130"/>
  <c r="BR24" i="130"/>
  <c r="BV24" i="130"/>
  <c r="BZ24" i="130"/>
  <c r="CD24" i="130"/>
  <c r="CH24" i="130"/>
  <c r="CM24" i="130"/>
  <c r="CY24" i="130"/>
  <c r="CZ24" i="130"/>
  <c r="DA24" i="130"/>
  <c r="DD24" i="130"/>
  <c r="DE24" i="130"/>
  <c r="DF24" i="130"/>
  <c r="DG24" i="130"/>
  <c r="DH24" i="130"/>
  <c r="DI24" i="130"/>
  <c r="DO24" i="130"/>
  <c r="DP24" i="130"/>
  <c r="DQ24" i="130"/>
  <c r="DR24" i="130"/>
  <c r="DS24" i="130"/>
  <c r="DT24" i="130"/>
  <c r="DU24" i="130"/>
  <c r="DV24" i="130"/>
  <c r="DW24" i="130"/>
  <c r="A25" i="130"/>
  <c r="S25" i="130"/>
  <c r="T25" i="130"/>
  <c r="U25" i="130"/>
  <c r="AJ25" i="130"/>
  <c r="AL25" i="130"/>
  <c r="AN25" i="130"/>
  <c r="AP25" i="130"/>
  <c r="AZ25" i="130"/>
  <c r="BA25" i="130"/>
  <c r="BC25" i="130"/>
  <c r="BD25" i="130"/>
  <c r="BE25" i="130"/>
  <c r="BH25" i="130"/>
  <c r="BK25" i="130"/>
  <c r="BN25" i="130"/>
  <c r="BP25" i="130"/>
  <c r="BR25" i="130"/>
  <c r="BV25" i="130"/>
  <c r="BZ25" i="130"/>
  <c r="CD25" i="130"/>
  <c r="CH25" i="130"/>
  <c r="CM25" i="130"/>
  <c r="DO25" i="130"/>
  <c r="DP25" i="130"/>
  <c r="DQ25" i="130"/>
  <c r="DR25" i="130"/>
  <c r="DS25" i="130"/>
  <c r="DT25" i="130"/>
  <c r="DU25" i="130"/>
  <c r="DV25" i="130"/>
  <c r="DW25" i="130"/>
  <c r="A26" i="130"/>
  <c r="S26" i="130"/>
  <c r="T26" i="130"/>
  <c r="U26" i="130"/>
  <c r="AQ26" i="130"/>
  <c r="AS26" i="130"/>
  <c r="AU26" i="130"/>
  <c r="BA26" i="130"/>
  <c r="BF26" i="130"/>
  <c r="DO26" i="130"/>
  <c r="DP26" i="130"/>
  <c r="DQ26" i="130"/>
  <c r="DR26" i="130"/>
  <c r="DS26" i="130"/>
  <c r="DT26" i="130"/>
  <c r="DU26" i="130"/>
  <c r="DV26" i="130"/>
  <c r="DW26" i="130"/>
  <c r="S27" i="130"/>
  <c r="T27" i="130"/>
  <c r="U27" i="130"/>
  <c r="AQ27" i="130"/>
  <c r="AS27" i="130"/>
  <c r="AU27" i="130"/>
  <c r="BA27" i="130"/>
  <c r="BF27" i="130"/>
  <c r="DO27" i="130"/>
  <c r="DP27" i="130"/>
  <c r="DQ27" i="130"/>
  <c r="DR27" i="130"/>
  <c r="DW27" i="130"/>
  <c r="S28" i="130"/>
  <c r="T28" i="130"/>
  <c r="U28" i="130"/>
  <c r="AQ28" i="130"/>
  <c r="AS28" i="130"/>
  <c r="AU28" i="130"/>
  <c r="BA28" i="130"/>
  <c r="BF28" i="130"/>
  <c r="DO28" i="130"/>
  <c r="DP28" i="130"/>
  <c r="DQ28" i="130"/>
  <c r="DR28" i="130"/>
  <c r="DW28" i="130"/>
</calcChain>
</file>

<file path=xl/sharedStrings.xml><?xml version="1.0" encoding="utf-8"?>
<sst xmlns="http://schemas.openxmlformats.org/spreadsheetml/2006/main" count="765" uniqueCount="148">
  <si>
    <t>-</t>
  </si>
  <si>
    <t>Yok</t>
  </si>
  <si>
    <t>Temizlik Yardımı</t>
  </si>
  <si>
    <t>Doğal Afet Yardımı</t>
  </si>
  <si>
    <t>Kıdem Yardımı</t>
  </si>
  <si>
    <t>Resmi Tatillerde Çalışma</t>
  </si>
  <si>
    <t>SGK Prim Kesintisi</t>
  </si>
  <si>
    <t>SGK İşsizlik Primi Kesintisi</t>
  </si>
  <si>
    <t>Yemek Yardımı</t>
  </si>
  <si>
    <t>Sosyal Yardım</t>
  </si>
  <si>
    <t>Evlilik Yardımı</t>
  </si>
  <si>
    <t>Gece Çalışma</t>
  </si>
  <si>
    <t>Var</t>
  </si>
  <si>
    <t>OCA</t>
  </si>
  <si>
    <t>ŞUB</t>
  </si>
  <si>
    <t>MAR</t>
  </si>
  <si>
    <t>NİS</t>
  </si>
  <si>
    <t>MAY</t>
  </si>
  <si>
    <t>HAZ</t>
  </si>
  <si>
    <t>TEM</t>
  </si>
  <si>
    <t>AĞU</t>
  </si>
  <si>
    <t>EYL</t>
  </si>
  <si>
    <t>EKİ</t>
  </si>
  <si>
    <t>KAS</t>
  </si>
  <si>
    <t>ARA</t>
  </si>
  <si>
    <t>Annelik İzni</t>
  </si>
  <si>
    <t>Analık Hâli İzni</t>
  </si>
  <si>
    <t>Babalık İzni</t>
  </si>
  <si>
    <t>Süt İzni</t>
  </si>
  <si>
    <t>Engelli Çocuk İzni</t>
  </si>
  <si>
    <t>Evlat Edinme İzni</t>
  </si>
  <si>
    <t>Doğal Afet İzni</t>
  </si>
  <si>
    <t>Ulaşım Yardımı</t>
  </si>
  <si>
    <t>Normal Çalışma</t>
  </si>
  <si>
    <t>BES Kesintisi</t>
  </si>
  <si>
    <t>Damga Vergisi Kesintisi</t>
  </si>
  <si>
    <t>Gelir Vergisi Kesintisi</t>
  </si>
  <si>
    <t>İkramiye Yardımı</t>
  </si>
  <si>
    <t>İş Kazası veya Meslek Hastalığı Tazminatı</t>
  </si>
  <si>
    <t>Nakdi Yardımlar</t>
  </si>
  <si>
    <t>Sendika Üyelik Aidatı Kesintisi</t>
  </si>
  <si>
    <t>Ücretli Sendikal İzin ve Sendika Temsilci Sayısı</t>
  </si>
  <si>
    <t>İş Arama İzni</t>
  </si>
  <si>
    <t>Ücretli Yıllık İzin</t>
  </si>
  <si>
    <t>Kazançlar</t>
  </si>
  <si>
    <t>Kesintiler</t>
  </si>
  <si>
    <t>Cenaze İzni</t>
  </si>
  <si>
    <t>Evlilik İzni</t>
  </si>
  <si>
    <t>Mazeret İzni</t>
  </si>
  <si>
    <t>Yol İzni</t>
  </si>
  <si>
    <t>a) İşçinin eşinin doğum yapması hâlinde 5 takvim günü ücretli sosyal izin verilir.</t>
  </si>
  <si>
    <t>Fazla Çalışma (Gündüz / Gece)</t>
  </si>
  <si>
    <t>a) Yıllık ücretli izinleri işyerinin kurulu bulunduğu yerden başka bir yerde geçirecek olanlara istemde bulunmaları ve bu hususu belgelemeleri koşulu ile gidiş ve dönüşlerinde yolda geçecek süreleri karşılamak üzere işveren toplam 4 güne kadar ücretsiz yol izni vermek zorundadır.
(Yıllık Ücretli İzin Yönetmeliği / Madde 6)</t>
  </si>
  <si>
    <t>Yıllık Toplam</t>
  </si>
  <si>
    <t>Yıllık Ortalama</t>
  </si>
  <si>
    <t xml:space="preserve">   Kıdem Yardımı</t>
  </si>
  <si>
    <t xml:space="preserve">   Fazla Çalışma
   (Gündüz / Gece)</t>
  </si>
  <si>
    <t xml:space="preserve">   Gece Çalışma</t>
  </si>
  <si>
    <t xml:space="preserve">   Yemek Yardımı</t>
  </si>
  <si>
    <t xml:space="preserve">   Nakdi Yardımlar
   Sürekliliği Olmayan Yardımlar</t>
  </si>
  <si>
    <t xml:space="preserve">   Kesintiler / Özel
   BES Kesintisi</t>
  </si>
  <si>
    <t>Cenaze Yardımı (Anne-Baba)</t>
  </si>
  <si>
    <t>Cenaze Yardımı (Eş-Çocuk)</t>
  </si>
  <si>
    <t>Cenaze Yardımı (İşçi-İş Kazası Sonucu)</t>
  </si>
  <si>
    <t>Cenaze Yardımı (İşçi-Tabii Sebepler Sonucu)</t>
  </si>
  <si>
    <t>Eğitim Yardımı (İşçi-Lise)</t>
  </si>
  <si>
    <t>Eğitim Yardımı (İşçi-Yükseköğretim)</t>
  </si>
  <si>
    <t>Eğitim Yardımı (Çocuk-İlköğretim)</t>
  </si>
  <si>
    <t>Eğitim Yardımı (Çocuk-Ortaöğretim)</t>
  </si>
  <si>
    <t>Eğitim Yardımı (Çocuk-Lise)</t>
  </si>
  <si>
    <t>Eğitim Yardımı (Çocuk-Yükseköğretim)</t>
  </si>
  <si>
    <t xml:space="preserve">   Toplam Kazanç
   Net</t>
  </si>
  <si>
    <t>İşveren Maliyeti</t>
  </si>
  <si>
    <r>
      <t xml:space="preserve">   Sonraki Ayın 1'inde
   </t>
    </r>
    <r>
      <rPr>
        <b/>
        <sz val="16"/>
        <rFont val="Calibri"/>
        <family val="2"/>
        <charset val="162"/>
        <scheme val="minor"/>
      </rPr>
      <t>Net</t>
    </r>
  </si>
  <si>
    <t>a) 3 yaşını doldurmamış çocuğu evlat edinen eşlerden birine veya evlat edinene çocuğun aileye fiilen teslim edildiği tarihten itibaren 8 hafta analık hâli izni kullandırılır.
(4857 sayılı İş Kanunu / Madde 74)</t>
  </si>
  <si>
    <t>Miktar</t>
  </si>
  <si>
    <t>Mekanik / Teknik Sorumlusu</t>
  </si>
  <si>
    <t>Elektrik Sorumlusu</t>
  </si>
  <si>
    <t>Otomasyon Sistem Sorumlusu</t>
  </si>
  <si>
    <t>Bilgi İşlem Sorumlusu</t>
  </si>
  <si>
    <t>Bakım Onarım Sorumlusu</t>
  </si>
  <si>
    <t>İskeleler Sorumlusu</t>
  </si>
  <si>
    <t>Ambar ve Stok Kontrol Sorumlusu</t>
  </si>
  <si>
    <t>Akaryakıt Sorumlusu</t>
  </si>
  <si>
    <t>İnsan Kaynakları ve Eğitim Sorumlusu</t>
  </si>
  <si>
    <t>Muhasebe ve Finansman Sorumlusu</t>
  </si>
  <si>
    <t>İhale ve Satınalma Sorumlusu</t>
  </si>
  <si>
    <t>Halkla İlişkiler Sorumlusu</t>
  </si>
  <si>
    <t>Yazı İşleri Sorumlusu</t>
  </si>
  <si>
    <t>Gişeler Sorumlusu</t>
  </si>
  <si>
    <t>Temizlik / Güvenlik Sorumlusu</t>
  </si>
  <si>
    <t>İskele Sorumlusu</t>
  </si>
  <si>
    <t>1S-Atölye Personeli</t>
  </si>
  <si>
    <t>1S-Bilgi İşlem Büro Personeli</t>
  </si>
  <si>
    <t>1S-Şoför</t>
  </si>
  <si>
    <t>1S-Büro Personeli</t>
  </si>
  <si>
    <t>1S-Yönetim / Genel Müdür Sekreteri</t>
  </si>
  <si>
    <t>1S-İskele Personeli</t>
  </si>
  <si>
    <t>1S-Gişe Personeli</t>
  </si>
  <si>
    <t>1S-Çımacı / Palamarcı</t>
  </si>
  <si>
    <t>1S-Temizlik Personeli</t>
  </si>
  <si>
    <t>2S-Atölye Personeli</t>
  </si>
  <si>
    <t>2S-Bilgi İşlem Büro Personeli</t>
  </si>
  <si>
    <t>2S-Şoför</t>
  </si>
  <si>
    <t>2S-Büro Personeli</t>
  </si>
  <si>
    <t>2S-Yönetim / Genel Müdür Sekreteri</t>
  </si>
  <si>
    <t>2S-İskele Personeli</t>
  </si>
  <si>
    <t>2S-Gişe Personeli</t>
  </si>
  <si>
    <t>2S-Çımacı / Palamarcı</t>
  </si>
  <si>
    <t>2S-Temizlik Personeli</t>
  </si>
  <si>
    <t xml:space="preserve">   Resmi Tatillerde Çalışma
   (Gün Hesabı)</t>
  </si>
  <si>
    <t xml:space="preserve">   Görev Primi
   Çımacı, Temizlik Personeli
   (Her Vardiya)</t>
  </si>
  <si>
    <t>Bayram Yardımı (Kurban)</t>
  </si>
  <si>
    <t>Bayram Yardımı (Ramazan)</t>
  </si>
  <si>
    <t>Doğum Yardımı (İşveren)</t>
  </si>
  <si>
    <t>Eğitim Yardımı (Çocuk-Zorunlu Anaokulu)</t>
  </si>
  <si>
    <t>Eğitim Yardımı (Çocuk-Engelli)</t>
  </si>
  <si>
    <t>Sünnet Yardımı</t>
  </si>
  <si>
    <t xml:space="preserve">   Aile Yardımı
   657 sayılı Kanun / Madde 202
   Eş İçin</t>
  </si>
  <si>
    <t xml:space="preserve">   Aile Yardımı
   657 sayılı Kanun / Madde 202
   Çocuk İçin / 6 Yaş Öncesi</t>
  </si>
  <si>
    <t xml:space="preserve">   Aile Yardımı
   657 sayılı Kanun / Madde 202
   Çocuk İçin / 6 Yaş Sonrası</t>
  </si>
  <si>
    <t xml:space="preserve">   Aile Yardımı
   657 sayılı Kanun / Madde 202
   Engelli Çocuk İçin / 6 Yaş Öncesi</t>
  </si>
  <si>
    <t xml:space="preserve">   Aile Yardımı
   657 sayılı Kanun / Madde 202
   Engelli Çocuk İçin / 6 Yaş Sonrası</t>
  </si>
  <si>
    <t>Yakacak Yardımı</t>
  </si>
  <si>
    <t>Görev Primi</t>
  </si>
  <si>
    <t>Aile Yardımı (Eş İçin)</t>
  </si>
  <si>
    <t>Aile Yardımı (Çocuk İçin)</t>
  </si>
  <si>
    <r>
      <t xml:space="preserve">   Sonraki Ayın 7'sinde
   Fazla Çalışma (Gündüz / Gece)
   Resmi Tatillerde Çalışma
   Gece Çalışma
   Yemek Yardımı
   </t>
    </r>
    <r>
      <rPr>
        <b/>
        <sz val="16"/>
        <rFont val="Calibri"/>
        <family val="2"/>
        <charset val="162"/>
        <scheme val="minor"/>
      </rPr>
      <t>Net</t>
    </r>
  </si>
  <si>
    <t xml:space="preserve">   Ulaşım Yardımı
   (Kontör)</t>
  </si>
  <si>
    <r>
      <t xml:space="preserve">a) Kadın işçilerin </t>
    </r>
    <r>
      <rPr>
        <b/>
        <sz val="16"/>
        <color theme="0" tint="-0.14999847407452621"/>
        <rFont val="Calibri"/>
        <family val="2"/>
        <charset val="162"/>
        <scheme val="minor"/>
      </rPr>
      <t>doğumdan önce 8 ve doğumdan sonra 8 hafta</t>
    </r>
    <r>
      <rPr>
        <sz val="16"/>
        <color theme="0" tint="-0.14999847407452621"/>
        <rFont val="Calibri"/>
        <family val="2"/>
        <charset val="162"/>
        <scheme val="minor"/>
      </rPr>
      <t xml:space="preserve"> olmak üzere toplam 16 haftalık süre için çalıştırılmamaları esastır.
(4857 sayılı İş Kanunu / Madde 74)</t>
    </r>
  </si>
  <si>
    <r>
      <t xml:space="preserve">a) İşçilerin en az %70 oranında engelli veya süreğen hastalığı olan çocuğunun tedavisinde, hastalık raporuna dayalı olarak ve çalışan ebeveynden sadece biri tarafından kullanılması kaydıyla, </t>
    </r>
    <r>
      <rPr>
        <b/>
        <sz val="16"/>
        <color theme="0" tint="-0.14999847407452621"/>
        <rFont val="Calibri"/>
        <family val="2"/>
        <charset val="162"/>
        <scheme val="minor"/>
      </rPr>
      <t>bir yıl içinde toptan veya bölümler hâlinde 10 güne kadar</t>
    </r>
    <r>
      <rPr>
        <sz val="16"/>
        <color theme="0" tint="-0.14999847407452621"/>
        <rFont val="Calibri"/>
        <family val="2"/>
        <charset val="162"/>
        <scheme val="minor"/>
      </rPr>
      <t xml:space="preserve"> ücretli izin verilir.
(4857 sayılı İş Kanunu / Ek Madde 2)</t>
    </r>
  </si>
  <si>
    <r>
      <t xml:space="preserve">a) İşçiye; evlat edinmesi hâlinde </t>
    </r>
    <r>
      <rPr>
        <b/>
        <sz val="16"/>
        <color theme="0" tint="-0.14999847407452621"/>
        <rFont val="Calibri"/>
        <family val="2"/>
        <charset val="162"/>
        <scheme val="minor"/>
      </rPr>
      <t>3 gün</t>
    </r>
    <r>
      <rPr>
        <sz val="16"/>
        <color theme="0" tint="-0.14999847407452621"/>
        <rFont val="Calibri"/>
        <family val="2"/>
        <charset val="162"/>
        <scheme val="minor"/>
      </rPr>
      <t xml:space="preserve"> ücretli izin verilir.
(4857 sayılı İş Kanunu / Ek Madde 2)</t>
    </r>
  </si>
  <si>
    <r>
      <t xml:space="preserve">a) Kadın işçilere bir yaşından küçük çocuklarını emzirmeleri için </t>
    </r>
    <r>
      <rPr>
        <b/>
        <sz val="16"/>
        <color theme="0" tint="-0.14999847407452621"/>
        <rFont val="Calibri"/>
        <family val="2"/>
        <charset val="162"/>
        <scheme val="minor"/>
      </rPr>
      <t>günde toplam 1,5 saat</t>
    </r>
    <r>
      <rPr>
        <sz val="16"/>
        <color theme="0" tint="-0.14999847407452621"/>
        <rFont val="Calibri"/>
        <family val="2"/>
        <charset val="162"/>
        <scheme val="minor"/>
      </rPr>
      <t xml:space="preserve"> süt izni verilir.
(4857 sayılı İş Kanunu / Madde 74)</t>
    </r>
  </si>
  <si>
    <t>a) İşçinin eşinin veya çocuğunun vefatı hâlinde 6 iş günü ücretli sosyal izin verilir.
b) İşçinin annesinin, babasının veya kardeşinin vefatı hâlinde 5 iş günü ücretli sosyal izin verilir.
c) İşçinin eşinin annesinin, babasının veya kardeşinin vefatı hâlinde 2 iş günü ücretli sosyal izin verilir.
d) İşçinin amcasının, halasının, dayısının, teyzesinin, dedesinin veya ninesinin vefatı hâlinde 0 iş günü ücretli sosyal izin verilir.
e) Cenazenin il dışında olması veya il dışına götürülmesi hâlinde işçinin annesinin, babasının, kardeşinin, eşinin veya çocuğunun cenazesi için ilave 5 iş günü amcasının, halasının, dayısının, teyzesinin, dedesinin veya ninesinin cenazesi için ilave 1 iş günü ücretli sosyal izin verilir.
f) İşçilerden birinin vefatı hâlinde cenaze işlemleri veya katılımı için ihtiyaç kadar işçiye ücretli sosyal izin verilir.
g) Vefat eden kişi birden fazla personelin yakını ise cenaze izni her personele ayrı ayrı verilir.</t>
  </si>
  <si>
    <t>a) İşçinin ikamet ettiği konutun doğal afet nedeniyle hasara uğraması hâlinde 15 iş günü ücretli sosyal izin verilir.</t>
  </si>
  <si>
    <t>Dünya Engelliler Günü İzni</t>
  </si>
  <si>
    <t>a) Engelli kadrosundaki işçilere her yıl 3 Aralık Dünya Engelliler Günü için 1 iş günü ücretli sosyal izin verilir.</t>
  </si>
  <si>
    <t>a) İşçinin evlenmesi hâlinde 7 iş günü ücretli sosyal izin verilir.
b) İşçinin çocuğunun evlenmesi hâlinde 5 iş günü ücretli sosyal izin verilir.
c) İşçinin evliliğinde, evlilik izninin hangi şekilde kullanılacağı işçinin talebi doğrultusunda değerlendirilir.</t>
  </si>
  <si>
    <t>a) Bildirim süreleri içinde işveren, işçiye yeni bir iş bulması için gerekli olan iş arama iznini iş saatleri içinde ve ücret kesintisi yapmadan vermeye mecburdur. İş arama izninin süresi günde 3 saatten az olamaz ve işçi isterse iş arama izin saatlerini birleştirerek toplu kullanabilir.</t>
  </si>
  <si>
    <t>Kadınlar Günü İzni</t>
  </si>
  <si>
    <t>a) Kadın işçilere her yıl 8 Mart Dünya Kadınlar günü için 1 iş günü ücretli sosyal izin verilir.</t>
  </si>
  <si>
    <t>Kan Bağışı İzni</t>
  </si>
  <si>
    <t>a) İşverenin işçiyi kan bağışı için çağırdığı gün işçi ücretli sosyal izinli sayılır.</t>
  </si>
  <si>
    <t>a) İşçilere, gerekli ve geçerli mazeretleri hâlinde işverenin takdirine bağlı olarak yılda 7 iş günü ücretli sosyal izin verilir.
b) İşçilere, gerekli ve geçerli mazeretleri hâlinde işverenin takdirine bağlı olarak yılda 3 aya kadar ücretsiz sosyal izin verilebilir.</t>
  </si>
  <si>
    <t>Sünnet İzni</t>
  </si>
  <si>
    <t>a) İşçinin çocuğunun sünnet olması hâlinde 5 iş günü ücretli sosyal izin verilir.</t>
  </si>
  <si>
    <t>a) Yönetim Kurulu ve Baştemsilci İzni İşyeri Mevcudu Haftalık İzin süresi:
Yönetim Kurulu üyelerine haftalık 22 saat, 
Denetim ve Disiplin Kurulu üyelerine haftalık 6 saat,
Baştemsilcilere haftalık 15 saat ücretli sendikal izin verilir.
İşyeri disiplin kurulu üyeleri disiplin kurulu toplantısına çağrıldıkları günler ücretli izinli sayılırlar.
(10. Dönem Toplu İş Sözleşmesi / Madde 22)
b) Temsilci İzni:
Temsilcilere;
Kara personeli temsilcilerine haftalık 7,5 saat,
Gemi personeli temsilcilerine haftalık 8 saat ücretli sendikal izin verilir.
İzin zaruretine göre bu izinler en fazla 2'ye bölünerek kullandırılır.
(10. Dönem Toplu İş Sözleşmesi / Madde 22)
c) İşyerinde işçi sayısı 50’ye kadar ise yıllık en fazla 35 iş günü ücretli izin verilir.
İşyerinde işçi sayısı 51 ile 100 arasında ise yıllık en fazla 45 iş günü ücretli izin verilir.
İşyerinde işçi sayısı 101 ile 200 arasında ise yıllık en fazla 65 iş günü ücretli izin verilir.
İşyerinde işçi sayısı 201 ile 500 arasında ise yıllık en fazla 85 iş günü ücretli izin verilir.
İşyerinde işçi sayısı 501 ile 1000 arasında ise yıllık en fazla 105 iş günü ücretli izin verilir.
İşyerinde işçi sayısı 1000 işçiden fazla ise yıllık en fazla işçi sayısının % 10'u kadar iş günü ücretli sendikal izin verilir.
(10. Dönem Toplu İş Sözleşmesi / Madde 22)
ç) Sendikal faaliyetler için sendikanın yazılı talebi üzerine ve işverenin hizmetlerini aksatmamak suretiyle, işçilere ayrı ayrı olmadan çalışan kişi sayısı karşılığına gelen gün kadar yıllık ücretli sendikal izin kullandırılır.
d) Toplu iş sözleşmesi yapmak üzere yetkisi kesinleşen sendika; 
işyerinde işçi sayısı 50’ye kadar ise 1,
51 ile 100 arasında ise en çok 2,
101 ile 500 arasında ise en çok 3,
501 ile 1000 arasında ise en çok 4,
1001 ile 2000 arasında ise en çok 6,
2000’den fazla ise en çok 8 işyeri sendika temsilcisini işyerinde çalışan üyeleri arasından atayarak 15 gün içinde kimliklerini işverene bildirir. Bunlardan biri baş temsilci olarak görevlendirilebilir. Temsilcilerin görevi, sendikanın yetkisi süresince devam eder.
(6356 sayılı Sendikalar ve Toplu İş Sözleşmesi Kanunu / Madde 27)</t>
  </si>
  <si>
    <t>a) Hizmeti 6 ay olanlar için 0 iş günü ücretli yıllık izin verilir.
Hizmeti 1-5 yıl olanlar için 21 iş günü ücretli yıllık izin verilir.
Hizmeti 5-10 yıl olanlar için 26 iş günü ücretli yıllık izin verilir.
Hizmeti 10-15 yıl olanlar için 30 iş günü ücretli yıllık izin verilir.
Hizmeti 15 yıldan fazla olanlar için 30 iş günü ücretli yıllık izin verilir.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</si>
</sst>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d/mm/yyyy;@"/>
    <numFmt numFmtId="165" formatCode="0\ &quot;Gün&quot;"/>
    <numFmt numFmtId="166" formatCode="#,##0.00\ &quot;₺&quot;"/>
    <numFmt numFmtId="167" formatCode="0.000000"/>
    <numFmt numFmtId="168" formatCode="%\ 0"/>
    <numFmt numFmtId="169" formatCode="%\ 0.00"/>
    <numFmt numFmtId="170" formatCode="General\ &quot;₺&quot;"/>
    <numFmt numFmtId="171" formatCode="0.0000000"/>
    <numFmt numFmtId="172" formatCode="0\ &quot;Çocuk&quot;"/>
    <numFmt numFmtId="173" formatCode="0.0"/>
  </numFmts>
  <fonts count="15" x14ac:knownFonts="1">
    <font>
      <sz val="11"/>
      <color rgb="FF000000"/>
      <name val="Calibri"/>
      <family val="2"/>
      <charset val="1"/>
    </font>
    <font>
      <sz val="11"/>
      <color rgb="FF000000"/>
      <name val="Calibri"/>
      <family val="2"/>
      <charset val="162"/>
    </font>
    <font>
      <sz val="11"/>
      <color rgb="FF000000"/>
      <name val="Calibri"/>
      <family val="2"/>
      <charset val="1"/>
    </font>
    <font>
      <sz val="10"/>
      <name val="Arial Tur"/>
      <charset val="162"/>
    </font>
    <font>
      <sz val="8"/>
      <name val="Calibri"/>
      <family val="2"/>
      <charset val="1"/>
    </font>
    <font>
      <sz val="16"/>
      <name val="Calibri"/>
      <family val="2"/>
      <charset val="162"/>
      <scheme val="minor"/>
    </font>
    <font>
      <b/>
      <sz val="16"/>
      <name val="Calibri"/>
      <family val="2"/>
      <charset val="162"/>
      <scheme val="minor"/>
    </font>
    <font>
      <sz val="16"/>
      <color rgb="FFFF0000"/>
      <name val="Calibri"/>
      <family val="2"/>
      <charset val="162"/>
      <scheme val="minor"/>
    </font>
    <font>
      <b/>
      <sz val="16"/>
      <color rgb="FFFF0000"/>
      <name val="Calibri"/>
      <family val="2"/>
      <charset val="162"/>
      <scheme val="minor"/>
    </font>
    <font>
      <sz val="20"/>
      <name val="Calibri"/>
      <family val="2"/>
      <charset val="162"/>
      <scheme val="minor"/>
    </font>
    <font>
      <sz val="20"/>
      <color rgb="FFFF0000"/>
      <name val="Calibri"/>
      <family val="2"/>
      <charset val="162"/>
      <scheme val="minor"/>
    </font>
    <font>
      <sz val="16"/>
      <color theme="0" tint="-0.14999847407452621"/>
      <name val="Calibri"/>
      <family val="2"/>
      <charset val="162"/>
      <scheme val="minor"/>
    </font>
    <font>
      <b/>
      <sz val="16"/>
      <color theme="0" tint="-0.14999847407452621"/>
      <name val="Calibri"/>
      <family val="2"/>
      <charset val="162"/>
      <scheme val="minor"/>
    </font>
    <font>
      <sz val="16"/>
      <color theme="0"/>
      <name val="Calibri"/>
      <family val="2"/>
      <charset val="162"/>
      <scheme val="minor"/>
    </font>
    <font>
      <sz val="16"/>
      <color theme="0"/>
      <name val="Calibri"/>
      <family val="2"/>
      <charset val="162"/>
    </font>
  </fonts>
  <fills count="6">
    <fill>
      <patternFill patternType="none"/>
    </fill>
    <fill>
      <patternFill patternType="gray125"/>
    </fill>
    <fill>
      <patternFill patternType="solid">
        <fgColor theme="0" tint="-0.14999847407452621"/>
        <bgColor indexed="64"/>
      </patternFill>
    </fill>
    <fill>
      <patternFill patternType="solid">
        <fgColor rgb="FFC8E1B4"/>
        <bgColor indexed="64"/>
      </patternFill>
    </fill>
    <fill>
      <patternFill patternType="solid">
        <fgColor theme="8" tint="0.79998168889431442"/>
        <bgColor indexed="64"/>
      </patternFill>
    </fill>
    <fill>
      <patternFill patternType="solid">
        <fgColor rgb="FFC8E1B4"/>
        <bgColor rgb="FFC5E0B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0" fontId="1" fillId="0" borderId="0"/>
    <xf numFmtId="0" fontId="3" fillId="0" borderId="0"/>
    <xf numFmtId="0" fontId="2" fillId="0" borderId="0"/>
    <xf numFmtId="9" fontId="3" fillId="0" borderId="0" applyFont="0" applyFill="0" applyBorder="0" applyAlignment="0" applyProtection="0"/>
    <xf numFmtId="0" fontId="3" fillId="0" borderId="0" applyFont="0" applyFill="0" applyBorder="0" applyAlignment="0" applyProtection="0"/>
  </cellStyleXfs>
  <cellXfs count="82">
    <xf numFmtId="0" fontId="0" fillId="0" borderId="0" xfId="0"/>
    <xf numFmtId="0" fontId="5" fillId="2" borderId="1" xfId="2" applyFont="1" applyFill="1" applyBorder="1" applyAlignment="1" applyProtection="1">
      <alignment horizontal="center" vertical="center"/>
      <protection hidden="1"/>
    </xf>
    <xf numFmtId="0" fontId="5" fillId="0" borderId="0" xfId="2" applyFont="1" applyAlignment="1" applyProtection="1">
      <alignment horizontal="center" vertical="center"/>
      <protection hidden="1"/>
    </xf>
    <xf numFmtId="168" fontId="5" fillId="2" borderId="1" xfId="2" applyNumberFormat="1" applyFont="1" applyFill="1" applyBorder="1" applyAlignment="1" applyProtection="1">
      <alignment horizontal="center" vertical="center"/>
      <protection hidden="1"/>
    </xf>
    <xf numFmtId="2" fontId="6" fillId="2" borderId="1" xfId="0" applyNumberFormat="1" applyFont="1" applyFill="1" applyBorder="1" applyAlignment="1" applyProtection="1">
      <alignment horizontal="center" vertical="center"/>
      <protection hidden="1"/>
    </xf>
    <xf numFmtId="166" fontId="6" fillId="4" borderId="1" xfId="2" applyNumberFormat="1" applyFont="1" applyFill="1" applyBorder="1" applyAlignment="1" applyProtection="1">
      <alignment horizontal="center" vertical="center"/>
      <protection hidden="1"/>
    </xf>
    <xf numFmtId="166" fontId="8" fillId="4" borderId="1" xfId="2" applyNumberFormat="1" applyFont="1" applyFill="1" applyBorder="1" applyAlignment="1" applyProtection="1">
      <alignment horizontal="center" vertical="center"/>
      <protection hidden="1"/>
    </xf>
    <xf numFmtId="4" fontId="5" fillId="2" borderId="1" xfId="2" applyNumberFormat="1" applyFont="1" applyFill="1" applyBorder="1" applyAlignment="1" applyProtection="1">
      <alignment horizontal="center" vertical="center"/>
      <protection hidden="1"/>
    </xf>
    <xf numFmtId="4" fontId="5" fillId="2" borderId="9" xfId="2" applyNumberFormat="1" applyFont="1" applyFill="1" applyBorder="1" applyAlignment="1" applyProtection="1">
      <alignment horizontal="center" vertical="center"/>
      <protection hidden="1"/>
    </xf>
    <xf numFmtId="166" fontId="6" fillId="2" borderId="1" xfId="2" applyNumberFormat="1" applyFont="1" applyFill="1" applyBorder="1" applyAlignment="1" applyProtection="1">
      <alignment horizontal="center" vertical="center"/>
      <protection hidden="1"/>
    </xf>
    <xf numFmtId="166" fontId="8" fillId="2" borderId="1" xfId="2" applyNumberFormat="1" applyFont="1" applyFill="1" applyBorder="1" applyAlignment="1" applyProtection="1">
      <alignment horizontal="center" vertical="center"/>
      <protection hidden="1"/>
    </xf>
    <xf numFmtId="1" fontId="5" fillId="2" borderId="1" xfId="2" applyNumberFormat="1" applyFont="1" applyFill="1" applyBorder="1" applyAlignment="1" applyProtection="1">
      <alignment horizontal="center" vertical="center"/>
      <protection hidden="1"/>
    </xf>
    <xf numFmtId="0" fontId="5" fillId="0" borderId="0" xfId="2" applyFont="1" applyFill="1" applyAlignment="1" applyProtection="1">
      <alignment horizontal="center" vertical="center"/>
      <protection hidden="1"/>
    </xf>
    <xf numFmtId="0" fontId="5" fillId="0" borderId="0" xfId="2" applyFont="1" applyAlignment="1" applyProtection="1">
      <alignment horizontal="right" vertical="center" indent="1"/>
      <protection hidden="1"/>
    </xf>
    <xf numFmtId="173" fontId="5" fillId="2" borderId="1" xfId="2" applyNumberFormat="1" applyFont="1" applyFill="1" applyBorder="1" applyAlignment="1" applyProtection="1">
      <alignment horizontal="center" vertical="center"/>
      <protection hidden="1"/>
    </xf>
    <xf numFmtId="0" fontId="11" fillId="2" borderId="0" xfId="2" applyFont="1" applyFill="1" applyBorder="1" applyAlignment="1" applyProtection="1">
      <alignment horizontal="center" vertical="center" wrapText="1"/>
      <protection hidden="1"/>
    </xf>
    <xf numFmtId="166" fontId="11" fillId="2" borderId="0" xfId="2" applyNumberFormat="1" applyFont="1" applyFill="1" applyBorder="1" applyAlignment="1" applyProtection="1">
      <alignment horizontal="center" vertical="center" wrapText="1"/>
      <protection hidden="1"/>
    </xf>
    <xf numFmtId="166" fontId="11" fillId="2" borderId="0" xfId="2" applyNumberFormat="1" applyFont="1" applyFill="1" applyBorder="1" applyAlignment="1" applyProtection="1">
      <alignment horizontal="center" vertical="center"/>
      <protection hidden="1"/>
    </xf>
    <xf numFmtId="2" fontId="11" fillId="2" borderId="0" xfId="2" applyNumberFormat="1" applyFont="1" applyFill="1" applyBorder="1" applyAlignment="1" applyProtection="1">
      <alignment horizontal="center" vertical="center" wrapText="1"/>
      <protection hidden="1"/>
    </xf>
    <xf numFmtId="0" fontId="5" fillId="0" borderId="0" xfId="2" applyFont="1" applyFill="1" applyBorder="1" applyAlignment="1" applyProtection="1">
      <alignment horizontal="center" vertical="center"/>
      <protection hidden="1"/>
    </xf>
    <xf numFmtId="49" fontId="11" fillId="2" borderId="0" xfId="2" applyNumberFormat="1" applyFont="1" applyFill="1" applyBorder="1" applyAlignment="1" applyProtection="1">
      <alignment horizontal="center" vertical="center" wrapText="1"/>
      <protection hidden="1"/>
    </xf>
    <xf numFmtId="2" fontId="13" fillId="0" borderId="0" xfId="0" applyNumberFormat="1" applyFont="1" applyFill="1" applyBorder="1" applyAlignment="1" applyProtection="1">
      <alignment horizontal="center" vertical="center" wrapText="1"/>
      <protection hidden="1"/>
    </xf>
    <xf numFmtId="166" fontId="14" fillId="0" borderId="0" xfId="0" applyNumberFormat="1" applyFont="1" applyFill="1" applyBorder="1" applyAlignment="1" applyProtection="1">
      <alignment horizontal="center" vertical="center"/>
      <protection hidden="1"/>
    </xf>
    <xf numFmtId="169" fontId="13" fillId="0" borderId="0" xfId="2" applyNumberFormat="1" applyFont="1" applyFill="1" applyBorder="1" applyAlignment="1" applyProtection="1">
      <alignment horizontal="center" vertical="center"/>
      <protection hidden="1"/>
    </xf>
    <xf numFmtId="0" fontId="13" fillId="0" borderId="0" xfId="2" applyFont="1" applyFill="1" applyBorder="1" applyAlignment="1" applyProtection="1">
      <alignment horizontal="center" vertical="center"/>
      <protection hidden="1"/>
    </xf>
    <xf numFmtId="166" fontId="13" fillId="0" borderId="0" xfId="2" applyNumberFormat="1" applyFont="1" applyFill="1" applyBorder="1" applyAlignment="1" applyProtection="1">
      <alignment horizontal="center" vertical="center"/>
      <protection hidden="1"/>
    </xf>
    <xf numFmtId="3" fontId="13" fillId="0" borderId="0" xfId="2" applyNumberFormat="1" applyFont="1" applyFill="1" applyBorder="1" applyAlignment="1" applyProtection="1">
      <alignment horizontal="center" vertical="center"/>
      <protection hidden="1"/>
    </xf>
    <xf numFmtId="165" fontId="13" fillId="0" borderId="0" xfId="2" applyNumberFormat="1" applyFont="1" applyFill="1" applyBorder="1" applyAlignment="1" applyProtection="1">
      <alignment horizontal="center" vertical="center"/>
      <protection hidden="1"/>
    </xf>
    <xf numFmtId="167" fontId="13" fillId="0" borderId="0" xfId="2" applyNumberFormat="1" applyFont="1" applyFill="1" applyBorder="1" applyAlignment="1" applyProtection="1">
      <alignment horizontal="center" vertical="center"/>
      <protection hidden="1"/>
    </xf>
    <xf numFmtId="168" fontId="13" fillId="0" borderId="0" xfId="2" applyNumberFormat="1" applyFont="1" applyFill="1" applyBorder="1" applyAlignment="1" applyProtection="1">
      <alignment horizontal="center" vertical="center"/>
      <protection hidden="1"/>
    </xf>
    <xf numFmtId="0" fontId="13" fillId="0" borderId="0" xfId="2" applyFont="1" applyFill="1" applyBorder="1" applyAlignment="1" applyProtection="1">
      <alignment horizontal="center" vertical="center" wrapText="1"/>
      <protection hidden="1"/>
    </xf>
    <xf numFmtId="169" fontId="13" fillId="0" borderId="0" xfId="4" applyNumberFormat="1" applyFont="1" applyFill="1" applyBorder="1" applyAlignment="1" applyProtection="1">
      <alignment horizontal="center" vertical="center"/>
      <protection hidden="1"/>
    </xf>
    <xf numFmtId="166" fontId="13" fillId="0" borderId="0" xfId="2" applyNumberFormat="1" applyFont="1" applyFill="1" applyBorder="1" applyAlignment="1" applyProtection="1">
      <alignment horizontal="center" vertical="center" wrapText="1"/>
      <protection hidden="1"/>
    </xf>
    <xf numFmtId="2" fontId="13" fillId="0" borderId="0" xfId="2" applyNumberFormat="1" applyFont="1" applyFill="1" applyBorder="1" applyAlignment="1" applyProtection="1">
      <alignment horizontal="center" vertical="center"/>
      <protection hidden="1"/>
    </xf>
    <xf numFmtId="2" fontId="13" fillId="0" borderId="0" xfId="2" applyNumberFormat="1" applyFont="1" applyFill="1" applyBorder="1" applyAlignment="1" applyProtection="1">
      <alignment horizontal="center" vertical="center" wrapText="1"/>
      <protection hidden="1"/>
    </xf>
    <xf numFmtId="0" fontId="13" fillId="0" borderId="0" xfId="3" applyFont="1" applyFill="1" applyBorder="1" applyAlignment="1" applyProtection="1">
      <alignment horizontal="center" vertical="center"/>
      <protection hidden="1"/>
    </xf>
    <xf numFmtId="2" fontId="13" fillId="0" borderId="0" xfId="3" applyNumberFormat="1" applyFont="1" applyFill="1" applyBorder="1" applyAlignment="1" applyProtection="1">
      <alignment horizontal="center" vertical="center"/>
      <protection hidden="1"/>
    </xf>
    <xf numFmtId="166" fontId="13" fillId="0" borderId="0" xfId="3" applyNumberFormat="1" applyFont="1" applyFill="1" applyBorder="1" applyAlignment="1" applyProtection="1">
      <alignment horizontal="center" vertical="center"/>
      <protection hidden="1"/>
    </xf>
    <xf numFmtId="171" fontId="13" fillId="0" borderId="0" xfId="2" applyNumberFormat="1" applyFont="1" applyFill="1" applyBorder="1" applyAlignment="1" applyProtection="1">
      <alignment horizontal="center" vertical="center"/>
      <protection hidden="1"/>
    </xf>
    <xf numFmtId="166" fontId="13" fillId="0" borderId="0" xfId="4" applyNumberFormat="1" applyFont="1" applyFill="1" applyBorder="1" applyAlignment="1" applyProtection="1">
      <alignment horizontal="center" vertical="center"/>
      <protection hidden="1"/>
    </xf>
    <xf numFmtId="166" fontId="13" fillId="0" borderId="0" xfId="0" applyNumberFormat="1" applyFont="1" applyFill="1" applyBorder="1" applyAlignment="1" applyProtection="1">
      <alignment horizontal="center" vertical="center"/>
      <protection hidden="1"/>
    </xf>
    <xf numFmtId="4" fontId="13" fillId="0" borderId="0" xfId="2" applyNumberFormat="1" applyFont="1" applyFill="1" applyBorder="1" applyAlignment="1" applyProtection="1">
      <alignment horizontal="center" vertical="center"/>
      <protection hidden="1"/>
    </xf>
    <xf numFmtId="164" fontId="13" fillId="0" borderId="0" xfId="0" applyNumberFormat="1" applyFont="1" applyFill="1" applyBorder="1" applyAlignment="1" applyProtection="1">
      <alignment horizontal="center" vertical="center"/>
      <protection hidden="1"/>
    </xf>
    <xf numFmtId="165" fontId="13" fillId="0" borderId="0" xfId="0" applyNumberFormat="1" applyFont="1" applyFill="1" applyBorder="1" applyAlignment="1" applyProtection="1">
      <alignment horizontal="center" vertical="center"/>
      <protection hidden="1"/>
    </xf>
    <xf numFmtId="172" fontId="13" fillId="0" borderId="0" xfId="2" applyNumberFormat="1" applyFont="1" applyFill="1" applyBorder="1" applyAlignment="1" applyProtection="1">
      <alignment horizontal="center" vertical="center"/>
      <protection hidden="1"/>
    </xf>
    <xf numFmtId="164" fontId="13" fillId="0" borderId="0" xfId="2" applyNumberFormat="1" applyFont="1" applyFill="1" applyBorder="1" applyAlignment="1" applyProtection="1">
      <alignment horizontal="center" vertical="center"/>
      <protection hidden="1"/>
    </xf>
    <xf numFmtId="4" fontId="13" fillId="0" borderId="0" xfId="2" applyNumberFormat="1" applyFont="1" applyFill="1" applyBorder="1" applyAlignment="1" applyProtection="1">
      <alignment horizontal="center" vertical="center" wrapText="1"/>
      <protection hidden="1"/>
    </xf>
    <xf numFmtId="49" fontId="13" fillId="0" borderId="0" xfId="3" applyNumberFormat="1" applyFont="1" applyFill="1" applyBorder="1" applyAlignment="1" applyProtection="1">
      <alignment horizontal="center" vertical="center"/>
      <protection hidden="1"/>
    </xf>
    <xf numFmtId="0" fontId="11" fillId="2" borderId="11" xfId="2" applyFont="1" applyFill="1" applyBorder="1" applyAlignment="1" applyProtection="1">
      <alignment horizontal="center" vertical="center"/>
      <protection hidden="1"/>
    </xf>
    <xf numFmtId="0" fontId="11" fillId="2" borderId="12" xfId="2" applyFont="1" applyFill="1" applyBorder="1" applyAlignment="1" applyProtection="1">
      <alignment horizontal="center" vertical="center"/>
      <protection hidden="1"/>
    </xf>
    <xf numFmtId="0" fontId="11" fillId="2" borderId="13" xfId="2" applyFont="1" applyFill="1" applyBorder="1" applyAlignment="1" applyProtection="1">
      <alignment horizontal="center" vertical="center"/>
      <protection hidden="1"/>
    </xf>
    <xf numFmtId="1" fontId="5" fillId="3" borderId="1" xfId="2" applyNumberFormat="1" applyFont="1" applyFill="1" applyBorder="1" applyAlignment="1" applyProtection="1">
      <alignment horizontal="center" vertical="center"/>
      <protection locked="0" hidden="1"/>
    </xf>
    <xf numFmtId="173" fontId="5" fillId="3" borderId="1" xfId="3" applyNumberFormat="1" applyFont="1" applyFill="1" applyBorder="1" applyAlignment="1" applyProtection="1">
      <alignment horizontal="center" vertical="center"/>
      <protection locked="0" hidden="1"/>
    </xf>
    <xf numFmtId="2" fontId="5" fillId="3" borderId="9" xfId="2" applyNumberFormat="1" applyFont="1" applyFill="1" applyBorder="1" applyAlignment="1" applyProtection="1">
      <alignment horizontal="center" vertical="center"/>
      <protection locked="0" hidden="1"/>
    </xf>
    <xf numFmtId="2" fontId="5" fillId="5" borderId="1" xfId="2" applyNumberFormat="1" applyFont="1" applyFill="1" applyBorder="1" applyAlignment="1" applyProtection="1">
      <alignment horizontal="center" vertical="center" wrapText="1"/>
      <protection locked="0" hidden="1"/>
    </xf>
    <xf numFmtId="168" fontId="5" fillId="3" borderId="1" xfId="2" applyNumberFormat="1" applyFont="1" applyFill="1" applyBorder="1" applyAlignment="1" applyProtection="1">
      <alignment horizontal="center" vertical="center"/>
      <protection locked="0" hidden="1"/>
    </xf>
    <xf numFmtId="0" fontId="5" fillId="3" borderId="1" xfId="0" applyFont="1" applyFill="1" applyBorder="1" applyAlignment="1" applyProtection="1">
      <alignment horizontal="center" vertical="center" textRotation="90" wrapText="1"/>
      <protection locked="0" hidden="1"/>
    </xf>
    <xf numFmtId="2" fontId="5" fillId="2" borderId="1" xfId="2" applyNumberFormat="1" applyFont="1" applyFill="1" applyBorder="1" applyAlignment="1" applyProtection="1">
      <alignment horizontal="center" textRotation="90" wrapText="1"/>
      <protection hidden="1"/>
    </xf>
    <xf numFmtId="0" fontId="5" fillId="2" borderId="8"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3" borderId="1" xfId="2" applyFont="1" applyFill="1" applyBorder="1" applyAlignment="1" applyProtection="1">
      <alignment horizontal="center" vertical="center" textRotation="90" wrapText="1"/>
      <protection locked="0" hidden="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10" xfId="2" applyFont="1" applyFill="1" applyBorder="1" applyAlignment="1" applyProtection="1">
      <alignment horizontal="center" vertical="center"/>
      <protection hidden="1"/>
    </xf>
    <xf numFmtId="2" fontId="6" fillId="2" borderId="1" xfId="2" applyNumberFormat="1" applyFont="1" applyFill="1" applyBorder="1" applyAlignment="1" applyProtection="1">
      <alignment horizontal="right" vertical="center" wrapText="1" indent="1"/>
      <protection hidden="1"/>
    </xf>
    <xf numFmtId="2" fontId="9" fillId="3" borderId="1" xfId="2" applyNumberFormat="1" applyFont="1" applyFill="1" applyBorder="1" applyAlignment="1" applyProtection="1">
      <alignment horizontal="center" vertical="center" textRotation="90" wrapText="1"/>
      <protection locked="0" hidden="1"/>
    </xf>
    <xf numFmtId="170" fontId="10" fillId="2" borderId="1" xfId="2" applyNumberFormat="1" applyFont="1" applyFill="1" applyBorder="1" applyAlignment="1" applyProtection="1">
      <alignment horizontal="center" vertical="center" textRotation="90" wrapText="1"/>
      <protection hidden="1"/>
    </xf>
    <xf numFmtId="2" fontId="5" fillId="2" borderId="1" xfId="0" applyNumberFormat="1" applyFont="1" applyFill="1" applyBorder="1" applyAlignment="1" applyProtection="1">
      <alignment horizontal="center" textRotation="90" wrapText="1"/>
      <protection hidden="1"/>
    </xf>
    <xf numFmtId="2" fontId="7" fillId="2" borderId="1" xfId="2" applyNumberFormat="1" applyFont="1" applyFill="1" applyBorder="1" applyAlignment="1" applyProtection="1">
      <alignment horizontal="center" textRotation="90" wrapText="1"/>
      <protection hidden="1"/>
    </xf>
    <xf numFmtId="2" fontId="5" fillId="2" borderId="9" xfId="2" applyNumberFormat="1" applyFont="1" applyFill="1" applyBorder="1" applyAlignment="1" applyProtection="1">
      <alignment horizontal="center" textRotation="90" wrapText="1"/>
      <protection hidden="1"/>
    </xf>
    <xf numFmtId="0" fontId="11" fillId="2" borderId="0" xfId="2" applyFont="1" applyFill="1" applyBorder="1" applyAlignment="1" applyProtection="1">
      <alignment horizontal="center" vertical="center"/>
      <protection hidden="1"/>
    </xf>
    <xf numFmtId="0" fontId="11" fillId="2" borderId="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right" vertical="center" wrapText="1" indent="1"/>
      <protection locked="0"/>
    </xf>
    <xf numFmtId="49" fontId="11" fillId="2" borderId="0" xfId="0" applyNumberFormat="1" applyFont="1" applyFill="1" applyBorder="1" applyAlignment="1" applyProtection="1">
      <alignment horizontal="center" vertical="center" wrapText="1"/>
      <protection locked="0"/>
    </xf>
    <xf numFmtId="49" fontId="11" fillId="2" borderId="0" xfId="2" applyNumberFormat="1" applyFont="1" applyFill="1" applyBorder="1" applyAlignment="1" applyProtection="1">
      <alignment horizontal="center" vertical="center" wrapText="1"/>
      <protection locked="0"/>
    </xf>
    <xf numFmtId="166" fontId="11" fillId="2" borderId="0" xfId="2" applyNumberFormat="1" applyFont="1" applyFill="1" applyBorder="1" applyAlignment="1" applyProtection="1">
      <alignment horizontal="center" vertical="center" wrapText="1"/>
      <protection locked="0"/>
    </xf>
    <xf numFmtId="2" fontId="11" fillId="2" borderId="0" xfId="2" applyNumberFormat="1" applyFont="1" applyFill="1" applyBorder="1" applyAlignment="1" applyProtection="1">
      <alignment horizontal="right" vertical="center" wrapText="1" indent="1"/>
      <protection locked="0"/>
    </xf>
  </cellXfs>
  <cellStyles count="6">
    <cellStyle name="Açıklama Metni" xfId="1" builtinId="53" customBuiltin="1"/>
    <cellStyle name="Normal" xfId="0" builtinId="0"/>
    <cellStyle name="Normal 2" xfId="2" xr:uid="{00000000-0005-0000-0000-000003000000}"/>
    <cellStyle name="Normal 2 2" xfId="3" xr:uid="{00000000-0005-0000-0000-000004000000}"/>
    <cellStyle name="Virgül 2" xfId="5" xr:uid="{00000000-0005-0000-0000-000005000000}"/>
    <cellStyle name="Yüzde 2" xfId="4" xr:uid="{00000000-0005-0000-0000-000006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FE699"/>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8CBAD"/>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AEEF3"/>
      <color rgb="FFC8E1B4"/>
      <color rgb="FF003300"/>
      <color rgb="FF9933FF"/>
      <color rgb="FFAAD7E1"/>
      <color rgb="FFAAD7DC"/>
      <color rgb="FFAAD7E6"/>
      <color rgb="FFAACDE6"/>
      <color rgb="FFAFCDE6"/>
      <color rgb="FFAFE1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21142851852943"/>
          <c:y val="1.6407513119655142E-2"/>
          <c:w val="0.22938183964581099"/>
          <c:h val="0.96718497376068968"/>
        </c:manualLayout>
      </c:layout>
      <c:barChart>
        <c:barDir val="bar"/>
        <c:grouping val="clustered"/>
        <c:varyColors val="0"/>
        <c:ser>
          <c:idx val="0"/>
          <c:order val="0"/>
          <c:spPr>
            <a:solidFill>
              <a:schemeClr val="tx1"/>
            </a:solidFill>
            <a:ln>
              <a:noFill/>
            </a:ln>
            <a:effectLst/>
          </c:spPr>
          <c:invertIfNegative val="0"/>
          <c:dPt>
            <c:idx val="11"/>
            <c:invertIfNegative val="0"/>
            <c:bubble3D val="0"/>
            <c:spPr>
              <a:solidFill>
                <a:schemeClr val="tx1"/>
              </a:solidFill>
              <a:ln>
                <a:noFill/>
              </a:ln>
              <a:effectLst/>
            </c:spPr>
            <c:extLst>
              <c:ext xmlns:c16="http://schemas.microsoft.com/office/drawing/2014/chart" uri="{C3380CC4-5D6E-409C-BE32-E72D297353CC}">
                <c16:uniqueId val="{00000027-15C5-4CF9-A126-8061EA1D968F}"/>
              </c:ext>
            </c:extLst>
          </c:dPt>
          <c:dPt>
            <c:idx val="12"/>
            <c:invertIfNegative val="0"/>
            <c:bubble3D val="0"/>
            <c:spPr>
              <a:solidFill>
                <a:schemeClr val="tx1"/>
              </a:solidFill>
              <a:ln>
                <a:noFill/>
              </a:ln>
              <a:effectLst/>
            </c:spPr>
            <c:extLst>
              <c:ext xmlns:c16="http://schemas.microsoft.com/office/drawing/2014/chart" uri="{C3380CC4-5D6E-409C-BE32-E72D297353CC}">
                <c16:uniqueId val="{00000028-15C5-4CF9-A126-8061EA1D968F}"/>
              </c:ext>
            </c:extLst>
          </c:dPt>
          <c:dPt>
            <c:idx val="13"/>
            <c:invertIfNegative val="0"/>
            <c:bubble3D val="0"/>
            <c:spPr>
              <a:solidFill>
                <a:schemeClr val="tx1"/>
              </a:solidFill>
              <a:ln>
                <a:noFill/>
              </a:ln>
              <a:effectLst/>
            </c:spPr>
            <c:extLst>
              <c:ext xmlns:c16="http://schemas.microsoft.com/office/drawing/2014/chart" uri="{C3380CC4-5D6E-409C-BE32-E72D297353CC}">
                <c16:uniqueId val="{00000029-15C5-4CF9-A126-8061EA1D968F}"/>
              </c:ext>
            </c:extLst>
          </c:dPt>
          <c:dPt>
            <c:idx val="14"/>
            <c:invertIfNegative val="0"/>
            <c:bubble3D val="0"/>
            <c:spPr>
              <a:solidFill>
                <a:srgbClr val="C00000"/>
              </a:solidFill>
              <a:ln>
                <a:noFill/>
              </a:ln>
              <a:effectLst/>
            </c:spPr>
            <c:extLst>
              <c:ext xmlns:c16="http://schemas.microsoft.com/office/drawing/2014/chart" uri="{C3380CC4-5D6E-409C-BE32-E72D297353CC}">
                <c16:uniqueId val="{0000002A-15C5-4CF9-A126-8061EA1D968F}"/>
              </c:ext>
            </c:extLst>
          </c:dPt>
          <c:dPt>
            <c:idx val="15"/>
            <c:invertIfNegative val="0"/>
            <c:bubble3D val="0"/>
            <c:spPr>
              <a:solidFill>
                <a:srgbClr val="C00000"/>
              </a:solidFill>
              <a:ln>
                <a:noFill/>
              </a:ln>
              <a:effectLst/>
            </c:spPr>
            <c:extLst>
              <c:ext xmlns:c16="http://schemas.microsoft.com/office/drawing/2014/chart" uri="{C3380CC4-5D6E-409C-BE32-E72D297353CC}">
                <c16:uniqueId val="{0000002B-15C5-4CF9-A126-8061EA1D968F}"/>
              </c:ext>
            </c:extLst>
          </c:dPt>
          <c:dPt>
            <c:idx val="16"/>
            <c:invertIfNegative val="0"/>
            <c:bubble3D val="0"/>
            <c:spPr>
              <a:solidFill>
                <a:srgbClr val="C00000"/>
              </a:solidFill>
              <a:ln>
                <a:noFill/>
              </a:ln>
              <a:effectLst/>
            </c:spPr>
            <c:extLst>
              <c:ext xmlns:c16="http://schemas.microsoft.com/office/drawing/2014/chart" uri="{C3380CC4-5D6E-409C-BE32-E72D297353CC}">
                <c16:uniqueId val="{0000002C-15C5-4CF9-A126-8061EA1D968F}"/>
              </c:ext>
            </c:extLst>
          </c:dPt>
          <c:dPt>
            <c:idx val="17"/>
            <c:invertIfNegative val="0"/>
            <c:bubble3D val="0"/>
            <c:spPr>
              <a:solidFill>
                <a:srgbClr val="C00000"/>
              </a:solidFill>
              <a:ln>
                <a:noFill/>
              </a:ln>
              <a:effectLst/>
            </c:spPr>
            <c:extLst>
              <c:ext xmlns:c16="http://schemas.microsoft.com/office/drawing/2014/chart" uri="{C3380CC4-5D6E-409C-BE32-E72D297353CC}">
                <c16:uniqueId val="{0000002D-15C5-4CF9-A126-8061EA1D968F}"/>
              </c:ext>
            </c:extLst>
          </c:dPt>
          <c:dPt>
            <c:idx val="18"/>
            <c:invertIfNegative val="0"/>
            <c:bubble3D val="0"/>
            <c:spPr>
              <a:solidFill>
                <a:srgbClr val="C00000"/>
              </a:solidFill>
              <a:ln>
                <a:noFill/>
              </a:ln>
              <a:effectLst/>
            </c:spPr>
            <c:extLst>
              <c:ext xmlns:c16="http://schemas.microsoft.com/office/drawing/2014/chart" uri="{C3380CC4-5D6E-409C-BE32-E72D297353CC}">
                <c16:uniqueId val="{00000035-AE78-4387-9110-5162355EA1CE}"/>
              </c:ext>
            </c:extLst>
          </c:dPt>
          <c:dPt>
            <c:idx val="19"/>
            <c:invertIfNegative val="0"/>
            <c:bubble3D val="0"/>
            <c:spPr>
              <a:solidFill>
                <a:srgbClr val="C00000"/>
              </a:solidFill>
              <a:ln>
                <a:noFill/>
              </a:ln>
              <a:effectLst/>
            </c:spPr>
            <c:extLst>
              <c:ext xmlns:c16="http://schemas.microsoft.com/office/drawing/2014/chart" uri="{C3380CC4-5D6E-409C-BE32-E72D297353CC}">
                <c16:uniqueId val="{00000036-AE78-4387-9110-5162355EA1CE}"/>
              </c:ext>
            </c:extLst>
          </c:dPt>
          <c:dPt>
            <c:idx val="20"/>
            <c:invertIfNegative val="0"/>
            <c:bubble3D val="0"/>
            <c:spPr>
              <a:solidFill>
                <a:schemeClr val="bg1">
                  <a:lumMod val="50000"/>
                </a:schemeClr>
              </a:solidFill>
              <a:ln>
                <a:noFill/>
              </a:ln>
              <a:effectLst/>
            </c:spPr>
            <c:extLst>
              <c:ext xmlns:c16="http://schemas.microsoft.com/office/drawing/2014/chart" uri="{C3380CC4-5D6E-409C-BE32-E72D297353CC}">
                <c16:uniqueId val="{0000000F-45CA-4018-8A5C-C7D91A61B798}"/>
              </c:ext>
            </c:extLst>
          </c:dPt>
          <c:dPt>
            <c:idx val="21"/>
            <c:invertIfNegative val="0"/>
            <c:bubble3D val="0"/>
            <c:spPr>
              <a:solidFill>
                <a:schemeClr val="tx1"/>
              </a:solidFill>
              <a:ln>
                <a:noFill/>
              </a:ln>
              <a:effectLst/>
            </c:spPr>
            <c:extLst>
              <c:ext xmlns:c16="http://schemas.microsoft.com/office/drawing/2014/chart" uri="{C3380CC4-5D6E-409C-BE32-E72D297353CC}">
                <c16:uniqueId val="{0000000E-45CA-4018-8A5C-C7D91A61B798}"/>
              </c:ext>
            </c:extLst>
          </c:dPt>
          <c:dPt>
            <c:idx val="22"/>
            <c:invertIfNegative val="0"/>
            <c:bubble3D val="0"/>
            <c:spPr>
              <a:solidFill>
                <a:schemeClr val="tx1"/>
              </a:solidFill>
              <a:ln>
                <a:noFill/>
              </a:ln>
              <a:effectLst/>
            </c:spPr>
            <c:extLst>
              <c:ext xmlns:c16="http://schemas.microsoft.com/office/drawing/2014/chart" uri="{C3380CC4-5D6E-409C-BE32-E72D297353CC}">
                <c16:uniqueId val="{0000000D-45CA-4018-8A5C-C7D91A61B798}"/>
              </c:ext>
            </c:extLst>
          </c:dPt>
          <c:dPt>
            <c:idx val="23"/>
            <c:invertIfNegative val="0"/>
            <c:bubble3D val="0"/>
            <c:spPr>
              <a:solidFill>
                <a:schemeClr val="tx1"/>
              </a:solidFill>
              <a:ln>
                <a:noFill/>
              </a:ln>
              <a:effectLst/>
            </c:spPr>
            <c:extLst>
              <c:ext xmlns:c16="http://schemas.microsoft.com/office/drawing/2014/chart" uri="{C3380CC4-5D6E-409C-BE32-E72D297353CC}">
                <c16:uniqueId val="{00000015-E42F-428B-802F-3B6F8ADE344D}"/>
              </c:ext>
            </c:extLst>
          </c:dPt>
          <c:dPt>
            <c:idx val="24"/>
            <c:invertIfNegative val="0"/>
            <c:bubble3D val="0"/>
            <c:spPr>
              <a:solidFill>
                <a:schemeClr val="tx1"/>
              </a:solidFill>
              <a:ln>
                <a:noFill/>
              </a:ln>
              <a:effectLst/>
            </c:spPr>
            <c:extLst>
              <c:ext xmlns:c16="http://schemas.microsoft.com/office/drawing/2014/chart" uri="{C3380CC4-5D6E-409C-BE32-E72D297353CC}">
                <c16:uniqueId val="{0000000A-45CA-4018-8A5C-C7D91A61B798}"/>
              </c:ext>
            </c:extLst>
          </c:dPt>
          <c:dPt>
            <c:idx val="25"/>
            <c:invertIfNegative val="0"/>
            <c:bubble3D val="0"/>
            <c:spPr>
              <a:solidFill>
                <a:schemeClr val="tx1"/>
              </a:solidFill>
              <a:ln>
                <a:noFill/>
              </a:ln>
              <a:effectLst/>
            </c:spPr>
            <c:extLst>
              <c:ext xmlns:c16="http://schemas.microsoft.com/office/drawing/2014/chart" uri="{C3380CC4-5D6E-409C-BE32-E72D297353CC}">
                <c16:uniqueId val="{00000009-45CA-4018-8A5C-C7D91A61B798}"/>
              </c:ext>
            </c:extLst>
          </c:dPt>
          <c:dPt>
            <c:idx val="26"/>
            <c:invertIfNegative val="0"/>
            <c:bubble3D val="0"/>
            <c:spPr>
              <a:solidFill>
                <a:srgbClr val="C00000"/>
              </a:solidFill>
              <a:ln>
                <a:noFill/>
              </a:ln>
              <a:effectLst/>
            </c:spPr>
            <c:extLst>
              <c:ext xmlns:c16="http://schemas.microsoft.com/office/drawing/2014/chart" uri="{C3380CC4-5D6E-409C-BE32-E72D297353CC}">
                <c16:uniqueId val="{0000000B-45CA-4018-8A5C-C7D91A61B798}"/>
              </c:ext>
            </c:extLst>
          </c:dPt>
          <c:dPt>
            <c:idx val="27"/>
            <c:invertIfNegative val="0"/>
            <c:bubble3D val="0"/>
            <c:spPr>
              <a:solidFill>
                <a:srgbClr val="C00000"/>
              </a:solidFill>
              <a:ln>
                <a:noFill/>
              </a:ln>
              <a:effectLst/>
            </c:spPr>
            <c:extLst>
              <c:ext xmlns:c16="http://schemas.microsoft.com/office/drawing/2014/chart" uri="{C3380CC4-5D6E-409C-BE32-E72D297353CC}">
                <c16:uniqueId val="{00000008-45CA-4018-8A5C-C7D91A61B798}"/>
              </c:ext>
            </c:extLst>
          </c:dPt>
          <c:dPt>
            <c:idx val="28"/>
            <c:invertIfNegative val="0"/>
            <c:bubble3D val="0"/>
            <c:spPr>
              <a:solidFill>
                <a:srgbClr val="C00000"/>
              </a:solidFill>
              <a:ln>
                <a:noFill/>
              </a:ln>
              <a:effectLst/>
            </c:spPr>
            <c:extLst>
              <c:ext xmlns:c16="http://schemas.microsoft.com/office/drawing/2014/chart" uri="{C3380CC4-5D6E-409C-BE32-E72D297353CC}">
                <c16:uniqueId val="{0000000C-45CA-4018-8A5C-C7D91A61B798}"/>
              </c:ext>
            </c:extLst>
          </c:dPt>
          <c:dPt>
            <c:idx val="29"/>
            <c:invertIfNegative val="0"/>
            <c:bubble3D val="0"/>
            <c:spPr>
              <a:solidFill>
                <a:srgbClr val="C00000"/>
              </a:solidFill>
              <a:ln>
                <a:noFill/>
              </a:ln>
              <a:effectLst/>
            </c:spPr>
            <c:extLst>
              <c:ext xmlns:c16="http://schemas.microsoft.com/office/drawing/2014/chart" uri="{C3380CC4-5D6E-409C-BE32-E72D297353CC}">
                <c16:uniqueId val="{00000007-45CA-4018-8A5C-C7D91A61B798}"/>
              </c:ext>
            </c:extLst>
          </c:dPt>
          <c:dPt>
            <c:idx val="30"/>
            <c:invertIfNegative val="0"/>
            <c:bubble3D val="0"/>
            <c:spPr>
              <a:solidFill>
                <a:srgbClr val="C00000"/>
              </a:solidFill>
              <a:ln>
                <a:noFill/>
              </a:ln>
              <a:effectLst/>
            </c:spPr>
            <c:extLst>
              <c:ext xmlns:c16="http://schemas.microsoft.com/office/drawing/2014/chart" uri="{C3380CC4-5D6E-409C-BE32-E72D297353CC}">
                <c16:uniqueId val="{00000013-D68E-4191-8C49-7635405731D1}"/>
              </c:ext>
            </c:extLst>
          </c:dPt>
          <c:dPt>
            <c:idx val="31"/>
            <c:invertIfNegative val="0"/>
            <c:bubble3D val="0"/>
            <c:spPr>
              <a:solidFill>
                <a:srgbClr val="C00000"/>
              </a:solidFill>
              <a:ln>
                <a:noFill/>
              </a:ln>
              <a:effectLst/>
            </c:spPr>
            <c:extLst>
              <c:ext xmlns:c16="http://schemas.microsoft.com/office/drawing/2014/chart" uri="{C3380CC4-5D6E-409C-BE32-E72D297353CC}">
                <c16:uniqueId val="{00000017-D7E6-45C6-BD44-9DAF6A5B6F82}"/>
              </c:ext>
            </c:extLst>
          </c:dPt>
          <c:dPt>
            <c:idx val="32"/>
            <c:invertIfNegative val="0"/>
            <c:bubble3D val="0"/>
            <c:spPr>
              <a:solidFill>
                <a:srgbClr val="C00000"/>
              </a:solidFill>
              <a:ln>
                <a:noFill/>
              </a:ln>
              <a:effectLst/>
            </c:spPr>
            <c:extLst>
              <c:ext xmlns:c16="http://schemas.microsoft.com/office/drawing/2014/chart" uri="{C3380CC4-5D6E-409C-BE32-E72D297353CC}">
                <c16:uniqueId val="{00000018-D7E6-45C6-BD44-9DAF6A5B6F82}"/>
              </c:ext>
            </c:extLst>
          </c:dPt>
          <c:dPt>
            <c:idx val="33"/>
            <c:invertIfNegative val="0"/>
            <c:bubble3D val="0"/>
            <c:spPr>
              <a:solidFill>
                <a:srgbClr val="C00000"/>
              </a:solidFill>
              <a:ln>
                <a:noFill/>
              </a:ln>
              <a:effectLst/>
            </c:spPr>
            <c:extLst>
              <c:ext xmlns:c16="http://schemas.microsoft.com/office/drawing/2014/chart" uri="{C3380CC4-5D6E-409C-BE32-E72D297353CC}">
                <c16:uniqueId val="{0000001D-B20F-4A15-8DC8-56B8EB5F98BA}"/>
              </c:ext>
            </c:extLst>
          </c:dPt>
          <c:dPt>
            <c:idx val="34"/>
            <c:invertIfNegative val="0"/>
            <c:bubble3D val="0"/>
            <c:spPr>
              <a:solidFill>
                <a:srgbClr val="C00000"/>
              </a:solidFill>
              <a:ln>
                <a:noFill/>
              </a:ln>
              <a:effectLst/>
            </c:spPr>
            <c:extLst>
              <c:ext xmlns:c16="http://schemas.microsoft.com/office/drawing/2014/chart" uri="{C3380CC4-5D6E-409C-BE32-E72D297353CC}">
                <c16:uniqueId val="{0000001C-B20F-4A15-8DC8-56B8EB5F98BA}"/>
              </c:ext>
            </c:extLst>
          </c:dPt>
          <c:dPt>
            <c:idx val="35"/>
            <c:invertIfNegative val="0"/>
            <c:bubble3D val="0"/>
            <c:spPr>
              <a:solidFill>
                <a:srgbClr val="C00000"/>
              </a:solidFill>
              <a:ln>
                <a:noFill/>
              </a:ln>
              <a:effectLst/>
            </c:spPr>
            <c:extLst>
              <c:ext xmlns:c16="http://schemas.microsoft.com/office/drawing/2014/chart" uri="{C3380CC4-5D6E-409C-BE32-E72D297353CC}">
                <c16:uniqueId val="{0000001E-B20F-4A15-8DC8-56B8EB5F98BA}"/>
              </c:ext>
            </c:extLst>
          </c:dPt>
          <c:dPt>
            <c:idx val="36"/>
            <c:invertIfNegative val="0"/>
            <c:bubble3D val="0"/>
            <c:spPr>
              <a:solidFill>
                <a:srgbClr val="C00000"/>
              </a:solidFill>
              <a:ln>
                <a:noFill/>
              </a:ln>
              <a:effectLst/>
            </c:spPr>
            <c:extLst>
              <c:ext xmlns:c16="http://schemas.microsoft.com/office/drawing/2014/chart" uri="{C3380CC4-5D6E-409C-BE32-E72D297353CC}">
                <c16:uniqueId val="{0000001B-B20F-4A15-8DC8-56B8EB5F98BA}"/>
              </c:ext>
            </c:extLst>
          </c:dPt>
          <c:dPt>
            <c:idx val="37"/>
            <c:invertIfNegative val="0"/>
            <c:bubble3D val="0"/>
            <c:spPr>
              <a:solidFill>
                <a:srgbClr val="C00000"/>
              </a:solidFill>
              <a:ln>
                <a:noFill/>
              </a:ln>
              <a:effectLst/>
            </c:spPr>
            <c:extLst>
              <c:ext xmlns:c16="http://schemas.microsoft.com/office/drawing/2014/chart" uri="{C3380CC4-5D6E-409C-BE32-E72D297353CC}">
                <c16:uniqueId val="{00000023-8CC3-4E54-9960-0F980A27CEC9}"/>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24-8CC3-4E54-9960-0F980A27CEC9}"/>
              </c:ext>
            </c:extLst>
          </c:dPt>
          <c:dLbls>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mn-lt"/>
                    <a:ea typeface="+mn-ea"/>
                    <a:cs typeface="+mn-cs"/>
                  </a:defRPr>
                </a:pPr>
                <a:endParaRPr lang="tr-T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'Özet Tablo'!$V$1:$V$21</c:f>
              <c:strCache>
                <c:ptCount val="21"/>
                <c:pt idx="0">
                  <c:v>Normal Çalışma</c:v>
                </c:pt>
                <c:pt idx="1">
                  <c:v>Kıdem Yardımı</c:v>
                </c:pt>
                <c:pt idx="2">
                  <c:v>Fazla Çalışma (Gündüz / Gece)</c:v>
                </c:pt>
                <c:pt idx="3">
                  <c:v>Resmi Tatillerde Çalışma</c:v>
                </c:pt>
                <c:pt idx="4">
                  <c:v>Gece Çalışma</c:v>
                </c:pt>
                <c:pt idx="5">
                  <c:v>Yemek Yardımı</c:v>
                </c:pt>
                <c:pt idx="6">
                  <c:v>Ulaşım Yardımı</c:v>
                </c:pt>
                <c:pt idx="7">
                  <c:v>İkramiye Yardımı</c:v>
                </c:pt>
                <c:pt idx="8">
                  <c:v>Sosyal Yardım</c:v>
                </c:pt>
                <c:pt idx="9">
                  <c:v>Yakacak Yardımı</c:v>
                </c:pt>
                <c:pt idx="10">
                  <c:v>Görev Primi</c:v>
                </c:pt>
                <c:pt idx="11">
                  <c:v>Aile Yardımı (Eş İçin)</c:v>
                </c:pt>
                <c:pt idx="12">
                  <c:v>Aile Yardımı (Çocuk İçin)</c:v>
                </c:pt>
                <c:pt idx="13">
                  <c:v>Nakdi Yardımlar</c:v>
                </c:pt>
                <c:pt idx="14">
                  <c:v>Sendika Üyelik Aidatı Kesintisi</c:v>
                </c:pt>
                <c:pt idx="15">
                  <c:v>BES Kesintisi</c:v>
                </c:pt>
                <c:pt idx="16">
                  <c:v>Damga Vergisi Kesintisi</c:v>
                </c:pt>
                <c:pt idx="17">
                  <c:v>SGK Prim Kesintisi</c:v>
                </c:pt>
                <c:pt idx="18">
                  <c:v>SGK İşsizlik Primi Kesintisi</c:v>
                </c:pt>
                <c:pt idx="19">
                  <c:v>Gelir Vergisi Kesintisi</c:v>
                </c:pt>
                <c:pt idx="20">
                  <c:v>İşveren Maliyeti</c:v>
                </c:pt>
              </c:strCache>
            </c:strRef>
          </c:cat>
          <c:val>
            <c:numRef>
              <c:f>'Özet Tablo'!$W$1:$W$21</c:f>
              <c:numCache>
                <c:formatCode>#,##0.00\ "₺"</c:formatCode>
                <c:ptCount val="21"/>
                <c:pt idx="0">
                  <c:v>56279.862100810584</c:v>
                </c:pt>
                <c:pt idx="1">
                  <c:v>0</c:v>
                </c:pt>
                <c:pt idx="2">
                  <c:v>0</c:v>
                </c:pt>
                <c:pt idx="3">
                  <c:v>0</c:v>
                </c:pt>
                <c:pt idx="4">
                  <c:v>0</c:v>
                </c:pt>
                <c:pt idx="5">
                  <c:v>10054.279827512655</c:v>
                </c:pt>
                <c:pt idx="6">
                  <c:v>6988.8</c:v>
                </c:pt>
                <c:pt idx="7">
                  <c:v>17185.308451470555</c:v>
                </c:pt>
                <c:pt idx="8">
                  <c:v>6157.1129101076149</c:v>
                </c:pt>
                <c:pt idx="9">
                  <c:v>3078.5166418439153</c:v>
                </c:pt>
                <c:pt idx="10">
                  <c:v>0</c:v>
                </c:pt>
                <c:pt idx="11">
                  <c:v>0</c:v>
                </c:pt>
                <c:pt idx="12">
                  <c:v>0</c:v>
                </c:pt>
                <c:pt idx="13">
                  <c:v>0</c:v>
                </c:pt>
                <c:pt idx="14">
                  <c:v>2519.748</c:v>
                </c:pt>
                <c:pt idx="15">
                  <c:v>0</c:v>
                </c:pt>
                <c:pt idx="16">
                  <c:v>592.41437640000015</c:v>
                </c:pt>
                <c:pt idx="17">
                  <c:v>19079.13</c:v>
                </c:pt>
                <c:pt idx="18">
                  <c:v>1362.7950000000003</c:v>
                </c:pt>
                <c:pt idx="19">
                  <c:v>14957.97</c:v>
                </c:pt>
                <c:pt idx="20">
                  <c:v>171140.78340000001</c:v>
                </c:pt>
              </c:numCache>
            </c:numRef>
          </c:val>
          <c:extLst>
            <c:ext xmlns:c16="http://schemas.microsoft.com/office/drawing/2014/chart" uri="{C3380CC4-5D6E-409C-BE32-E72D297353CC}">
              <c16:uniqueId val="{00000000-755B-478D-AB69-BF223AA4AC7C}"/>
            </c:ext>
          </c:extLst>
        </c:ser>
        <c:dLbls>
          <c:dLblPos val="outEnd"/>
          <c:showLegendKey val="0"/>
          <c:showVal val="1"/>
          <c:showCatName val="0"/>
          <c:showSerName val="0"/>
          <c:showPercent val="0"/>
          <c:showBubbleSize val="0"/>
        </c:dLbls>
        <c:gapWidth val="182"/>
        <c:axId val="552148752"/>
        <c:axId val="552147112"/>
      </c:barChart>
      <c:catAx>
        <c:axId val="552148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tr-TR"/>
          </a:p>
        </c:txPr>
        <c:crossAx val="552147112"/>
        <c:crosses val="autoZero"/>
        <c:auto val="1"/>
        <c:lblAlgn val="ctr"/>
        <c:lblOffset val="100"/>
        <c:tickMarkSkip val="1"/>
        <c:noMultiLvlLbl val="0"/>
      </c:catAx>
      <c:valAx>
        <c:axId val="552147112"/>
        <c:scaling>
          <c:orientation val="minMax"/>
        </c:scaling>
        <c:delete val="1"/>
        <c:axPos val="t"/>
        <c:numFmt formatCode="#,##0.00\ &quot;₺&quot;" sourceLinked="1"/>
        <c:majorTickMark val="out"/>
        <c:minorTickMark val="none"/>
        <c:tickLblPos val="nextTo"/>
        <c:crossAx val="5521487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600"/>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plosion val="4"/>
            <c:spPr>
              <a:solidFill>
                <a:schemeClr val="tx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D9F-40F4-A256-823C9FF01F41}"/>
              </c:ext>
            </c:extLst>
          </c:dPt>
          <c:dPt>
            <c:idx val="1"/>
            <c:bubble3D val="0"/>
            <c:explosion val="5"/>
            <c:spPr>
              <a:solidFill>
                <a:srgbClr val="C00000"/>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D9F-40F4-A256-823C9FF01F41}"/>
              </c:ext>
            </c:extLst>
          </c:dPt>
          <c:dLbls>
            <c:dLbl>
              <c:idx val="0"/>
              <c:layout>
                <c:manualLayout>
                  <c:x val="0"/>
                  <c:y val="-0.2727330235099843"/>
                </c:manualLayout>
              </c:layout>
              <c:tx>
                <c:rich>
                  <a:bodyPr rot="0" spcFirstLastPara="1" vertOverflow="ellipsis" vert="horz" wrap="square" lIns="0" tIns="0" rIns="0" bIns="0" anchor="ctr" anchorCtr="0">
                    <a:noAutofit/>
                  </a:bodyPr>
                  <a:lstStyle/>
                  <a:p>
                    <a:pPr lvl="1" algn="ctr" rtl="0">
                      <a:defRPr sz="2000" b="1" i="0" u="none" strike="noStrike" kern="1200" baseline="0">
                        <a:solidFill>
                          <a:sysClr val="windowText" lastClr="000000"/>
                        </a:solidFill>
                        <a:latin typeface="+mn-lt"/>
                        <a:ea typeface="+mn-ea"/>
                        <a:cs typeface="+mn-cs"/>
                      </a:defRPr>
                    </a:pPr>
                    <a:r>
                      <a:rPr lang="en-US" sz="2000" i="0" u="sng" baseline="0">
                        <a:solidFill>
                          <a:sysClr val="windowText" lastClr="000000"/>
                        </a:solidFill>
                      </a:rPr>
                      <a:t>Kazançlar</a:t>
                    </a:r>
                  </a:p>
                  <a:p>
                    <a:pPr lvl="1" algn="ctr" rtl="0">
                      <a:defRPr sz="2000" b="1" i="0" u="none" strike="noStrike" kern="1200" baseline="0">
                        <a:solidFill>
                          <a:sysClr val="windowText" lastClr="000000"/>
                        </a:solidFill>
                        <a:latin typeface="+mn-lt"/>
                        <a:ea typeface="+mn-ea"/>
                        <a:cs typeface="+mn-cs"/>
                      </a:defRPr>
                    </a:pPr>
                    <a:fld id="{18CB9E8E-A975-43C0-A56F-BEEBC923E687}" type="VALU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[DEĞER]</a:t>
                    </a:fld>
                    <a:endParaRPr lang="en-US" sz="2000" i="0" baseline="0">
                      <a:solidFill>
                        <a:sysClr val="windowText" lastClr="000000"/>
                      </a:solidFill>
                    </a:endParaRPr>
                  </a:p>
                  <a:p>
                    <a:pPr lvl="1" algn="ctr" rtl="0">
                      <a:defRPr sz="2000" b="1" i="0" u="none" strike="noStrike" kern="1200" baseline="0">
                        <a:solidFill>
                          <a:sysClr val="windowText" lastClr="000000"/>
                        </a:solidFill>
                        <a:latin typeface="+mn-lt"/>
                        <a:ea typeface="+mn-ea"/>
                        <a:cs typeface="+mn-cs"/>
                      </a:defRPr>
                    </a:pPr>
                    <a:fld id="{ED1D6583-AC77-4CB8-8AE1-8BB6A6F10BE5}" type="PERCENTAGE">
                      <a:rPr lang="en-US" sz="2000" i="0">
                        <a:solidFill>
                          <a:sysClr val="windowText" lastClr="000000"/>
                        </a:solidFill>
                      </a:rPr>
                      <a:pPr lvl="1" algn="ctr" rtl="0">
                        <a:defRPr sz="2000" b="1" i="0" u="none" strike="noStrike" kern="1200" baseline="0">
                          <a:solidFill>
                            <a:sysClr val="windowText" lastClr="0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2"/>
                    </c:manualLayout>
                  </c15:layout>
                  <c15:dlblFieldTable/>
                  <c15:showDataLabelsRange val="0"/>
                </c:ext>
                <c:ext xmlns:c16="http://schemas.microsoft.com/office/drawing/2014/chart" uri="{C3380CC4-5D6E-409C-BE32-E72D297353CC}">
                  <c16:uniqueId val="{00000001-5D9F-40F4-A256-823C9FF01F41}"/>
                </c:ext>
              </c:extLst>
            </c:dLbl>
            <c:dLbl>
              <c:idx val="1"/>
              <c:layout>
                <c:manualLayout>
                  <c:x val="0"/>
                  <c:y val="0.28660887761598208"/>
                </c:manualLayout>
              </c:layout>
              <c:tx>
                <c:rich>
                  <a:bodyPr rot="0" spcFirstLastPara="1" vertOverflow="ellipsis" vert="horz" wrap="square" lIns="0" tIns="0" rIns="0" bIns="0" anchor="t" anchorCtr="0">
                    <a:noAutofit/>
                  </a:bodyPr>
                  <a:lstStyle/>
                  <a:p>
                    <a:pPr lvl="1" algn="ctr" rtl="0">
                      <a:defRPr sz="2000" b="1" i="0" u="none" strike="noStrike" kern="1200" baseline="0">
                        <a:solidFill>
                          <a:srgbClr val="C00000"/>
                        </a:solidFill>
                        <a:latin typeface="+mn-lt"/>
                        <a:ea typeface="+mn-ea"/>
                        <a:cs typeface="+mn-cs"/>
                      </a:defRPr>
                    </a:pPr>
                    <a:r>
                      <a:rPr lang="en-US" sz="2000" b="1" i="0" u="sng" strike="noStrike" baseline="0">
                        <a:solidFill>
                          <a:srgbClr val="C00000"/>
                        </a:solidFill>
                      </a:rPr>
                      <a:t>Kesintiler</a:t>
                    </a:r>
                    <a:br>
                      <a:rPr lang="en-US" sz="2000" b="1" i="0" u="none" strike="noStrike" baseline="0">
                        <a:solidFill>
                          <a:srgbClr val="C00000"/>
                        </a:solidFill>
                      </a:rPr>
                    </a:br>
                    <a:fld id="{D48269F3-90DB-4B96-9E27-A88140910F88}" type="VALUE">
                      <a:rPr lang="en-US" sz="2000">
                        <a:solidFill>
                          <a:srgbClr val="C00000"/>
                        </a:solidFill>
                      </a:rPr>
                      <a:pPr lvl="1" algn="ctr" rtl="0">
                        <a:defRPr sz="2000" b="1" i="0" u="none" strike="noStrike" kern="1200" baseline="0">
                          <a:solidFill>
                            <a:srgbClr val="C00000"/>
                          </a:solidFill>
                          <a:latin typeface="+mn-lt"/>
                          <a:ea typeface="+mn-ea"/>
                          <a:cs typeface="+mn-cs"/>
                        </a:defRPr>
                      </a:pPr>
                      <a:t>[DEĞER]</a:t>
                    </a:fld>
                    <a:endParaRPr lang="en-US" sz="2000" baseline="0">
                      <a:solidFill>
                        <a:srgbClr val="C00000"/>
                      </a:solidFill>
                    </a:endParaRPr>
                  </a:p>
                  <a:p>
                    <a:pPr lvl="1" algn="ctr" rtl="0">
                      <a:defRPr sz="2000" b="1" i="0" u="none" strike="noStrike" kern="1200" baseline="0">
                        <a:solidFill>
                          <a:srgbClr val="C00000"/>
                        </a:solidFill>
                        <a:latin typeface="+mn-lt"/>
                        <a:ea typeface="+mn-ea"/>
                        <a:cs typeface="+mn-cs"/>
                      </a:defRPr>
                    </a:pPr>
                    <a:fld id="{C4F91586-97B1-4B5B-B426-9B699746C01D}" type="PERCENTAGE">
                      <a:rPr lang="en-US" sz="2000">
                        <a:solidFill>
                          <a:srgbClr val="C00000"/>
                        </a:solidFill>
                      </a:rPr>
                      <a:pPr lvl="1" algn="ctr" rtl="0">
                        <a:defRPr sz="2000" b="1" i="0" u="none" strike="noStrike" kern="1200" baseline="0">
                          <a:solidFill>
                            <a:srgbClr val="C00000"/>
                          </a:solidFill>
                          <a:latin typeface="+mn-lt"/>
                          <a:ea typeface="+mn-ea"/>
                          <a:cs typeface="+mn-cs"/>
                        </a:defRPr>
                      </a:pPr>
                      <a:t>[YÜZDE]</a:t>
                    </a:fld>
                    <a:endParaRPr lang="tr-TR"/>
                  </a:p>
                </c:rich>
              </c:tx>
              <c:numFmt formatCode="%\ 0.00" sourceLinked="0"/>
              <c:spPr>
                <a:noFill/>
                <a:ln>
                  <a:noFill/>
                </a:ln>
                <a:effectLst/>
              </c:spPr>
              <c:dLblPos val="bestFit"/>
              <c:showLegendKey val="0"/>
              <c:showVal val="0"/>
              <c:showCatName val="0"/>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1"/>
                      <c:h val="0.18251962962962964"/>
                    </c:manualLayout>
                  </c15:layout>
                  <c15:dlblFieldTable/>
                  <c15:showDataLabelsRange val="0"/>
                </c:ext>
                <c:ext xmlns:c16="http://schemas.microsoft.com/office/drawing/2014/chart" uri="{C3380CC4-5D6E-409C-BE32-E72D297353CC}">
                  <c16:uniqueId val="{00000003-5D9F-40F4-A256-823C9FF01F41}"/>
                </c:ext>
              </c:extLst>
            </c:dLbl>
            <c:numFmt formatCode="%\ 0.00" sourceLinked="0"/>
            <c:spPr>
              <a:noFill/>
              <a:ln>
                <a:noFill/>
              </a:ln>
              <a:effectLst/>
            </c:spPr>
            <c:txPr>
              <a:bodyPr rot="0" spcFirstLastPara="1" vertOverflow="ellipsis" vert="horz" wrap="square" lIns="0" tIns="0" rIns="0" bIns="0" anchor="ctr" anchorCtr="0">
                <a:spAutoFit/>
              </a:bodyPr>
              <a:lstStyle/>
              <a:p>
                <a:pPr algn="ctr">
                  <a:defRPr sz="1300" b="1" i="0" u="none" strike="noStrike" kern="1200" baseline="0">
                    <a:solidFill>
                      <a:schemeClr val="lt1"/>
                    </a:solidFill>
                    <a:latin typeface="+mn-lt"/>
                    <a:ea typeface="+mn-ea"/>
                    <a:cs typeface="+mn-cs"/>
                  </a:defRPr>
                </a:pPr>
                <a:endParaRPr lang="tr-TR"/>
              </a:p>
            </c:txPr>
            <c:dLblPos val="ctr"/>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'Özet Tablo'!$V$22:$V$23</c:f>
              <c:strCache>
                <c:ptCount val="2"/>
                <c:pt idx="0">
                  <c:v>Kazançlar</c:v>
                </c:pt>
                <c:pt idx="1">
                  <c:v>Kesintiler</c:v>
                </c:pt>
              </c:strCache>
            </c:strRef>
          </c:cat>
          <c:val>
            <c:numRef>
              <c:f>'Özet Tablo'!$W$22:$W$23</c:f>
              <c:numCache>
                <c:formatCode>#,##0.00\ "₺"</c:formatCode>
                <c:ptCount val="2"/>
                <c:pt idx="0">
                  <c:v>101401.1026236</c:v>
                </c:pt>
                <c:pt idx="1">
                  <c:v>45500.857376400018</c:v>
                </c:pt>
              </c:numCache>
            </c:numRef>
          </c:val>
          <c:extLst>
            <c:ext xmlns:c16="http://schemas.microsoft.com/office/drawing/2014/chart" uri="{C3380CC4-5D6E-409C-BE32-E72D297353CC}">
              <c16:uniqueId val="{00000004-5D9F-40F4-A256-823C9FF01F41}"/>
            </c:ext>
          </c:extLst>
        </c:ser>
        <c:dLbls>
          <c:dLblPos val="inEnd"/>
          <c:showLegendKey val="0"/>
          <c:showVal val="1"/>
          <c:showCatName val="1"/>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no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25</xdr:col>
      <xdr:colOff>53463</xdr:colOff>
      <xdr:row>0</xdr:row>
      <xdr:rowOff>70921</xdr:rowOff>
    </xdr:from>
    <xdr:to>
      <xdr:col>25</xdr:col>
      <xdr:colOff>7290954</xdr:colOff>
      <xdr:row>27</xdr:row>
      <xdr:rowOff>398319</xdr:rowOff>
    </xdr:to>
    <xdr:graphicFrame macro="">
      <xdr:nvGraphicFramePr>
        <xdr:cNvPr id="7" name="Grafik 6">
          <a:extLst>
            <a:ext uri="{FF2B5EF4-FFF2-40B4-BE49-F238E27FC236}">
              <a16:creationId xmlns:a16="http://schemas.microsoft.com/office/drawing/2014/main" id="{80F8C963-D5D5-4BCD-8610-182E47B88E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25</xdr:col>
      <xdr:colOff>4966692</xdr:colOff>
      <xdr:row>8</xdr:row>
      <xdr:rowOff>125886</xdr:rowOff>
    </xdr:from>
    <xdr:to>
      <xdr:col>25</xdr:col>
      <xdr:colOff>7306692</xdr:colOff>
      <xdr:row>19</xdr:row>
      <xdr:rowOff>5969</xdr:rowOff>
    </xdr:to>
    <xdr:graphicFrame macro="">
      <xdr:nvGraphicFramePr>
        <xdr:cNvPr id="3" name="Grafik 2">
          <a:extLst>
            <a:ext uri="{FF2B5EF4-FFF2-40B4-BE49-F238E27FC236}">
              <a16:creationId xmlns:a16="http://schemas.microsoft.com/office/drawing/2014/main" id="{7ADA3213-C9FB-42E9-8CD0-901898DBDF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PrintsWithSheet="0"/>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TF363"/>
  <sheetViews>
    <sheetView showGridLines="0" showRowColHeaders="0" tabSelected="1" showWhiteSpace="0" zoomScale="40" zoomScaleNormal="40" zoomScaleSheetLayoutView="40" zoomScalePageLayoutView="55" workbookViewId="0">
      <pane xSplit="2" topLeftCell="C1" activePane="topRight" state="frozen"/>
      <selection pane="topRight" sqref="A1:A14"/>
    </sheetView>
  </sheetViews>
  <sheetFormatPr defaultColWidth="0" defaultRowHeight="0" customHeight="1" zeroHeight="1" x14ac:dyDescent="0.25"/>
  <cols>
    <col min="1" max="18" width="12.7109375" style="2" customWidth="1"/>
    <col min="19" max="21" width="20.7109375" style="2" customWidth="1"/>
    <col min="22" max="24" width="0.140625" style="19" customWidth="1"/>
    <col min="25" max="25" width="5.7109375" style="12" customWidth="1"/>
    <col min="26" max="26" width="110.7109375" style="2" customWidth="1"/>
    <col min="27" max="28" width="100.7109375" style="75" hidden="1" customWidth="1"/>
    <col min="29" max="30" width="5.7109375" style="12" customWidth="1"/>
    <col min="31" max="31" width="80.7109375" style="12" customWidth="1"/>
    <col min="32" max="32" width="5.7109375" style="12" customWidth="1"/>
    <col min="33" max="127" width="5.7109375" style="24" hidden="1" customWidth="1"/>
    <col min="128" max="130" width="20.7109375" style="24" hidden="1" customWidth="1"/>
    <col min="131" max="131" width="1.7109375" style="2" customWidth="1"/>
    <col min="132" max="526" width="0" style="2" hidden="1" customWidth="1"/>
    <col min="527" max="16384" width="5.7109375" style="2" hidden="1"/>
  </cols>
  <sheetData>
    <row r="1" spans="1:131" ht="39.950000000000003" customHeight="1" x14ac:dyDescent="0.25">
      <c r="A1" s="70" t="s">
        <v>99</v>
      </c>
      <c r="B1" s="71">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C1" s="57" t="s">
        <v>55</v>
      </c>
      <c r="D1" s="57" t="s">
        <v>56</v>
      </c>
      <c r="E1" s="72" t="s">
        <v>110</v>
      </c>
      <c r="F1" s="72" t="s">
        <v>57</v>
      </c>
      <c r="G1" s="57" t="s">
        <v>58</v>
      </c>
      <c r="H1" s="57" t="s">
        <v>128</v>
      </c>
      <c r="I1" s="57" t="s">
        <v>111</v>
      </c>
      <c r="J1" s="74" t="s">
        <v>118</v>
      </c>
      <c r="K1" s="57" t="s">
        <v>119</v>
      </c>
      <c r="L1" s="57" t="s">
        <v>120</v>
      </c>
      <c r="M1" s="57" t="s">
        <v>121</v>
      </c>
      <c r="N1" s="57" t="s">
        <v>122</v>
      </c>
      <c r="O1" s="57" t="s">
        <v>59</v>
      </c>
      <c r="P1" s="57" t="s">
        <v>59</v>
      </c>
      <c r="Q1" s="57" t="s">
        <v>59</v>
      </c>
      <c r="R1" s="57" t="s">
        <v>60</v>
      </c>
      <c r="S1" s="57" t="s">
        <v>73</v>
      </c>
      <c r="T1" s="57" t="s">
        <v>127</v>
      </c>
      <c r="U1" s="73" t="s">
        <v>71</v>
      </c>
      <c r="V1" s="15" t="s">
        <v>33</v>
      </c>
      <c r="W1" s="16">
        <f t="shared" ref="W1:W9" ca="1" si="0">IF(X1&gt;0,X1,X1*-1)</f>
        <v>56279.862100810584</v>
      </c>
      <c r="X1" s="16">
        <f ca="1">COUNTIF(Y1,"Ocak")*(AK15)
+COUNTIF(Y1,"Şubat")*(AK16)
+COUNTIF(Y1,"Mart")*(AK17)
+COUNTIF(Y1,"Nisan")*(AK18)
+COUNTIF(Y1,"Mayıs")*(AK19)
+COUNTIF(Y1,"Haziran")*(AK20)
+COUNTIF(Y1,"Temmuz")*(AK21)
+COUNTIF(Y1,"Ağustos")*(AV1)
+COUNTIF(Y1,"Eylül")*(AV2)
+COUNTIF(Y1,"Ekim")*(AV3)
+COUNTIF(Y1,"Kasım")*(AR7)
+COUNTIF(Y1,"Aralık")*(AR8)
+COUNTIF(Y1,"Yıllık Toplam")*(AR9)
+COUNTIF(Y1,"Yıllık Ortalama")*(AR10)</f>
        <v>56279.862100810584</v>
      </c>
      <c r="Y1" s="64" t="s">
        <v>53</v>
      </c>
      <c r="Z1" s="68"/>
      <c r="AA1" s="76" t="s">
        <v>26</v>
      </c>
      <c r="AB1" s="76" t="s">
        <v>74</v>
      </c>
      <c r="AC1" s="56" t="s">
        <v>43</v>
      </c>
      <c r="AD1" s="61"/>
      <c r="AE1" s="62"/>
      <c r="AF1" s="63"/>
      <c r="AG1" s="21" t="s">
        <v>76</v>
      </c>
      <c r="AH1" s="22">
        <v>309.3</v>
      </c>
      <c r="AI1" s="22">
        <v>364.9</v>
      </c>
      <c r="AJ1" s="23">
        <f>(10%)</f>
        <v>0.1</v>
      </c>
      <c r="AK1" s="24" t="s">
        <v>0</v>
      </c>
      <c r="AL1" s="25">
        <f>($AL$7*$AJ$1)</f>
        <v>500.40000000000003</v>
      </c>
      <c r="AM1" s="25">
        <f>($AM$7*$AJ$1)</f>
        <v>647.1</v>
      </c>
      <c r="AN1" s="26">
        <f>(2273)</f>
        <v>2273</v>
      </c>
      <c r="AO1" s="24" t="s">
        <v>0</v>
      </c>
      <c r="AP1" s="25">
        <f>($AN$6*$AN$1)</f>
        <v>535.16648499999997</v>
      </c>
      <c r="AQ1" s="25">
        <f>($AO$6*$AN$1)</f>
        <v>758.27961899999991</v>
      </c>
      <c r="AR1" s="24">
        <f>(1500)</f>
        <v>1500</v>
      </c>
      <c r="AS1" s="24" t="s">
        <v>0</v>
      </c>
      <c r="AT1" s="25">
        <f>($AN$6*$AR$1)</f>
        <v>353.16749999999996</v>
      </c>
      <c r="AU1" s="25">
        <f>($AO$6*$AR$1)</f>
        <v>500.40449999999998</v>
      </c>
      <c r="AV1" s="25">
        <f ca="1">(AW11*CI3)</f>
        <v>5085.6995489492838</v>
      </c>
      <c r="AW1" s="25">
        <f>(0.58*C22)</f>
        <v>0</v>
      </c>
      <c r="AX1" s="25">
        <f ca="1">(AW1*CI3)</f>
        <v>0</v>
      </c>
      <c r="AY1" s="25">
        <f>(AT11/7.5*1.6*D22)</f>
        <v>0</v>
      </c>
      <c r="AZ1" s="25">
        <f>(AR22+AV22+AW22-AX22)</f>
        <v>1067.3519999999999</v>
      </c>
      <c r="BA1" s="25">
        <f ca="1">(AZ1*DV15*-1)</f>
        <v>-160.10279999999997</v>
      </c>
      <c r="BB1" s="25">
        <f ca="1">(ROUND((BC1+BD1),2))</f>
        <v>492.54</v>
      </c>
      <c r="BC1" s="25">
        <f>(4.7*H15)</f>
        <v>488.8</v>
      </c>
      <c r="BD1" s="25">
        <f ca="1">(BB1*0.00759)</f>
        <v>3.7383786000000003</v>
      </c>
      <c r="BE1" s="25">
        <f ca="1">(ROUND((BC1+BD1),2))</f>
        <v>492.54</v>
      </c>
      <c r="BF1" s="25">
        <f ca="1">(BB1)</f>
        <v>492.54</v>
      </c>
      <c r="BG1" s="27">
        <v>0</v>
      </c>
      <c r="BH1" s="25">
        <f>(AY15*BG1)</f>
        <v>0</v>
      </c>
      <c r="BI1" s="25">
        <f ca="1">(BH1*DE11)</f>
        <v>0</v>
      </c>
      <c r="BJ1" s="27">
        <v>30</v>
      </c>
      <c r="BK1" s="25">
        <f>(773.25/30*BJ1)</f>
        <v>773.25</v>
      </c>
      <c r="BL1" s="25">
        <f ca="1">(BK1*DE11)</f>
        <v>552.80415750000009</v>
      </c>
      <c r="BM1" s="27">
        <v>30</v>
      </c>
      <c r="BN1" s="25">
        <f>(386.62/30*BM1)</f>
        <v>386.62</v>
      </c>
      <c r="BO1" s="25">
        <f ca="1">(BN1*DE11)</f>
        <v>276.39850420000005</v>
      </c>
      <c r="BP1" s="25">
        <f>COUNTIF($A$1,"1S-Çımacı / Palamarcı")*(8.28*I15)
+COUNTIF($A$1,"2S-Çımacı / Palamarcı")*(8.28*I15)
+COUNTIF($A$1,"1S-Temizlik Personeli")*(5.52*I15)
+COUNTIF($A$1,"2S-Temizlik Personeli")*(5.52*I15)</f>
        <v>0</v>
      </c>
      <c r="BQ1" s="25">
        <f ca="1">(BP1*DE11)</f>
        <v>0</v>
      </c>
      <c r="BR1" s="25">
        <f>COUNTIF(J15,"Var")*($AP$1)</f>
        <v>0</v>
      </c>
      <c r="BS1" s="25">
        <f ca="1">COUNTIF(J15,"Var")*((BR1+(BR1*0.00759*-1)+((BR1-BT1)*0.14*-1)+((BR1-BT1)*0.01*-1)+(BR1+((BR1-BT1)*0.14*-1)+((BR1-BT1)*0.01*-1))*DV15*-1))</f>
        <v>0</v>
      </c>
      <c r="BT1" s="25">
        <f>COUNTIF(J15,"Var")*($AL$1)</f>
        <v>0</v>
      </c>
      <c r="BU1" s="25">
        <f>(0)</f>
        <v>0</v>
      </c>
      <c r="BV1" s="25">
        <f>($AP$2*K15)</f>
        <v>0</v>
      </c>
      <c r="BW1" s="25">
        <f ca="1">(BV1+(BV1*0.00759*-1)+((BV1-BX1)*0.14*-1)+((BV1-BX1)*0.01*-1)+(BV1+((BV1-BX1)*0.14*-1)+((BV1-BX1)*0.01*-1))*DV15*-1)</f>
        <v>0</v>
      </c>
      <c r="BX1" s="25">
        <f>($AL$2*K15)</f>
        <v>0</v>
      </c>
      <c r="BY1" s="25">
        <f>($AL$5*K15)</f>
        <v>0</v>
      </c>
      <c r="BZ1" s="25">
        <f>($AP$3*L15)</f>
        <v>0</v>
      </c>
      <c r="CA1" s="25">
        <f ca="1">(BZ1+(BZ1*0.00759*-1)+((BZ1-CB1)*0.14*-1)+((BZ1-CB1)*0.01*-1)+(BZ1+((BZ1-CB1)*0.14*-1)+((BZ1-CB1)*0.01*-1))*DV15*-1)</f>
        <v>0</v>
      </c>
      <c r="CB1" s="25">
        <f>($AL$3*L15)</f>
        <v>0</v>
      </c>
      <c r="CC1" s="25">
        <f>($AL$6*L15)</f>
        <v>0</v>
      </c>
      <c r="CD1" s="25">
        <f>($AP$4*M15)</f>
        <v>0</v>
      </c>
      <c r="CE1" s="25">
        <f ca="1">(CD1+(CD1*0.00759*-1)+((CD1-AX26)*0.14*-1)+((CD1-AX26)*0.01*-1)+(CD1+((CD1-AX26)*0.14*-1)+((CD1-AX26)*0.01*-1))*DV15*-1)</f>
        <v>0</v>
      </c>
      <c r="CF1" s="25">
        <f>(CT16)</f>
        <v>638.01</v>
      </c>
      <c r="CG1" s="25">
        <f ca="1">(DW20+CF1)</f>
        <v>-1480.5200000000002</v>
      </c>
      <c r="CH1" s="28">
        <f t="shared" ref="CG1:DJ15" si="1">(100+(100*0.00759*-1)+(100*0.14*-1)+(100*0.01*-1))/100</f>
        <v>0.84240999999999999</v>
      </c>
      <c r="CI1" s="28">
        <f ca="1">(100+(100*0.00759*-1)+(100*0.14*-1)+(100*0.01*-1)+(100+100*0.14*-1+100*0.01*-1)*DV20*-1)/100</f>
        <v>0.67240999999999995</v>
      </c>
      <c r="CJ1" s="28">
        <f ca="1">(100+(100*0.00759*-1)+(100)*DV20*-1)/100</f>
        <v>0.79240999999999995</v>
      </c>
      <c r="CK1" s="25">
        <f ca="1">(CZ16)</f>
        <v>13135.150000000001</v>
      </c>
      <c r="CL1" s="25">
        <f ca="1">(CK1*0.205)</f>
        <v>2692.7057500000001</v>
      </c>
      <c r="CM1" s="25">
        <f ca="1">(CK1*0.01)</f>
        <v>131.35150000000002</v>
      </c>
      <c r="CY1" s="25">
        <f>(0)</f>
        <v>0</v>
      </c>
      <c r="CZ1" s="29">
        <f>(0%)</f>
        <v>0</v>
      </c>
      <c r="DB1" s="28">
        <f>IF(DA2=0,CZ2,(VLOOKUP($CZ2,$CS$2:$CV$6,2,0)-CY1)/CX2*CZ1+(CY2-VLOOKUP($CZ2,$CS$2:$CV$6,2,0))/CX2*CZ2)</f>
        <v>0.15</v>
      </c>
      <c r="DC1" s="25">
        <f>(ROUND(CX2*DB1,2)+VLOOKUP(CZ2,$CS$2:$CV$6,4,0))</f>
        <v>638.01</v>
      </c>
      <c r="DD1" s="28">
        <f>(100+(100*0.00759*-1)+(100*0.01*-1)+(100*0.01*-1)+(100+100*0.14*-1+100*0.01*-1)*DB1*-1)/100</f>
        <v>0.84491000000000005</v>
      </c>
      <c r="DE1" s="25">
        <f>BW10</f>
        <v>5004</v>
      </c>
      <c r="DF1" s="25">
        <f>BW10+BZ10+CC10+CD10</f>
        <v>4253.3999999999996</v>
      </c>
      <c r="DG1" s="25" t="s">
        <v>0</v>
      </c>
      <c r="DH1" s="25">
        <f ca="1">(AJ15+AL15+AN15+AK22+AM22+AO22+BB1+BH1+BK1+BN1+BP1+BR1+BE26+BM10)</f>
        <v>9496.8100000000013</v>
      </c>
      <c r="DI1" s="25">
        <f ca="1">(AJ15+AL15+AN15+AK22+AM22+AO22+BB1+BH1+BK1+BN1+BP1+BR1+BE26+BM10)</f>
        <v>9496.8100000000013</v>
      </c>
      <c r="DJ1" s="25">
        <f ca="1">(DI1*0.00759*-1)</f>
        <v>-72.080787900000018</v>
      </c>
      <c r="DK1" s="25">
        <f>(BX10)</f>
        <v>5004</v>
      </c>
      <c r="DL1" s="25">
        <f>(DK1*0.00759*-1)</f>
        <v>-37.980360000000005</v>
      </c>
      <c r="DM1" s="30" t="s">
        <v>1</v>
      </c>
      <c r="DN1" s="30" t="s">
        <v>75</v>
      </c>
      <c r="EA1" s="48"/>
    </row>
    <row r="2" spans="1:131" ht="39.950000000000003" customHeight="1" x14ac:dyDescent="0.25">
      <c r="A2" s="70"/>
      <c r="B2" s="71"/>
      <c r="C2" s="57"/>
      <c r="D2" s="57"/>
      <c r="E2" s="72"/>
      <c r="F2" s="72"/>
      <c r="G2" s="57"/>
      <c r="H2" s="57"/>
      <c r="I2" s="57"/>
      <c r="J2" s="74"/>
      <c r="K2" s="57"/>
      <c r="L2" s="57"/>
      <c r="M2" s="57"/>
      <c r="N2" s="57"/>
      <c r="O2" s="57"/>
      <c r="P2" s="57"/>
      <c r="Q2" s="57"/>
      <c r="R2" s="57"/>
      <c r="S2" s="57"/>
      <c r="T2" s="57"/>
      <c r="U2" s="73"/>
      <c r="V2" s="15" t="s">
        <v>4</v>
      </c>
      <c r="W2" s="16">
        <f t="shared" ca="1" si="0"/>
        <v>0</v>
      </c>
      <c r="X2" s="16">
        <f ca="1">COUNTIF(Y1,"Ocak")*(AM15)
+COUNTIF(Y1,"Şubat")*(AM16)
+COUNTIF(Y1,"Mart")*(AM17)
+COUNTIF(Y1,"Nisan")*(AM18)
+COUNTIF(Y1,"Mayıs")*(AM19)
+COUNTIF(Y1,"Haziran")*(AM20)
+COUNTIF(Y1,"Temmuz")*(AM21)
+COUNTIF(Y1,"Ağustos")*(AX1)
+COUNTIF(Y1,"Eylül")*(AX2)
+COUNTIF(Y1,"Ekim")*(AX3)
+COUNTIF(Y1,"Kasım")*(AT7)
+COUNTIF(Y1,"Aralık")*(AT8)
+COUNTIF(Y1,"Yıllık Toplam")*(AT9)
+COUNTIF(Y1,"Yıllık Ortalama")*(AT10)</f>
        <v>0</v>
      </c>
      <c r="Y2" s="64"/>
      <c r="Z2" s="68"/>
      <c r="AA2" s="77" t="s">
        <v>25</v>
      </c>
      <c r="AB2" s="78" t="s">
        <v>129</v>
      </c>
      <c r="AC2" s="56"/>
      <c r="AD2" s="58"/>
      <c r="AE2" s="60" t="str">
        <f>IF($AC$1="Analık Hâli İzni",$AB$1,
IF($AC$1="Annelik İzni",$AB$2,
IF($AC$1="Babalık İzni",$AB$3,
IF($AC$1="Cenaze İzni",$AB$4,
IF($AC$1="Doğal Afet İzni",$AB$5,
IF($AC$1="Dünya Engelliler Günü İzni",$AB$6,
IF($AC$1="Engelli Çocuk İzni",$AB$7,
IF($AC$1="Evlat Edinme İzni",$AB$8,
IF($AC$1="Evlilik İzni",$AB$9,
IF($AC$1="İş Arama İzni",$AB$10,
IF($AC$1="Kadınlar Günü İzni",$AB$11,
IF($AC$1="Kan Bağışı İzni",$AB$12,
IF($AC$1="Mazeret İzni",$AB$13,
IF($AC$1="Sünnet İzni",$AB$14,
IF($AC$1="Süt İzni",$AB$15,
IF($AC$1="Ücretli Sendikal İzin ve Sendika Temsilci Sayısı",$AB$16,
IF($AC$1="Ücretli Yıllık İzin",$AB$17,
IF($AC$1="Yol İzni",$AB$18))))))))))))))))))</f>
        <v>a) Hizmeti 6 ay olanlar için 0 iş günü ücretli yıllık izin verilir.
Hizmeti 1-5 yıl olanlar için 21 iş günü ücretli yıllık izin verilir.
Hizmeti 5-10 yıl olanlar için 26 iş günü ücretli yıllık izin verilir.
Hizmeti 10-15 yıl olanlar için 30 iş günü ücretli yıllık izin verilir.
Hizmeti 15 yıldan fazla olanlar için 30 iş günü ücretli yıllık izin verilir.</v>
      </c>
      <c r="AF2" s="59"/>
      <c r="AG2" s="21" t="s">
        <v>77</v>
      </c>
      <c r="AH2" s="22">
        <v>309.3</v>
      </c>
      <c r="AI2" s="22">
        <v>364.9</v>
      </c>
      <c r="AJ2" s="23">
        <f>(2%)</f>
        <v>0.02</v>
      </c>
      <c r="AK2" s="24" t="s">
        <v>0</v>
      </c>
      <c r="AL2" s="25">
        <f>($AL$7*$AJ$2)</f>
        <v>100.08</v>
      </c>
      <c r="AM2" s="25">
        <f>($AM$7*$AJ$2)</f>
        <v>129.42000000000002</v>
      </c>
      <c r="AN2" s="26">
        <f>(250)</f>
        <v>250</v>
      </c>
      <c r="AO2" s="24" t="s">
        <v>0</v>
      </c>
      <c r="AP2" s="25">
        <f>($AN$6*$AN$2*2)</f>
        <v>117.7225</v>
      </c>
      <c r="AQ2" s="25">
        <f>($AO$6*$AN$2*2)</f>
        <v>166.8015</v>
      </c>
      <c r="AR2" s="24">
        <f>(8000)</f>
        <v>8000</v>
      </c>
      <c r="AS2" s="24" t="s">
        <v>0</v>
      </c>
      <c r="AT2" s="25">
        <f>($AN$6*$AR$2)</f>
        <v>1883.56</v>
      </c>
      <c r="AU2" s="25">
        <f>($AO$6*$AR$2)</f>
        <v>2668.8240000000001</v>
      </c>
      <c r="AV2" s="25">
        <f ca="1">(AW12*CH12)</f>
        <v>4644.6319800000001</v>
      </c>
      <c r="AW2" s="25">
        <f>(0.58*C23)</f>
        <v>0</v>
      </c>
      <c r="AX2" s="25">
        <f ca="1">(AW2*CH12)</f>
        <v>0</v>
      </c>
      <c r="AY2" s="25">
        <f>(AT12/7.5*1.6*D23)</f>
        <v>0</v>
      </c>
      <c r="AZ2" s="25">
        <f>(AR23+AV23+AW23-AX23)</f>
        <v>1067.3519999999999</v>
      </c>
      <c r="BA2" s="25">
        <f ca="1">(AZ2*DV16*-1)</f>
        <v>-160.10279999999997</v>
      </c>
      <c r="BB2" s="25">
        <f ca="1">(ROUND((BC2+BD2),2))</f>
        <v>492.54</v>
      </c>
      <c r="BC2" s="25">
        <f>(4.7*H16)</f>
        <v>488.8</v>
      </c>
      <c r="BD2" s="25">
        <f ca="1">(BB2*0.00759)</f>
        <v>3.7383786000000003</v>
      </c>
      <c r="BE2" s="25">
        <f ca="1">(ROUND((BC2+BD2),2))</f>
        <v>492.54</v>
      </c>
      <c r="BF2" s="25">
        <f ca="1">(BB2)</f>
        <v>492.54</v>
      </c>
      <c r="BG2" s="27">
        <v>18</v>
      </c>
      <c r="BH2" s="25">
        <f>(AY16*BG2)</f>
        <v>3852.36</v>
      </c>
      <c r="BI2" s="25">
        <f ca="1">(BH2*DE12)</f>
        <v>2754.0906876000004</v>
      </c>
      <c r="BJ2" s="27">
        <v>30</v>
      </c>
      <c r="BK2" s="25">
        <f>(773.25/30*BJ2)</f>
        <v>773.25</v>
      </c>
      <c r="BL2" s="25">
        <f ca="1">(BK2*DE12)</f>
        <v>552.80415750000009</v>
      </c>
      <c r="BM2" s="27">
        <v>30</v>
      </c>
      <c r="BN2" s="25">
        <f>(386.62/30*BM2)</f>
        <v>386.62</v>
      </c>
      <c r="BO2" s="25">
        <f ca="1">(BN2*DE12)</f>
        <v>276.39850420000005</v>
      </c>
      <c r="BP2" s="25">
        <f>COUNTIF($A$1,"1S-Çımacı / Palamarcı")*(8.28*I16)
+COUNTIF($A$1,"2S-Çımacı / Palamarcı")*(8.28*I16)
+COUNTIF($A$1,"1S-Temizlik Personeli")*(5.52*I16)
+COUNTIF($A$1,"2S-Temizlik Personeli")*(5.52*I16)</f>
        <v>0</v>
      </c>
      <c r="BQ2" s="25">
        <f ca="1">(BP2*DE12)</f>
        <v>0</v>
      </c>
      <c r="BR2" s="25">
        <f>COUNTIF(J16,"Var")*($AP$1)</f>
        <v>0</v>
      </c>
      <c r="BS2" s="25">
        <f ca="1">COUNTIF(J16,"Var")*((BR2+(BR2*0.00759*-1)+((BR2-BT2)*0.14*-1)+((BR2-BT2)*0.01*-1)+(BR2+((BR2-BT2)*0.14*-1)+((BR2-BT2)*0.01*-1))*DV16*-1))</f>
        <v>0</v>
      </c>
      <c r="BT2" s="25">
        <f>COUNTIF(J16,"Var")*($AL$1)</f>
        <v>0</v>
      </c>
      <c r="BU2" s="25">
        <f>(0)</f>
        <v>0</v>
      </c>
      <c r="BV2" s="25">
        <f>($AP$2*K16)</f>
        <v>0</v>
      </c>
      <c r="BW2" s="25">
        <f ca="1">(BV2+(BV2*0.00759*-1)+((BV2-BX2)*0.14*-1)+((BV2-BX2)*0.01*-1)+(BV2+((BV2-BX2)*0.14*-1)+((BV2-BX2)*0.01*-1))*DV16*-1)</f>
        <v>0</v>
      </c>
      <c r="BX2" s="25">
        <f>($AL$2*K16)</f>
        <v>0</v>
      </c>
      <c r="BY2" s="25">
        <f>($AL$5*K16)</f>
        <v>0</v>
      </c>
      <c r="BZ2" s="25">
        <f>($AP$3*L16)</f>
        <v>0</v>
      </c>
      <c r="CA2" s="25">
        <f ca="1">(BZ2+(BZ2*0.00759*-1)+((BZ2-CB2)*0.14*-1)+((BZ2-CB2)*0.01*-1)+(BZ2+((BZ2-CB2)*0.14*-1)+((BZ2-CB2)*0.01*-1))*DV16*-1)</f>
        <v>0</v>
      </c>
      <c r="CB2" s="25">
        <f>($AL$3*L16)</f>
        <v>0</v>
      </c>
      <c r="CC2" s="25">
        <f>($AL$6*L16)</f>
        <v>0</v>
      </c>
      <c r="CD2" s="25">
        <f>($AP$4*M16)</f>
        <v>0</v>
      </c>
      <c r="CE2" s="25">
        <f ca="1">(CD2+(CD2*0.00759*-1)+((CD2-AX27)*0.14*-1)+((CD2-AX27)*0.01*-1)+(CD2+((CD2-AX27)*0.14*-1)+((CD2-AX27)*0.01*-1))*DV16*-1)</f>
        <v>0</v>
      </c>
      <c r="CF2" s="25">
        <f>(CT17)</f>
        <v>825.05</v>
      </c>
      <c r="CG2" s="25">
        <f ca="1">(DW21+CF2)</f>
        <v>-873.62000000000012</v>
      </c>
      <c r="CH2" s="28">
        <f t="shared" si="1"/>
        <v>0.84240999999999999</v>
      </c>
      <c r="CI2" s="28">
        <f ca="1">(100+(100*0.00759*-1)+(100*0.14*-1)+(100*0.01*-1)+(100+100*0.14*-1+100*0.01*-1)*DV21*-1)/100</f>
        <v>0.67240999999999995</v>
      </c>
      <c r="CJ2" s="28">
        <f ca="1">(100+(100*0.00759*-1)+(100)*DV21*-1)/100</f>
        <v>0.79240999999999995</v>
      </c>
      <c r="CK2" s="25">
        <f ca="1">(CZ17)</f>
        <v>10881.42</v>
      </c>
      <c r="CL2" s="25">
        <f ca="1">(CK2*0.205)</f>
        <v>2230.6911</v>
      </c>
      <c r="CM2" s="25">
        <f ca="1">(CK2*0.01)</f>
        <v>108.8142</v>
      </c>
      <c r="CS2" s="31">
        <v>0.15</v>
      </c>
      <c r="CT2" s="32">
        <v>0</v>
      </c>
      <c r="CU2" s="25">
        <v>32000</v>
      </c>
      <c r="CV2" s="25">
        <v>0</v>
      </c>
      <c r="CW2" s="25">
        <f>(0)</f>
        <v>0</v>
      </c>
      <c r="CX2" s="25">
        <f>(BW10+CC10+CD10-CW2)</f>
        <v>4253.3999999999996</v>
      </c>
      <c r="CY2" s="25">
        <f>SUM(CX$2:$CX2)</f>
        <v>4253.3999999999996</v>
      </c>
      <c r="CZ2" s="29">
        <f t="shared" ref="CZ2:CZ13" si="2">IF(CY2&lt;=$CU$2,$CS$2,
IF(CY2&gt;$CU$4,
IF(CY2&gt;$CU$5,$CS$6,$CS$5),
IF(CY2&lt;$CU$3,$CS$3,$CS$4)))</f>
        <v>0.15</v>
      </c>
      <c r="DA2" s="33">
        <f>IF(CZ2-CZ1=0,0,1)</f>
        <v>1</v>
      </c>
      <c r="DB2" s="28">
        <f>IF(DA3=0,CZ3,(VLOOKUP($CZ3,$CS$2:$CV$6,2,0)-CY2)/CX3*CZ2+(CY3-VLOOKUP($CZ3,$CS$2:$CV$6,2,0))/CX3*CZ3)</f>
        <v>0.15</v>
      </c>
      <c r="DC2" s="25">
        <f>(ROUND(CX3*DB2,2))</f>
        <v>638.01</v>
      </c>
      <c r="DD2" s="28">
        <f>(100+(100*0.00759*-1)+(100*0.01*-1)+(100*0.01*-1)+(100+100*0.14*-1+100*0.01*-1)*DB2*-1)/100</f>
        <v>0.84491000000000005</v>
      </c>
      <c r="DE2" s="25">
        <f>BW11</f>
        <v>5004</v>
      </c>
      <c r="DF2" s="25">
        <f>BW11+BZ11+CC11+CD11</f>
        <v>4253.3999999999996</v>
      </c>
      <c r="DG2" s="25" t="s">
        <v>0</v>
      </c>
      <c r="DH2" s="25">
        <f ca="1">(AJ16+AL16+AN16+AK23+AM23+AO23+BB2+BH2+BK2+BN2+BP2+BR2+BE27+BM11)</f>
        <v>12707.11</v>
      </c>
      <c r="DI2" s="25">
        <f ca="1">(AJ16+AL16+AN16+AK23+AM23+AO23+BB2+BH2+BK2+BN2+BP2+BR2+BE27+BM11)</f>
        <v>12707.11</v>
      </c>
      <c r="DJ2" s="25">
        <f ca="1">(DI2*0.00759*-1)</f>
        <v>-96.446964900000012</v>
      </c>
      <c r="DK2" s="25">
        <f>(BX11)</f>
        <v>5004</v>
      </c>
      <c r="DL2" s="25">
        <f>(DK2*0.00759*-1)</f>
        <v>-37.980360000000005</v>
      </c>
      <c r="DM2" s="34" t="s">
        <v>112</v>
      </c>
      <c r="DN2" s="25">
        <v>414.24</v>
      </c>
      <c r="DX2" s="24">
        <v>0</v>
      </c>
      <c r="DY2" s="35">
        <v>0</v>
      </c>
      <c r="DZ2" s="36">
        <v>0</v>
      </c>
      <c r="EA2" s="49"/>
    </row>
    <row r="3" spans="1:131" ht="39.950000000000003" customHeight="1" x14ac:dyDescent="0.25">
      <c r="A3" s="70"/>
      <c r="B3" s="71"/>
      <c r="C3" s="57"/>
      <c r="D3" s="57"/>
      <c r="E3" s="72"/>
      <c r="F3" s="72"/>
      <c r="G3" s="57"/>
      <c r="H3" s="57"/>
      <c r="I3" s="57"/>
      <c r="J3" s="74"/>
      <c r="K3" s="57"/>
      <c r="L3" s="57"/>
      <c r="M3" s="57"/>
      <c r="N3" s="57"/>
      <c r="O3" s="57"/>
      <c r="P3" s="57"/>
      <c r="Q3" s="57"/>
      <c r="R3" s="57"/>
      <c r="S3" s="57"/>
      <c r="T3" s="57"/>
      <c r="U3" s="73"/>
      <c r="V3" s="15" t="s">
        <v>51</v>
      </c>
      <c r="W3" s="16">
        <f t="shared" ca="1" si="0"/>
        <v>0</v>
      </c>
      <c r="X3" s="16">
        <f ca="1">COUNTIF(Y1,"Ocak")*(AJ22)
+COUNTIF(Y1,"Şubat")*(AJ23)
+COUNTIF(Y1,"Mart")*(AJ24)
+COUNTIF(Y1,"Nisan")*(AJ25)
+COUNTIF(Y1,"Mayıs")*(AX4)
+COUNTIF(Y1,"Haziran")*(AX5)
+COUNTIF(Y1,"Temmuz")*(AX6)
+COUNTIF(Y1,"Ağustos")*(AX7)
+COUNTIF(Y1,"Eylül")*(AX8)
+COUNTIF(Y1,"Ekim")*(AX9)
+COUNTIF(Y1,"Kasım")*(AX10)
+COUNTIF(Y1,"Aralık")*(AX11)
+COUNTIF(Y1,"Yıllık Toplam")*(AX12)
+COUNTIF(Y1,"Yıllık Ortalama")*(AX13)</f>
        <v>0</v>
      </c>
      <c r="Y3" s="64"/>
      <c r="Z3" s="68"/>
      <c r="AA3" s="77" t="s">
        <v>27</v>
      </c>
      <c r="AB3" s="79" t="s">
        <v>50</v>
      </c>
      <c r="AC3" s="56"/>
      <c r="AD3" s="58"/>
      <c r="AE3" s="60"/>
      <c r="AF3" s="59"/>
      <c r="AG3" s="21" t="s">
        <v>78</v>
      </c>
      <c r="AH3" s="22">
        <v>309.3</v>
      </c>
      <c r="AI3" s="22">
        <v>364.9</v>
      </c>
      <c r="AJ3" s="23">
        <f>(1%)</f>
        <v>0.01</v>
      </c>
      <c r="AK3" s="24" t="s">
        <v>0</v>
      </c>
      <c r="AL3" s="25">
        <f>($AL$7*$AJ$3)</f>
        <v>50.04</v>
      </c>
      <c r="AM3" s="25">
        <f>($AM$7*$AJ$3)</f>
        <v>64.710000000000008</v>
      </c>
      <c r="AN3" s="26">
        <f>(AN2)</f>
        <v>250</v>
      </c>
      <c r="AO3" s="24" t="s">
        <v>0</v>
      </c>
      <c r="AP3" s="25">
        <f>($AN$6*$AN$3)</f>
        <v>58.861249999999998</v>
      </c>
      <c r="AQ3" s="25">
        <f>($AO$6*$AN$3)</f>
        <v>83.400750000000002</v>
      </c>
      <c r="AR3" s="24">
        <f>(500)</f>
        <v>500</v>
      </c>
      <c r="AS3" s="24" t="s">
        <v>0</v>
      </c>
      <c r="AT3" s="25">
        <f>($AN$6*$AR$3)</f>
        <v>117.7225</v>
      </c>
      <c r="AU3" s="25">
        <f>($AO$6*$AR$3)</f>
        <v>166.8015</v>
      </c>
      <c r="AV3" s="25">
        <f ca="1">(AW13*CH13)</f>
        <v>4799.4530459999996</v>
      </c>
      <c r="AW3" s="25">
        <f>(0.58*C24)</f>
        <v>0</v>
      </c>
      <c r="AX3" s="25">
        <f ca="1">(AW3*CH13)</f>
        <v>0</v>
      </c>
      <c r="AY3" s="25">
        <f>(AT13/7.5*1.6*D24)</f>
        <v>0</v>
      </c>
      <c r="AZ3" s="25">
        <f>(AR24+AV24+AW24-AX24)</f>
        <v>1067.3519999999999</v>
      </c>
      <c r="BA3" s="25">
        <f ca="1">(AZ3*DV17*-1)</f>
        <v>-160.10279999999997</v>
      </c>
      <c r="BB3" s="25">
        <f ca="1">(ROUND((BC3+BD3),2))</f>
        <v>492.54</v>
      </c>
      <c r="BC3" s="25">
        <f>(4.7*H17)</f>
        <v>488.8</v>
      </c>
      <c r="BD3" s="25">
        <f ca="1">(BB3*0.00759)</f>
        <v>3.7383786000000003</v>
      </c>
      <c r="BE3" s="25">
        <f ca="1">(ROUND((BC3+BD3),2))</f>
        <v>492.54</v>
      </c>
      <c r="BF3" s="25">
        <f ca="1">(BB3)</f>
        <v>492.54</v>
      </c>
      <c r="BG3" s="27">
        <v>0</v>
      </c>
      <c r="BH3" s="25">
        <f>(AY17*BG3)</f>
        <v>0</v>
      </c>
      <c r="BI3" s="25">
        <f ca="1">(BH3*DE13)</f>
        <v>0</v>
      </c>
      <c r="BJ3" s="27">
        <v>30</v>
      </c>
      <c r="BK3" s="25">
        <f>(773.25/30*BJ3)</f>
        <v>773.25</v>
      </c>
      <c r="BL3" s="25">
        <f ca="1">(BK3*DE13)</f>
        <v>552.80415750000009</v>
      </c>
      <c r="BM3" s="27">
        <v>30</v>
      </c>
      <c r="BN3" s="25">
        <f>(386.62/30*BM3)</f>
        <v>386.62</v>
      </c>
      <c r="BO3" s="25">
        <f ca="1">(BN3*DE13)</f>
        <v>276.39850420000005</v>
      </c>
      <c r="BP3" s="25">
        <f>COUNTIF($A$1,"1S-Çımacı / Palamarcı")*(8.28*I17)
+COUNTIF($A$1,"2S-Çımacı / Palamarcı")*(8.28*I17)
+COUNTIF($A$1,"1S-Temizlik Personeli")*(5.52*I17)
+COUNTIF($A$1,"2S-Temizlik Personeli")*(5.52*I17)</f>
        <v>0</v>
      </c>
      <c r="BQ3" s="25">
        <f ca="1">(BP3*DE13)</f>
        <v>0</v>
      </c>
      <c r="BR3" s="25">
        <f>COUNTIF(J17,"Var")*($AP$1)</f>
        <v>0</v>
      </c>
      <c r="BS3" s="25">
        <f ca="1">COUNTIF(J17,"Var")*((BR3+(BR3*0.00759*-1)+((BR3-BT3)*0.14*-1)+((BR3-BT3)*0.01*-1)+(BR3+((BR3-BT3)*0.14*-1)+((BR3-BT3)*0.01*-1))*DV17*-1))</f>
        <v>0</v>
      </c>
      <c r="BT3" s="25">
        <f>COUNTIF(J17,"Var")*($AL$1)</f>
        <v>0</v>
      </c>
      <c r="BU3" s="25">
        <f>(0)</f>
        <v>0</v>
      </c>
      <c r="BV3" s="25">
        <f>($AP$2*K17)</f>
        <v>0</v>
      </c>
      <c r="BW3" s="25">
        <f ca="1">(BV3+(BV3*0.00759*-1)+((BV3-BX3)*0.14*-1)+((BV3-BX3)*0.01*-1)+(BV3+((BV3-BX3)*0.14*-1)+((BV3-BX3)*0.01*-1))*DV17*-1)</f>
        <v>0</v>
      </c>
      <c r="BX3" s="25">
        <f>($AL$2*K17)</f>
        <v>0</v>
      </c>
      <c r="BY3" s="25">
        <f>($AL$5*K17)</f>
        <v>0</v>
      </c>
      <c r="BZ3" s="25">
        <f>($AP$3*L17)</f>
        <v>0</v>
      </c>
      <c r="CA3" s="25">
        <f ca="1">(BZ3+(BZ3*0.00759*-1)+((BZ3-CB3)*0.14*-1)+((BZ3-CB3)*0.01*-1)+(BZ3+((BZ3-CB3)*0.14*-1)+((BZ3-CB3)*0.01*-1))*DV17*-1)</f>
        <v>0</v>
      </c>
      <c r="CB3" s="25">
        <f>($AL$3*L17)</f>
        <v>0</v>
      </c>
      <c r="CC3" s="25">
        <f>($AL$6*L17)</f>
        <v>0</v>
      </c>
      <c r="CD3" s="25">
        <f>($AP$4*M17)</f>
        <v>0</v>
      </c>
      <c r="CE3" s="25">
        <f ca="1">(CD3+(CD3*0.00759*-1)+((CD3-AX28)*0.14*-1)+((CD3-AX28)*0.01*-1)+(CD3+((CD3-AX28)*0.14*-1)+((CD3-AX28)*0.01*-1))*DV17*-1)</f>
        <v>0</v>
      </c>
      <c r="CF3" s="25">
        <f>(CT18)</f>
        <v>1051.1099999999999</v>
      </c>
      <c r="CG3" s="25">
        <f ca="1">(DW22+CF3)</f>
        <v>-1754.11</v>
      </c>
      <c r="CH3" s="28">
        <f t="shared" si="1"/>
        <v>0.84240999999999999</v>
      </c>
      <c r="CI3" s="28">
        <f ca="1">(100+(100*0.00759*-1)+(100*0.14*-1)+(100*0.01*-1)+(100+100*0.14*-1+100*0.01*-1)*DV22*-1)/100</f>
        <v>0.64946486207305754</v>
      </c>
      <c r="CJ3" s="28">
        <f ca="1">(100+(100*0.00759*-1)+(100)*DV22*-1)/100</f>
        <v>0.76541572008594994</v>
      </c>
      <c r="CK3" s="25">
        <f ca="1">(CZ18)</f>
        <v>15428.22</v>
      </c>
      <c r="CL3" s="25">
        <f ca="1">(CK3*0.205)</f>
        <v>3162.7850999999996</v>
      </c>
      <c r="CM3" s="25">
        <f ca="1">(CK3*0.01)</f>
        <v>154.28219999999999</v>
      </c>
      <c r="CS3" s="31">
        <v>0.2</v>
      </c>
      <c r="CT3" s="25">
        <f>$CU$2</f>
        <v>32000</v>
      </c>
      <c r="CU3" s="25">
        <v>70000</v>
      </c>
      <c r="CV3" s="25">
        <f>(CU2-CT2)*CS2+CV2</f>
        <v>4800</v>
      </c>
      <c r="CW3" s="25">
        <f>(0)</f>
        <v>0</v>
      </c>
      <c r="CX3" s="25">
        <f>(BW11+CC11+CD11-CW3)</f>
        <v>4253.3999999999996</v>
      </c>
      <c r="CY3" s="25">
        <f>SUM(CX$2:$CX3)</f>
        <v>8506.7999999999993</v>
      </c>
      <c r="CZ3" s="29">
        <f t="shared" si="2"/>
        <v>0.15</v>
      </c>
      <c r="DA3" s="33">
        <f t="shared" ref="DA3:DA13" si="3">IF(CZ3-CZ2=0,0,1)</f>
        <v>0</v>
      </c>
      <c r="DB3" s="28">
        <f>IF(DA4=0,CZ4,(VLOOKUP($CZ4,$CS$2:$CV$6,2,0)-CY3)/CX4*CZ3+(CY4-VLOOKUP($CZ4,$CS$2:$CV$6,2,0))/CX4*CZ4)</f>
        <v>0.15</v>
      </c>
      <c r="DC3" s="25">
        <f>(ROUND(CX4*DB3,2))</f>
        <v>638.01</v>
      </c>
      <c r="DD3" s="28">
        <f>(100+(100*0.00759*-1)+(100*0.01*-1)+(100*0.01*-1)+(100+100*0.14*-1+100*0.01*-1)*DB3*-1)/100</f>
        <v>0.84491000000000005</v>
      </c>
      <c r="DE3" s="25">
        <f>BW12</f>
        <v>5004</v>
      </c>
      <c r="DF3" s="25">
        <f>BW12+BZ12+CC12+CD12</f>
        <v>4253.3999999999996</v>
      </c>
      <c r="DG3" s="25" t="s">
        <v>0</v>
      </c>
      <c r="DH3" s="25">
        <f ca="1">(AJ17+AL17+AN17+AK24+AM24+AO24+BB3+BH3+BK3+BN3+BP3+BR3+BE28+BM12)</f>
        <v>9496.8100000000013</v>
      </c>
      <c r="DI3" s="25">
        <f ca="1">(AJ17+AL17+AN17+AK24+AM24+AO24+BB3+BH3+BK3+BN3+BP3+BR3+BE28+BM12)</f>
        <v>9496.8100000000013</v>
      </c>
      <c r="DJ3" s="25">
        <f ca="1">(DI3*0.00759*-1)</f>
        <v>-72.080787900000018</v>
      </c>
      <c r="DK3" s="25">
        <f>(BX12)</f>
        <v>5004</v>
      </c>
      <c r="DL3" s="25">
        <f>(DK3*0.00759*-1)</f>
        <v>-37.980360000000005</v>
      </c>
      <c r="DM3" s="34" t="s">
        <v>113</v>
      </c>
      <c r="DN3" s="25">
        <v>414.24</v>
      </c>
      <c r="DX3" s="24">
        <v>1</v>
      </c>
      <c r="DY3" s="35">
        <v>0.5</v>
      </c>
      <c r="DZ3" s="36">
        <v>0.03</v>
      </c>
      <c r="EA3" s="49"/>
    </row>
    <row r="4" spans="1:131" ht="39.950000000000003" customHeight="1" x14ac:dyDescent="0.25">
      <c r="A4" s="70"/>
      <c r="B4" s="71"/>
      <c r="C4" s="57"/>
      <c r="D4" s="57"/>
      <c r="E4" s="72"/>
      <c r="F4" s="72"/>
      <c r="G4" s="57"/>
      <c r="H4" s="57"/>
      <c r="I4" s="57"/>
      <c r="J4" s="74"/>
      <c r="K4" s="57"/>
      <c r="L4" s="57"/>
      <c r="M4" s="57"/>
      <c r="N4" s="57"/>
      <c r="O4" s="57"/>
      <c r="P4" s="57"/>
      <c r="Q4" s="57"/>
      <c r="R4" s="57"/>
      <c r="S4" s="57"/>
      <c r="T4" s="57"/>
      <c r="U4" s="73"/>
      <c r="V4" s="15" t="s">
        <v>5</v>
      </c>
      <c r="W4" s="16">
        <f t="shared" ca="1" si="0"/>
        <v>0</v>
      </c>
      <c r="X4" s="16">
        <f ca="1">COUNTIF(Y1,"Ocak")*(AL22)
+COUNTIF(Y1,"Şubat")*(AL23)
+COUNTIF(Y1,"Mart")*(AL24)
+COUNTIF(Y1,"Nisan")*(AL25)
+COUNTIF(Y1,"Mayıs")*(AZ4)
+COUNTIF(Y1,"Haziran")*(AZ5)
+COUNTIF(Y1,"Temmuz")*(AZ6)
+COUNTIF(Y1,"Ağustos")*(AZ7)
+COUNTIF(Y1,"Eylül")*(AZ8)
+COUNTIF(Y1,"Ekim")*(AZ9)
+COUNTIF(Y1,"Kasım")*(AZ10)
+COUNTIF(Y1,"Aralık")*(AZ11)
+COUNTIF(Y1,"Yıllık Toplam")*(AZ12)
+COUNTIF(Y1,"Yıllık Ortalama")*(AZ13)</f>
        <v>0</v>
      </c>
      <c r="Y4" s="64"/>
      <c r="Z4" s="68"/>
      <c r="AA4" s="77" t="s">
        <v>46</v>
      </c>
      <c r="AB4" s="80" t="s">
        <v>133</v>
      </c>
      <c r="AC4" s="56"/>
      <c r="AD4" s="58"/>
      <c r="AE4" s="60"/>
      <c r="AF4" s="59"/>
      <c r="AG4" s="21" t="s">
        <v>79</v>
      </c>
      <c r="AH4" s="22">
        <v>309.3</v>
      </c>
      <c r="AI4" s="22">
        <v>364.9</v>
      </c>
      <c r="AJ4" s="24" t="s">
        <v>0</v>
      </c>
      <c r="AK4" s="24" t="s">
        <v>0</v>
      </c>
      <c r="AL4" s="25">
        <f>($AP$1)</f>
        <v>535.16648499999997</v>
      </c>
      <c r="AM4" s="25">
        <f>($AQ$1)</f>
        <v>758.27961899999991</v>
      </c>
      <c r="AN4" s="33">
        <f>(1.5)</f>
        <v>1.5</v>
      </c>
      <c r="AO4" s="24" t="s">
        <v>0</v>
      </c>
      <c r="AP4" s="25">
        <f>($AP$2*$AN$4)</f>
        <v>176.58375000000001</v>
      </c>
      <c r="AQ4" s="25">
        <f>($AQ$2*$AN$4)</f>
        <v>250.20224999999999</v>
      </c>
      <c r="AR4" s="24">
        <f>(1000)</f>
        <v>1000</v>
      </c>
      <c r="AS4" s="24" t="s">
        <v>0</v>
      </c>
      <c r="AT4" s="25">
        <f>($AN$7*$AR$4)</f>
        <v>3685.18</v>
      </c>
      <c r="AU4" s="25">
        <f>($AO$7*$AR$4)</f>
        <v>5221.5320000000002</v>
      </c>
      <c r="AX4" s="25">
        <f ca="1">(AN19*DE15)</f>
        <v>0</v>
      </c>
      <c r="AY4" s="25">
        <f>(AW19*E19)</f>
        <v>0</v>
      </c>
      <c r="AZ4" s="25">
        <f ca="1">(AY4*DE15)</f>
        <v>0</v>
      </c>
      <c r="BA4" s="25">
        <f>(AY19/7.5*0.3*F19)</f>
        <v>0</v>
      </c>
      <c r="BB4" s="25">
        <f ca="1">(BA4*DE15)</f>
        <v>0</v>
      </c>
      <c r="BC4" s="25">
        <f t="shared" ref="BC4:BC11" si="4">(46.53*G19)</f>
        <v>1209.78</v>
      </c>
      <c r="BD4" s="25">
        <f ca="1">(BF4+BG4+BJ4+BK4+BC15)</f>
        <v>844.69936979999989</v>
      </c>
      <c r="BE4" s="25">
        <f t="shared" ref="BE4:BE11" si="5">(BC4)</f>
        <v>1209.78</v>
      </c>
      <c r="BF4" s="25">
        <f t="shared" ref="BF4:BF11" si="6">(BC4)</f>
        <v>1209.78</v>
      </c>
      <c r="BG4" s="25">
        <f t="shared" ref="BG4:BG11" si="7">(BF4*0.00759*-1)</f>
        <v>-9.1822302000000011</v>
      </c>
      <c r="BH4" s="25">
        <f>($AL$9*G19)</f>
        <v>260.26</v>
      </c>
      <c r="BI4" s="25">
        <f t="shared" ref="BI4:BI11" si="8">(BF4-BH4)</f>
        <v>949.52</v>
      </c>
      <c r="BJ4" s="25">
        <f t="shared" ref="BJ4:BJ11" si="9">(BI4*0.14*-1)</f>
        <v>-132.93280000000001</v>
      </c>
      <c r="BK4" s="25">
        <f t="shared" ref="BK4:BK11" si="10">(BI4*0.01*-1)</f>
        <v>-9.4952000000000005</v>
      </c>
      <c r="BL4" s="25">
        <f>(0)</f>
        <v>0</v>
      </c>
      <c r="BM4" s="37">
        <f ca="1">COUNTIF(O23,"Yok")*(0)
+COUNTIF(O23,"Bayram Yardımı (Kurban)")*($DN$2/CH12)
+COUNTIF(O23,"Bayram Yardımı (Ramazan)")*($DN$3/CH12)
+COUNTIF(O23,"Cenaze Yardımı (Anne-Baba)")*($DN$4)
+COUNTIF(O23,"Cenaze Yardımı (Eş-Çocuk)")*($DN$5)
+COUNTIF(O23,"Cenaze Yardımı (İşçi-İş Kazası Sonucu)")*($DN$6)
+COUNTIF(O23,"Cenaze Yardımı (İşçi-Tabii Sebepler Sonucu)")*($DN$7)
+COUNTIF(O23,"Doğal Afet Yardımı")*($DN$8)
+COUNTIF(O23,"Doğum Yardımı (İşveren)")*($DN$9)
+COUNTIF(O23,"Eğitim Yardımı (Çocuk-Zorunlu Anaokulu)")*($DN$10)
+COUNTIF(O23,"Eğitim Yardımı (Çocuk-İlköğretim)")*($DN$11)
+COUNTIF(O23,"Eğitim Yardımı (Çocuk-Ortaöğretim)")*($DN$12)
+COUNTIF(O23,"Eğitim Yardımı (Çocuk-Lise)")*($DN$13)
+COUNTIF(O23,"Eğitim Yardımı (Çocuk-Yükseköğretim)")*($DN$14)
+COUNTIF(O23,"Eğitim Yardımı (Çocuk-Engelli)")*($DN$15)
+COUNTIF(O23,"Eğitim Yardımı (İşçi-Lise)")*($DN$16)
+COUNTIF(O23,"Eğitim Yardımı (İşçi-Yükseköğretim)")*($DN$17)
+COUNTIF(O23,"Evlilik Yardımı")*($DN$18)
+COUNTIF(O23,"İş Kazası veya Meslek Hastalığı Tazminatı")*($DN$19)
+COUNTIF(O23,"Sünnet Yardımı")*($DN$20)
+COUNTIF(O23,"Temizlik Yardımı")*($DN$21/CH12)
+COUNTIF(P23,"Yok")*(0)
+COUNTIF(P23,"Bayram Yardımı (Kurban)")*($DN$2/CH12)
+COUNTIF(P23,"Bayram Yardımı (Ramazan)")*($DN$3/CH12)
+COUNTIF(P23,"Cenaze Yardımı (Anne-Baba)")*($DN$4)
+COUNTIF(P23,"Cenaze Yardımı (Eş-Çocuk)")*($DN$5)
+COUNTIF(P23,"Cenaze Yardımı (İşçi-İş Kazası Sonucu)")*($DN$6)
+COUNTIF(P23,"Cenaze Yardımı (İşçi-Tabii Sebepler Sonucu)")*($DN$7)
+COUNTIF(P23,"Doğal Afet Yardımı")*($DN$8)
+COUNTIF(P23,"Doğum Yardımı (İşveren)")*($DN$9)
+COUNTIF(P23,"Eğitim Yardımı (Çocuk-Zorunlu Anaokulu)")*($DN$10)
+COUNTIF(P23,"Eğitim Yardımı (Çocuk-İlköğretim)")*($DN$11)
+COUNTIF(P23,"Eğitim Yardımı (Çocuk-Ortaöğretim)")*($DN$12)
+COUNTIF(P23,"Eğitim Yardımı (Çocuk-Lise)")*($DN$13)
+COUNTIF(P23,"Eğitim Yardımı (Çocuk-Yükseköğretim)")*($DN$14)
+COUNTIF(P23,"Eğitim Yardımı (Çocuk-Engelli)")*($DN$15)
+COUNTIF(P23,"Eğitim Yardımı (İşçi-Lise)")*($DN$16)
+COUNTIF(P23,"Eğitim Yardımı (İşçi-Yükseköğretim)")*($DN$17)
+COUNTIF(P23,"Evlilik Yardımı")*($DN$18)
+COUNTIF(P23,"İş Kazası veya Meslek Hastalığı Tazminatı")*($DN$19)
+COUNTIF(P23,"Sünnet Yardımı")*($DN$20)
+COUNTIF(P23,"Temizlik Yardımı")*($DN$21/CH12)
+COUNTIF(Q23,"Yok")*(0)
+COUNTIF(Q23,"Bayram Yardımı (Kurban)")*($DN$2/CH12)
+COUNTIF(Q23,"Bayram Yardımı (Ramazan)")*($DN$3/CH12)
+COUNTIF(Q23,"Cenaze Yardımı (Anne-Baba)")*($DN$4)
+COUNTIF(Q23,"Cenaze Yardımı (Eş-Çocuk)")*($DN$5)
+COUNTIF(Q23,"Cenaze Yardımı (İşçi-İş Kazası Sonucu)")*($DN$6)
+COUNTIF(Q23,"Cenaze Yardımı (İşçi-Tabii Sebepler Sonucu)")*($DN$7)
+COUNTIF(Q23,"Doğal Afet Yardımı")*($DN$8)
+COUNTIF(Q23,"Doğum Yardımı (İşveren)")*($DN$9)
+COUNTIF(Q23,"Eğitim Yardımı (Çocuk-Zorunlu Anaokulu)")*($DN$10)
+COUNTIF(Q23,"Eğitim Yardımı (Çocuk-İlköğretim)")*($DN$11)
+COUNTIF(Q23,"Eğitim Yardımı (Çocuk-Ortaöğretim)")*($DN$12)
+COUNTIF(Q23,"Eğitim Yardımı (Çocuk-Lise)")*($DN$13)
+COUNTIF(Q23,"Eğitim Yardımı (Çocuk-Yükseköğretim)")*($DN$14)
+COUNTIF(Q23,"Eğitim Yardımı (Çocuk-Engelli)")*($DN$15)
+COUNTIF(Q23,"Eğitim Yardımı (İşçi-Lise)")*($DN$16)
+COUNTIF(Q23,"Eğitim Yardımı (İşçi-Yükseköğretim)")*($DN$17)
+COUNTIF(Q23,"Evlilik Yardımı")*($DN$18)
+COUNTIF(Q23,"İş Kazası veya Meslek Hastalığı Tazminatı")*($DN$19)
+COUNTIF(Q23,"Sünnet Yardımı")*($DN$20)
+COUNTIF(Q23,"Temizlik Yardımı")*($DN$21/CH12)</f>
        <v>0</v>
      </c>
      <c r="BN4" s="37">
        <f>COUNTIF(O23,"Yok")*(0)
+COUNTIF(O23,"Bayram Yardımı (Kurban)")*(0)
+COUNTIF(O23,"Bayram Yardımı (Ramazan)")*(0)
+COUNTIF(O23,"Cenaze Yardımı (Anne-Baba)")*($DN$4)
+COUNTIF(O23,"Cenaze Yardımı (Eş-Çocuk)")*($DN$5)
+COUNTIF(O23,"Cenaze Yardımı (İşçi-İş Kazası Sonucu)")*($DN$6)
+COUNTIF(O23,"Cenaze Yardımı (İşçi-Tabii Sebepler Sonucu)")*($DN$7)
+COUNTIF(O23,"Doğal Afet Yardımı")*($DN$8)
+COUNTIF(O23,"Doğum Yardımı (İşveren)")*($DN$9)
+COUNTIF(O23,"Eğitim Yardımı (Çocuk-Zorunlu Anaokulu)")*(0)
+COUNTIF(O23,"Eğitim Yardımı (Çocuk-İlköğretim)")*(0)
+COUNTIF(O23,"Eğitim Yardımı (Çocuk-Ortaöğretim)")*(0)
+COUNTIF(O23,"Eğitim Yardımı (Çocuk-Lise)")*(0)
+COUNTIF(O23,"Eğitim Yardımı (Çocuk-Yükseköğretim)")*(0)
+COUNTIF(O23,"Eğitim Yardımı (Çocuk-Engelli)")*(0)
+COUNTIF(O23,"Eğitim Yardımı (İşçi-Lise)")*(0)
+COUNTIF(O23,"Eğitim Yardımı (İşçi-Yükseköğretim)")*(0)
+COUNTIF(O23,"Evlilik Yardımı")*($DN$18)
+COUNTIF(O23,"İş Kazası veya Meslek Hastalığı Tazminatı")*($DN$19)
+COUNTIF(O23,"Sünnet Yardımı")*(0)
+COUNTIF(O23,"Temizlik Yardımı")*(0)
+COUNTIF(P23,"Yok")*(0)
+COUNTIF(P23,"Bayram Yardımı (Kurban)")*(0)
+COUNTIF(P23,"Bayram Yardımı (Ramazan)")*(0)
+COUNTIF(P23,"Cenaze Yardımı (Anne-Baba)")*($DN$4)
+COUNTIF(P23,"Cenaze Yardımı (Eş-Çocuk)")*($DN$5)
+COUNTIF(P23,"Cenaze Yardımı (İşçi-İş Kazası Sonucu)")*($DN$6)
+COUNTIF(P23,"Cenaze Yardımı (İşçi-Tabii Sebepler Sonucu)")*($DN$7)
+COUNTIF(P23,"Doğal Afet Yardımı")*($DN$8)
+COUNTIF(P23,"Doğum Yardımı (İşveren)")*($DN$9)
+COUNTIF(P23,"Eğitim Yardımı (Çocuk-Zorunlu Anaokulu)")*(0)
+COUNTIF(P23,"Eğitim Yardımı (Çocuk-İlköğretim)")*(0)
+COUNTIF(P23,"Eğitim Yardımı (Çocuk-Ortaöğretim)")*(0)
+COUNTIF(P23,"Eğitim Yardımı (Çocuk-Lise)")*(0)
+COUNTIF(P23,"Eğitim Yardımı (Çocuk-Yükseköğretim)")*(0)
+COUNTIF(P23,"Eğitim Yardımı (Çocuk-Engelli)")*(0)
+COUNTIF(P23,"Eğitim Yardımı (İşçi-Lise)")*(0)
+COUNTIF(P23,"Eğitim Yardımı (İşçi-Yükseköğretim)")*(0)
+COUNTIF(P23,"Evlilik Yardımı")*($DN$18)
+COUNTIF(P23,"İş Kazası veya Meslek Hastalığı Tazminatı")*($DN$19)
+COUNTIF(P23,"Sünnet Yardımı")*(0)
+COUNTIF(P23,"Temizlik Yardımı")*(0)
+COUNTIF(Q23,"Yok")*(0)
+COUNTIF(Q23,"Bayram Yardımı (Kurban)")*(0)
+COUNTIF(Q23,"Bayram Yardımı (Ramazan)")*(0)
+COUNTIF(Q23,"Cenaze Yardımı (Anne-Baba)")*($DN$4)
+COUNTIF(Q23,"Cenaze Yardımı (Eş-Çocuk)")*($DN$5)
+COUNTIF(Q23,"Cenaze Yardımı (İşçi-İş Kazası Sonucu)")*($DN$6)
+COUNTIF(Q23,"Cenaze Yardımı (İşçi-Tabii Sebepler Sonucu)")*($DN$7)
+COUNTIF(Q23,"Doğal Afet Yardımı")*($DN$8)
+COUNTIF(Q23,"Doğum Yardımı (İşveren)")*($DN$9)
+COUNTIF(Q23,"Eğitim Yardımı (Çocuk-Zorunlu Anaokulu)")*(0)
+COUNTIF(Q23,"Eğitim Yardımı (Çocuk-İlköğretim)")*(0)
+COUNTIF(Q23,"Eğitim Yardımı (Çocuk-Ortaöğretim)")*(0)
+COUNTIF(Q23,"Eğitim Yardımı (Çocuk-Lise)")*(0)
+COUNTIF(Q23,"Eğitim Yardımı (Çocuk-Yükseköğretim)")*(0)
+COUNTIF(Q23,"Eğitim Yardımı (Çocuk-Engelli)")*(0)
+COUNTIF(Q23,"Eğitim Yardımı (İşçi-Lise)")*(0)
+COUNTIF(Q23,"Eğitim Yardımı (İşçi-Yükseköğretim)")*(0)
+COUNTIF(Q23,"Evlilik Yardımı")*($DN$18)
+COUNTIF(Q23,"İş Kazası veya Meslek Hastalığı Tazminatı")*($DN$19)
+COUNTIF(Q23,"Sünnet Yardımı")*(0)
+COUNTIF(Q23,"Temizlik Yardımı")*(0)</f>
        <v>0</v>
      </c>
      <c r="BO4" s="37">
        <f ca="1">COUNTIF(O23,"Yok")*(0)
+COUNTIF(O23,"Bayram Yardımı (Kurban)")*($DN$2)
+COUNTIF(O23,"Bayram Yardımı (Ramazan)")*($DN$3)
+COUNTIF(O23,"Cenaze Yardımı (Anne-Baba)")*($DN$4-$DN$4*0.00759)
+COUNTIF(O23,"Cenaze Yardımı (Eş-Çocuk)")*($DN$5-$DN$5*0.00759)
+COUNTIF(O23,"Cenaze Yardımı (İşçi-İş Kazası Sonucu)")*($DN$6-$DN$6*0.00759)
+COUNTIF(O23,"Cenaze Yardımı (İşçi-Tabii Sebepler Sonucu)")*($DN$7-$DN$7*0.00759)
+COUNTIF(O23,"Doğal Afet Yardımı")*($DN$8-$DN$8*0.00759)
+COUNTIF(O23,"Doğum Yardımı (İşveren)")*($DN$9-$DN$9*0.00759)
+COUNTIF(O23,"Eğitim Yardımı (Çocuk-Zorunlu Anaokulu)")*($DN$10*CH12)
+COUNTIF(O23,"Eğitim Yardımı (Çocuk-İlköğretim)")*($DN$11*CH12)
+COUNTIF(O23,"Eğitim Yardımı (Çocuk-Ortaöğretim)")*($DN$12*CH12)
+COUNTIF(O23,"Eğitim Yardımı (Çocuk-Lise)")*($DN$13*CH12)
+COUNTIF(O23,"Eğitim Yardımı (Çocuk-Yükseköğretim)")*($DN$14*CH12)
+COUNTIF(O23,"Eğitim Yardımı (Çocuk-Engelli)")*($DN$15*CH12)
+COUNTIF(O23,"Eğitim Yardımı (İşçi-Lise)")*($DN$16*CH12)
+COUNTIF(O23,"Eğitim Yardımı (İşçi-Yükseköğretim)")*($DN$17*CH12)
+COUNTIF(O23,"Evlilik Yardımı")*($DN$18-$DN$18*0.00759)
+COUNTIF(O23,"İş Kazası veya Meslek Hastalığı Tazminatı")*($DN$19-$DN$19*0.00759)
+COUNTIF(O23,"Sünnet Yardımı")*($DN$20*CH12)
+COUNTIF(O23,"Temizlik Yardımı")*($DN$21)
+COUNTIF(P23,"Yok")*(0)
+COUNTIF(P23,"Bayram Yardımı (Kurban)")*($DN$2)
+COUNTIF(P23,"Bayram Yardımı (Ramazan)")*($DN$3)
+COUNTIF(P23,"Cenaze Yardımı (Anne-Baba)")*($DN$4-$DN$4*0.00759)
+COUNTIF(P23,"Cenaze Yardımı (Eş-Çocuk)")*($DN$5-$DN$5*0.00759)
+COUNTIF(P23,"Cenaze Yardımı (İşçi-İş Kazası Sonucu)")*($DN$6-$DN$6*0.00759)
+COUNTIF(P23,"Cenaze Yardımı (İşçi-Tabii Sebepler Sonucu)")*($DN$7-$DN$7*0.00759)
+COUNTIF(P23,"Doğal Afet Yardımı")*($DN$8-$DN$8*0.00759)
+COUNTIF(P23,"Doğum Yardımı (İşveren)")*($DN$9-$DN$9*0.00759)
+COUNTIF(P23,"Eğitim Yardımı (Çocuk-Zorunlu Anaokulu)")*($DN$10*CH12)
+COUNTIF(P23,"Eğitim Yardımı (Çocuk-İlköğretim)")*($DN$11*CH12)
+COUNTIF(P23,"Eğitim Yardımı (Çocuk-Ortaöğretim)")*($DN$12*CH12)
+COUNTIF(P23,"Eğitim Yardımı (Çocuk-Lise)")*($DN$13*CH12)
+COUNTIF(P23,"Eğitim Yardımı (Çocuk-Yükseköğretim)")*($DN$14*CH12)
+COUNTIF(P23,"Eğitim Yardımı (Çocuk-Engelli)")*($DN$15*CH12)
+COUNTIF(P23,"Eğitim Yardımı (İşçi-Lise)")*($DN$16*CH12)
+COUNTIF(P23,"Eğitim Yardımı (İşçi-Yükseköğretim)")*($DN$17*CH12)
+COUNTIF(P23,"Evlilik Yardımı")*($DN$18-$DN$18*0.00759)
+COUNTIF(P23,"İş Kazası veya Meslek Hastalığı Tazminatı")*($DN$19-$DN$19*0.00759)
+COUNTIF(P23,"Sünnet Yardımı")*($DN$20*CH12)
+COUNTIF(P23,"Temizlik Yardımı")*($DN$21)
+COUNTIF(Q23,"Yok")*(0)
+COUNTIF(Q23,"Bayram Yardımı (Kurban)")*($DN$2)
+COUNTIF(Q23,"Bayram Yardımı (Ramazan)")*($DN$3)
+COUNTIF(Q23,"Cenaze Yardımı (Anne-Baba)")*($DN$4-$DN$4*0.00759)
+COUNTIF(Q23,"Cenaze Yardımı (Eş-Çocuk)")*($DN$5-$DN$5*0.00759)
+COUNTIF(Q23,"Cenaze Yardımı (İşçi-İş Kazası Sonucu)")*($DN$6-$DN$6*0.00759)
+COUNTIF(Q23,"Cenaze Yardımı (İşçi-Tabii Sebepler Sonucu)")*($DN$7-$DN$7*0.00759)
+COUNTIF(Q23,"Doğal Afet Yardımı")*($DN$8-$DN$8*0.00759)
+COUNTIF(Q23,"Doğum Yardımı (İşveren)")*($DN$9-$DN$9*0.00759)
+COUNTIF(Q23,"Eğitim Yardımı (Çocuk-Zorunlu Anaokulu)")*($DN$10*CH12)
+COUNTIF(Q23,"Eğitim Yardımı (Çocuk-İlköğretim)")*($DN$11*CH12)
+COUNTIF(Q23,"Eğitim Yardımı (Çocuk-Ortaöğretim)")*($DN$12*CH12)
+COUNTIF(Q23,"Eğitim Yardımı (Çocuk-Lise)")*($DN$13*CH12)
+COUNTIF(Q23,"Eğitim Yardımı (Çocuk-Yükseköğretim)")*($DN$14*CH12)
+COUNTIF(Q23,"Eğitim Yardımı (Çocuk-Engelli)")*($DN$15*CH12)
+COUNTIF(Q23,"Eğitim Yardımı (İşçi-Lise)")*($DN$16*CH12)
+COUNTIF(Q23,"Eğitim Yardımı (İşçi-Yükseköğretim)")*($DN$17*CH12)
+COUNTIF(Q23,"Evlilik Yardımı")*($DN$18-$DN$18*0.00759)
+COUNTIF(Q23,"İş Kazası veya Meslek Hastalığı Tazminatı")*($DN$19-$DN$19*0.00759)
+COUNTIF(Q23,"Sünnet Yardımı")*($DN$20*CH12)
+COUNTIF(Q23,"Temizlik Yardımı")*($DN$21)</f>
        <v>0</v>
      </c>
      <c r="BP4" s="33" t="s">
        <v>12</v>
      </c>
      <c r="BQ4" s="25">
        <f>COUNTIF(BP4,"Var")*(AP12*0.9*-1)</f>
        <v>-227.34</v>
      </c>
      <c r="BR4" s="25">
        <f>(BQ4*-1)</f>
        <v>227.34</v>
      </c>
      <c r="BS4" s="37">
        <f ca="1">(DI19*R23+BT4)*-1</f>
        <v>0</v>
      </c>
      <c r="BT4" s="37">
        <f>(AY2+AY8+BA8+BC8-BH8)*(R23*-1)</f>
        <v>0</v>
      </c>
      <c r="BU4" s="37">
        <f ca="1">(BS4+BT4)</f>
        <v>0</v>
      </c>
      <c r="BV4" s="25" t="s">
        <v>0</v>
      </c>
      <c r="BW4" s="25">
        <f>(6471)</f>
        <v>6471</v>
      </c>
      <c r="BX4" s="25">
        <f>(6471)</f>
        <v>6471</v>
      </c>
      <c r="BY4" s="25">
        <f>(BW4-BX4)</f>
        <v>0</v>
      </c>
      <c r="BZ4" s="25">
        <f>(BY4*0.00759*-1)</f>
        <v>0</v>
      </c>
      <c r="CA4" s="25">
        <f>(0)</f>
        <v>0</v>
      </c>
      <c r="CB4" s="25">
        <f>(BW4-CA4)</f>
        <v>6471</v>
      </c>
      <c r="CC4" s="25">
        <f>(CB4*0.14*-1)</f>
        <v>-905.94</v>
      </c>
      <c r="CD4" s="25">
        <f>(CB4*0.01*-1)</f>
        <v>-64.710000000000008</v>
      </c>
      <c r="CE4" s="37">
        <f ca="1">COUNTIF(O19,"Yok")*(0)
+COUNTIF(O19,"Bayram Yardımı (Kurban)")*($DN$2/DE15)
+COUNTIF(O19,"Bayram Yardımı (Ramazan)")*($DN$3/DE15)
+COUNTIF(O19,"Cenaze Yardımı (Anne-Baba)")*($DN$4)
+COUNTIF(O19,"Cenaze Yardımı (Eş-Çocuk)")*($DN$5)
+COUNTIF(O19,"Cenaze Yardımı (İşçi-İş Kazası Sonucu)")*($DN$6)
+COUNTIF(O19,"Cenaze Yardımı (İşçi-Tabii Sebepler Sonucu)")*($DN$7)
+COUNTIF(O19,"Doğal Afet Yardımı")*($DN$8)
+COUNTIF(O19,"Doğum Yardımı (İşveren)")*($DN$9)
+COUNTIF(O19,"Eğitim Yardımı (Çocuk-Zorunlu Anaokulu)")*($DN$10)
+COUNTIF(O19,"Eğitim Yardımı (Çocuk-İlköğretim)")*($DN$11)
+COUNTIF(O19,"Eğitim Yardımı (Çocuk-Ortaöğretim)")*($DN$12)
+COUNTIF(O19,"Eğitim Yardımı (Çocuk-Lise)")*($DN$13)
+COUNTIF(O19,"Eğitim Yardımı (Çocuk-Yükseköğretim)")*($DN$14)
+COUNTIF(O19,"Eğitim Yardımı (Çocuk-Engelli)")*($DN$15)
+COUNTIF(O19,"Eğitim Yardımı (İşçi-Lise)")*($DN$16)
+COUNTIF(O19,"Eğitim Yardımı (İşçi-Yükseköğretim)")*($DN$17)
+COUNTIF(O19,"Evlilik Yardımı")*($DN$18)
+COUNTIF(O19,"İş Kazası veya Meslek Hastalığı Tazminatı")*($DN$19)
+COUNTIF(O19,"Sünnet Yardımı")*($DN$20)
+COUNTIF(O19,"Temizlik Yardımı")*($DN$21/DE15)
+COUNTIF(P19,"Yok")*(0)
+COUNTIF(P19,"Bayram Yardımı (Kurban)")*($DN$2/DE15)
+COUNTIF(P19,"Bayram Yardımı (Ramazan)")*($DN$3/DE15)
+COUNTIF(P19,"Cenaze Yardımı (Anne-Baba)")*($DN$4)
+COUNTIF(P19,"Cenaze Yardımı (Eş-Çocuk)")*($DN$5)
+COUNTIF(P19,"Cenaze Yardımı (İşçi-İş Kazası Sonucu)")*($DN$6)
+COUNTIF(P19,"Cenaze Yardımı (İşçi-Tabii Sebepler Sonucu)")*($DN$7)
+COUNTIF(P19,"Doğal Afet Yardımı")*($DN$8)
+COUNTIF(P19,"Doğum Yardımı (İşveren)")*($DN$9)
+COUNTIF(P19,"Eğitim Yardımı (Çocuk-Zorunlu Anaokulu)")*($DN$10)
+COUNTIF(P19,"Eğitim Yardımı (Çocuk-İlköğretim)")*($DN$11)
+COUNTIF(P19,"Eğitim Yardımı (Çocuk-Ortaöğretim)")*($DN$12)
+COUNTIF(P19,"Eğitim Yardımı (Çocuk-Lise)")*($DN$13)
+COUNTIF(P19,"Eğitim Yardımı (Çocuk-Yükseköğretim)")*($DN$14)
+COUNTIF(P19,"Eğitim Yardımı (Çocuk-Engelli)")*($DN$15)
+COUNTIF(P19,"Eğitim Yardımı (İşçi-Lise)")*($DN$16)
+COUNTIF(P19,"Eğitim Yardımı (İşçi-Yükseköğretim)")*($DN$17)
+COUNTIF(P19,"Evlilik Yardımı")*($DN$18)
+COUNTIF(P19,"İş Kazası veya Meslek Hastalığı Tazminatı")*($DN$19)
+COUNTIF(P19,"Sünnet Yardımı")*($DN$20)
+COUNTIF(P19,"Temizlik Yardımı")*($DN$21/DE15)
+COUNTIF(Q19,"Yok")*(0)
+COUNTIF(Q19,"Bayram Yardımı (Kurban)")*($DN$2/DE15)
+COUNTIF(Q19,"Bayram Yardımı (Ramazan)")*($DN$3/DE15)
+COUNTIF(Q19,"Cenaze Yardımı (Anne-Baba)")*($DN$4)
+COUNTIF(Q19,"Cenaze Yardımı (Eş-Çocuk)")*($DN$5)
+COUNTIF(Q19,"Cenaze Yardımı (İşçi-İş Kazası Sonucu)")*($DN$6)
+COUNTIF(Q19,"Cenaze Yardımı (İşçi-Tabii Sebepler Sonucu)")*($DN$7)
+COUNTIF(Q19,"Doğal Afet Yardımı")*($DN$8)
+COUNTIF(Q19,"Doğum Yardımı (İşveren)")*($DN$9)
+COUNTIF(Q19,"Eğitim Yardımı (Çocuk-Zorunlu Anaokulu)")*($DN$10)
+COUNTIF(Q19,"Eğitim Yardımı (Çocuk-İlköğretim)")*($DN$11)
+COUNTIF(Q19,"Eğitim Yardımı (Çocuk-Ortaöğretim)")*($DN$12)
+COUNTIF(Q19,"Eğitim Yardımı (Çocuk-Lise)")*($DN$13)
+COUNTIF(Q19,"Eğitim Yardımı (Çocuk-Yükseköğretim)")*($DN$14)
+COUNTIF(Q19,"Eğitim Yardımı (Çocuk-Engelli)")*($DN$15)
+COUNTIF(Q19,"Eğitim Yardımı (İşçi-Lise)")*($DN$16)
+COUNTIF(Q19,"Eğitim Yardımı (İşçi-Yükseköğretim)")*($DN$17)
+COUNTIF(Q19,"Evlilik Yardımı")*($DN$18)
+COUNTIF(Q19,"İş Kazası veya Meslek Hastalığı Tazminatı")*($DN$19)
+COUNTIF(Q19,"Sünnet Yardımı")*($DN$20)
+COUNTIF(Q19,"Temizlik Yardımı")*($DN$21/DE15)</f>
        <v>0</v>
      </c>
      <c r="CF4" s="37">
        <f>COUNTIF(O19,"Yok")*(0)
+COUNTIF(O19,"Bayram Yardımı (Kurban)")*(0)
+COUNTIF(O19,"Bayram Yardımı (Ramazan)")*(0)
+COUNTIF(O19,"Cenaze Yardımı (Anne-Baba)")*($DN$4)
+COUNTIF(O19,"Cenaze Yardımı (Eş-Çocuk)")*($DN$5)
+COUNTIF(O19,"Cenaze Yardımı (İşçi-İş Kazası Sonucu)")*($DN$6)
+COUNTIF(O19,"Cenaze Yardımı (İşçi-Tabii Sebepler Sonucu)")*($DN$7)
+COUNTIF(O19,"Doğal Afet Yardımı")*($DN$8)
+COUNTIF(O19,"Doğum Yardımı (İşveren)")*($DN$9)
+COUNTIF(O19,"Eğitim Yardımı (Çocuk-Zorunlu Anaokulu)")*(0)
+COUNTIF(O19,"Eğitim Yardımı (Çocuk-İlköğretim)")*(0)
+COUNTIF(O19,"Eğitim Yardımı (Çocuk-Ortaöğretim)")*(0)
+COUNTIF(O19,"Eğitim Yardımı (Çocuk-Lise)")*(0)
+COUNTIF(O19,"Eğitim Yardımı (Çocuk-Yükseköğretim)")*(0)
+COUNTIF(O19,"Eğitim Yardımı (Çocuk-Engelli)")*(0)
+COUNTIF(O19,"Eğitim Yardımı (İşçi-Lise)")*(0)
+COUNTIF(O19,"Eğitim Yardımı (İşçi-Yükseköğretim)")*(0)
+COUNTIF(O19,"Evlilik Yardımı")*($DN$18)
+COUNTIF(O19,"İş Kazası veya Meslek Hastalığı Tazminatı")*($DN$19)
+COUNTIF(O19,"Sünnet Yardımı")*(0)
+COUNTIF(O19,"Temizlik Yardımı")*(0)
+COUNTIF(P19,"Yok")*(0)
+COUNTIF(P19,"Bayram Yardımı (Kurban)")*(0)
+COUNTIF(P19,"Bayram Yardımı (Ramazan)")*(0)
+COUNTIF(P19,"Cenaze Yardımı (Anne-Baba)")*($DN$4)
+COUNTIF(P19,"Cenaze Yardımı (Eş-Çocuk)")*($DN$5)
+COUNTIF(P19,"Cenaze Yardımı (İşçi-İş Kazası Sonucu)")*($DN$6)
+COUNTIF(P19,"Cenaze Yardımı (İşçi-Tabii Sebepler Sonucu)")*($DN$7)
+COUNTIF(P19,"Doğal Afet Yardımı")*($DN$8)
+COUNTIF(P19,"Doğum Yardımı (İşveren)")*($DN$9)
+COUNTIF(P19,"Eğitim Yardımı (Çocuk-Zorunlu Anaokulu)")*(0)
+COUNTIF(P19,"Eğitim Yardımı (Çocuk-İlköğretim)")*(0)
+COUNTIF(P19,"Eğitim Yardımı (Çocuk-Ortaöğretim)")*(0)
+COUNTIF(P19,"Eğitim Yardımı (Çocuk-Lise)")*(0)
+COUNTIF(P19,"Eğitim Yardımı (Çocuk-Yükseköğretim)")*(0)
+COUNTIF(P19,"Eğitim Yardımı (Çocuk-Engelli)")*(0)
+COUNTIF(P19,"Eğitim Yardımı (İşçi-Lise)")*(0)
+COUNTIF(P19,"Eğitim Yardımı (İşçi-Yükseköğretim)")*(0)
+COUNTIF(P19,"Evlilik Yardımı")*($DN$18)
+COUNTIF(P19,"İş Kazası veya Meslek Hastalığı Tazminatı")*($DN$19)
+COUNTIF(P19,"Sünnet Yardımı")*(0)
+COUNTIF(P19,"Temizlik Yardımı")*(0)
+COUNTIF(Q19,"Yok")*(0)
+COUNTIF(Q19,"Bayram Yardımı (Kurban)")*(0)
+COUNTIF(Q19,"Bayram Yardımı (Ramazan)")*(0)
+COUNTIF(Q19,"Cenaze Yardımı (Anne-Baba)")*($DN$4)
+COUNTIF(Q19,"Cenaze Yardımı (Eş-Çocuk)")*($DN$5)
+COUNTIF(Q19,"Cenaze Yardımı (İşçi-İş Kazası Sonucu)")*($DN$6)
+COUNTIF(Q19,"Cenaze Yardımı (İşçi-Tabii Sebepler Sonucu)")*($DN$7)
+COUNTIF(Q19,"Doğal Afet Yardımı")*($DN$8)
+COUNTIF(Q19,"Doğum Yardımı (İşveren)")*($DN$9)
+COUNTIF(Q19,"Eğitim Yardımı (Çocuk-Zorunlu Anaokulu)")*(0)
+COUNTIF(Q19,"Eğitim Yardımı (Çocuk-İlköğretim)")*(0)
+COUNTIF(Q19,"Eğitim Yardımı (Çocuk-Ortaöğretim)")*(0)
+COUNTIF(Q19,"Eğitim Yardımı (Çocuk-Lise)")*(0)
+COUNTIF(Q19,"Eğitim Yardımı (Çocuk-Yükseköğretim)")*(0)
+COUNTIF(Q19,"Eğitim Yardımı (Çocuk-Engelli)")*(0)
+COUNTIF(Q19,"Eğitim Yardımı (İşçi-Lise)")*(0)
+COUNTIF(Q19,"Eğitim Yardımı (İşçi-Yükseköğretim)")*(0)
+COUNTIF(Q19,"Evlilik Yardımı")*($DN$18)
+COUNTIF(Q19,"İş Kazası veya Meslek Hastalığı Tazminatı")*($DN$19)
+COUNTIF(Q19,"Sünnet Yardımı")*(0)
+COUNTIF(Q19,"Temizlik Yardımı")*(0)</f>
        <v>0</v>
      </c>
      <c r="CG4" s="37">
        <f ca="1">COUNTIF(O19,"Yok")*(0)
+COUNTIF(O19,"Bayram Yardımı (Kurban)")*($DN$2)
+COUNTIF(O19,"Bayram Yardımı (Ramazan)")*($DN$3)
+COUNTIF(O19,"Cenaze Yardımı (Anne-Baba)")*($DN$4-$DN$4*0.00759)
+COUNTIF(O19,"Cenaze Yardımı (Eş-Çocuk)")*($DN$5-$DN$5*0.00759)
+COUNTIF(O19,"Cenaze Yardımı (İşçi-İş Kazası Sonucu)")*($DN$6-$DN$6*0.00759)
+COUNTIF(O19,"Cenaze Yardımı (İşçi-Tabii Sebepler Sonucu)")*($DN$7-$DN$7*0.00759)
+COUNTIF(O19,"Doğal Afet Yardımı")*($DN$8-$DN$8*0.00759)
+COUNTIF(O19,"Doğum Yardımı (İşveren)")*($DN$9-$DN$9*0.00759)
+COUNTIF(O19,"Eğitim Yardımı (Çocuk-Zorunlu Anaokulu)")*($DN$10*DE15)
+COUNTIF(O19,"Eğitim Yardımı (Çocuk-İlköğretim)")*($DN$11*DE15)
+COUNTIF(O19,"Eğitim Yardımı (Çocuk-Ortaöğretim)")*($DN$12*DE15)
+COUNTIF(O19,"Eğitim Yardımı (Çocuk-Lise)")*($DN$13*DE15)
+COUNTIF(O19,"Eğitim Yardımı (Çocuk-Yükseköğretim)")*($DN$14*DE15)
+COUNTIF(O19,"Eğitim Yardımı (Çocuk-Engelli)")*($DN$15*DE15)
+COUNTIF(O19,"Eğitim Yardımı (İşçi-Lise)")*($DN$16*DE15)
+COUNTIF(O19,"Eğitim Yardımı (İşçi-Yükseköğretim)")*($DN$17*DE15)
+COUNTIF(O19,"Evlilik Yardımı")*($DN$18-$DN$18*0.00759)
+COUNTIF(O19,"İş Kazası veya Meslek Hastalığı Tazminatı")*($DN$19-$DN$19*0.00759)
+COUNTIF(O19,"Sünnet Yardımı")*($DN$20*DE15)
+COUNTIF(O19,"Temizlik Yardımı")*($DN$21)
+COUNTIF(P19,"Yok")*(0)
+COUNTIF(P19,"Bayram Yardımı (Kurban)")*($DN$2)
+COUNTIF(P19,"Bayram Yardımı (Ramazan)")*($DN$3)
+COUNTIF(P19,"Cenaze Yardımı (Anne-Baba)")*($DN$4-$DN$4*0.00759)
+COUNTIF(P19,"Cenaze Yardımı (Eş-Çocuk)")*($DN$5-$DN$5*0.00759)
+COUNTIF(P19,"Cenaze Yardımı (İşçi-İş Kazası Sonucu)")*($DN$6-$DN$6*0.00759)
+COUNTIF(P19,"Cenaze Yardımı (İşçi-Tabii Sebepler Sonucu)")*($DN$7-$DN$7*0.00759)
+COUNTIF(P19,"Doğal Afet Yardımı")*($DN$8-$DN$8*0.00759)
+COUNTIF(P19,"Doğum Yardımı (İşveren)")*($DN$9-$DN$9*0.00759)
+COUNTIF(P19,"Eğitim Yardımı (Çocuk-Zorunlu Anaokulu)")*($DN$10*DE15)
+COUNTIF(P19,"Eğitim Yardımı (Çocuk-İlköğretim)")*($DN$11*DE15)
+COUNTIF(P19,"Eğitim Yardımı (Çocuk-Ortaöğretim)")*($DN$12*DE15)
+COUNTIF(P19,"Eğitim Yardımı (Çocuk-Lise)")*($DN$13*DE15)
+COUNTIF(P19,"Eğitim Yardımı (Çocuk-Yükseköğretim)")*($DN$14*DE15)
+COUNTIF(P19,"Eğitim Yardımı (Çocuk-Engelli)")*($DN$15*DE15)
+COUNTIF(P19,"Eğitim Yardımı (İşçi-Lise)")*($DN$16*DE15)
+COUNTIF(P19,"Eğitim Yardımı (İşçi-Yükseköğretim)")*($DN$17*DE15)
+COUNTIF(P19,"Evlilik Yardımı")*($DN$18-$DN$18*0.00759)
+COUNTIF(P19,"İş Kazası veya Meslek Hastalığı Tazminatı")*($DN$19-$DN$19*0.00759)
+COUNTIF(P19,"Sünnet Yardımı")*($DN$20*DE15)
+COUNTIF(P19,"Temizlik Yardımı")*($DN$21)
+COUNTIF(Q19,"Yok")*(0)
+COUNTIF(Q19,"Bayram Yardımı (Kurban)")*($DN$2)
+COUNTIF(Q19,"Bayram Yardımı (Ramazan)")*($DN$3)
+COUNTIF(Q19,"Cenaze Yardımı (Anne-Baba)")*($DN$4-$DN$4*0.00759)
+COUNTIF(Q19,"Cenaze Yardımı (Eş-Çocuk)")*($DN$5-$DN$5*0.00759)
+COUNTIF(Q19,"Cenaze Yardımı (İşçi-İş Kazası Sonucu)")*($DN$6-$DN$6*0.00759)
+COUNTIF(Q19,"Cenaze Yardımı (İşçi-Tabii Sebepler Sonucu)")*($DN$7-$DN$7*0.00759)
+COUNTIF(Q19,"Doğal Afet Yardımı")*($DN$8-$DN$8*0.00759)
+COUNTIF(Q19,"Doğum Yardımı (İşveren)")*($DN$9-$DN$9*0.00759)
+COUNTIF(Q19,"Eğitim Yardımı (Çocuk-Zorunlu Anaokulu)")*($DN$10*DE15)
+COUNTIF(Q19,"Eğitim Yardımı (Çocuk-İlköğretim)")*($DN$11*DE15)
+COUNTIF(Q19,"Eğitim Yardımı (Çocuk-Ortaöğretim)")*($DN$12*DE15)
+COUNTIF(Q19,"Eğitim Yardımı (Çocuk-Lise)")*($DN$13*DE15)
+COUNTIF(Q19,"Eğitim Yardımı (Çocuk-Yükseköğretim)")*($DN$14*DE15)
+COUNTIF(Q19,"Eğitim Yardımı (Çocuk-Engelli)")*($DN$15*DE15)
+COUNTIF(Q19,"Eğitim Yardımı (İşçi-Lise)")*($DN$16*DE15)
+COUNTIF(Q19,"Eğitim Yardımı (İşçi-Yükseköğretim)")*($DN$17*DE15)
+COUNTIF(Q19,"Evlilik Yardımı")*($DN$18-$DN$18*0.00759)
+COUNTIF(Q19,"İş Kazası veya Meslek Hastalığı Tazminatı")*($DN$19-$DN$19*0.00759)
+COUNTIF(Q19,"Sünnet Yardımı")*($DN$20*DE15)
+COUNTIF(Q19,"Temizlik Yardımı")*($DN$21)</f>
        <v>0</v>
      </c>
      <c r="CH4" s="33" t="s">
        <v>12</v>
      </c>
      <c r="CI4" s="25">
        <f>COUNTIF(CH4,"Var")*(AU19*0.9*-1)</f>
        <v>-192.61800000000002</v>
      </c>
      <c r="CJ4" s="25">
        <f>(CI4*-1)</f>
        <v>192.61800000000002</v>
      </c>
      <c r="CK4" s="37">
        <f ca="1">(DG10*R19+CE8)*-1</f>
        <v>0</v>
      </c>
      <c r="CL4" s="25">
        <f ca="1">(CZ21)</f>
        <v>10628.820000000002</v>
      </c>
      <c r="CM4" s="25">
        <f ca="1">(CL4*0.205)</f>
        <v>2178.9081000000001</v>
      </c>
      <c r="CN4" s="25">
        <f ca="1">(CL4*0.01)</f>
        <v>106.28820000000002</v>
      </c>
      <c r="CO4" s="25">
        <f ca="1">(CL4*0.05*-1)</f>
        <v>-531.44100000000014</v>
      </c>
      <c r="CP4" s="25">
        <f ca="1">(CL4+CM4+CN4+CO4)</f>
        <v>12382.575300000002</v>
      </c>
      <c r="CS4" s="31">
        <v>0.27</v>
      </c>
      <c r="CT4" s="25">
        <f>$CU$3</f>
        <v>70000</v>
      </c>
      <c r="CU4" s="25">
        <v>250000</v>
      </c>
      <c r="CV4" s="25">
        <f>(CU3-CT3)*CS3+CV3</f>
        <v>12400</v>
      </c>
      <c r="CW4" s="25">
        <f>(0)</f>
        <v>0</v>
      </c>
      <c r="CX4" s="25">
        <f>(BW12+CC12+CD12-CW4)</f>
        <v>4253.3999999999996</v>
      </c>
      <c r="CY4" s="25">
        <f>SUM(CX$2:$CX4)</f>
        <v>12760.199999999999</v>
      </c>
      <c r="CZ4" s="29">
        <f t="shared" si="2"/>
        <v>0.15</v>
      </c>
      <c r="DA4" s="33">
        <f t="shared" si="3"/>
        <v>0</v>
      </c>
      <c r="DB4" s="28">
        <f>IF(DA5=0,CZ5,(VLOOKUP($CZ5,$CS$2:$CV$6,2,0)-CY4)/CX5*CZ4+(CY5-VLOOKUP($CZ5,$CS$2:$CV$6,2,0))/CX5*CZ5)</f>
        <v>0.15</v>
      </c>
      <c r="DC4" s="25">
        <f>(ROUND(CX5*DB4,2))</f>
        <v>638.01</v>
      </c>
      <c r="DD4" s="28">
        <f>(100+(100*0.00759*-1)+(100*0.01*-1)+(100*0.01*-1)+(100+100*0.14*-1+100*0.01*-1)*DB4*-1)/100</f>
        <v>0.84491000000000005</v>
      </c>
      <c r="DE4" s="25">
        <f>BW13</f>
        <v>5004</v>
      </c>
      <c r="DF4" s="25">
        <f>BW13+BZ13+CC13+CD13</f>
        <v>4253.3999999999996</v>
      </c>
      <c r="DG4" s="25" t="s">
        <v>0</v>
      </c>
      <c r="DH4" s="25">
        <f ca="1">(AJ18+AL18+AN18+AK25+AM25+AO25+BD14+BJ14+BM14+BP14+BR14+BT14+CO14+BM13)</f>
        <v>13135.150000000001</v>
      </c>
      <c r="DI4" s="25">
        <f ca="1">(AJ18+AL18+AN18+AK25+AM25+AO25+BD14+BJ14+BM14+BP14+BR14+BT14+CO14+BM13)</f>
        <v>13135.150000000001</v>
      </c>
      <c r="DJ4" s="25">
        <f ca="1">(DI4*0.00759*-1)</f>
        <v>-99.69578850000002</v>
      </c>
      <c r="DK4" s="25">
        <f>(BX13)</f>
        <v>5004</v>
      </c>
      <c r="DL4" s="25">
        <f>(DK4*0.00759*-1)</f>
        <v>-37.980360000000005</v>
      </c>
      <c r="DM4" s="34" t="s">
        <v>61</v>
      </c>
      <c r="DN4" s="25">
        <v>1933.12</v>
      </c>
      <c r="DX4" s="24">
        <v>2</v>
      </c>
      <c r="DY4" s="35">
        <v>1</v>
      </c>
      <c r="DZ4" s="36">
        <v>0.04</v>
      </c>
      <c r="EA4" s="49"/>
    </row>
    <row r="5" spans="1:131" ht="39.950000000000003" customHeight="1" x14ac:dyDescent="0.25">
      <c r="A5" s="70"/>
      <c r="B5" s="71"/>
      <c r="C5" s="57"/>
      <c r="D5" s="57"/>
      <c r="E5" s="72"/>
      <c r="F5" s="72"/>
      <c r="G5" s="57"/>
      <c r="H5" s="57"/>
      <c r="I5" s="57"/>
      <c r="J5" s="74"/>
      <c r="K5" s="57"/>
      <c r="L5" s="57"/>
      <c r="M5" s="57"/>
      <c r="N5" s="57"/>
      <c r="O5" s="57"/>
      <c r="P5" s="57"/>
      <c r="Q5" s="57"/>
      <c r="R5" s="57"/>
      <c r="S5" s="57"/>
      <c r="T5" s="57"/>
      <c r="U5" s="73"/>
      <c r="V5" s="15" t="s">
        <v>11</v>
      </c>
      <c r="W5" s="16">
        <f t="shared" ca="1" si="0"/>
        <v>0</v>
      </c>
      <c r="X5" s="17">
        <f ca="1">COUNTIF(Y1,"Ocak")*(AN22)
+COUNTIF(Y1,"Şubat")*(AN23)
+COUNTIF(Y1,"Mart")*(AN24)
+COUNTIF(Y1,"Nisan")*(AN25)
+COUNTIF(Y1,"Mayıs")*(BB4)
+COUNTIF(Y1,"Haziran")*(BB5)
+COUNTIF(Y1,"Temmuz")*(BB6)
+COUNTIF(Y1,"Ağustos")*(BB7)
+COUNTIF(Y1,"Eylül")*(BB8)
+COUNTIF(Y1,"Ekim")*(BB9)
+COUNTIF(Y1,"Kasım")*(BB10)
+COUNTIF(Y1,"Aralık")*(BB11)
+COUNTIF(Y1,"Yıllık Toplam")*(BB12)
+COUNTIF(Y1,"Yıllık Ortalama")*(BB13)</f>
        <v>0</v>
      </c>
      <c r="Y5" s="64"/>
      <c r="Z5" s="68"/>
      <c r="AA5" s="77" t="s">
        <v>31</v>
      </c>
      <c r="AB5" s="79" t="s">
        <v>134</v>
      </c>
      <c r="AC5" s="56"/>
      <c r="AD5" s="58"/>
      <c r="AE5" s="60"/>
      <c r="AF5" s="59"/>
      <c r="AG5" s="21" t="s">
        <v>80</v>
      </c>
      <c r="AH5" s="22">
        <v>309.3</v>
      </c>
      <c r="AI5" s="22">
        <v>364.9</v>
      </c>
      <c r="AJ5" s="24" t="s">
        <v>0</v>
      </c>
      <c r="AK5" s="24" t="s">
        <v>0</v>
      </c>
      <c r="AL5" s="25">
        <f>($AP$2)</f>
        <v>117.7225</v>
      </c>
      <c r="AM5" s="25">
        <f>($AQ$2)</f>
        <v>166.8015</v>
      </c>
      <c r="AN5" s="24" t="s">
        <v>0</v>
      </c>
      <c r="AO5" s="24" t="s">
        <v>0</v>
      </c>
      <c r="AP5" s="25">
        <f>($AP$4/2)</f>
        <v>88.291875000000005</v>
      </c>
      <c r="AQ5" s="25">
        <f>($AQ$4/2)</f>
        <v>125.101125</v>
      </c>
      <c r="AR5" s="24">
        <f>($AR$1+$AR$2)</f>
        <v>9500</v>
      </c>
      <c r="AS5" s="24">
        <f>(2.15)</f>
        <v>2.15</v>
      </c>
      <c r="AT5" s="25">
        <f>($AN$6*$AR$5*$AS$5)</f>
        <v>4808.9641249999995</v>
      </c>
      <c r="AU5" s="25">
        <f>($AO$6*$AR$5*$AS$5)</f>
        <v>6813.8412749999989</v>
      </c>
      <c r="AX5" s="25">
        <f ca="1">(AN20*CI1)</f>
        <v>0</v>
      </c>
      <c r="AY5" s="25">
        <f>(AW20*E20)</f>
        <v>0</v>
      </c>
      <c r="AZ5" s="25">
        <f ca="1">(AY5*CI1)</f>
        <v>0</v>
      </c>
      <c r="BA5" s="25">
        <f>(AY20/7.5*0.3*F20)</f>
        <v>0</v>
      </c>
      <c r="BB5" s="25">
        <f ca="1">(BA5*CI1)</f>
        <v>0</v>
      </c>
      <c r="BC5" s="25">
        <f t="shared" si="4"/>
        <v>1209.78</v>
      </c>
      <c r="BD5" s="25">
        <f ca="1">(BF5+BG5+BJ5+BK5+BC16)</f>
        <v>844.69936979999989</v>
      </c>
      <c r="BE5" s="25">
        <f t="shared" si="5"/>
        <v>1209.78</v>
      </c>
      <c r="BF5" s="25">
        <f t="shared" si="6"/>
        <v>1209.78</v>
      </c>
      <c r="BG5" s="25">
        <f t="shared" si="7"/>
        <v>-9.1822302000000011</v>
      </c>
      <c r="BH5" s="25">
        <f>($AL$9*G20)</f>
        <v>260.26</v>
      </c>
      <c r="BI5" s="25">
        <f t="shared" si="8"/>
        <v>949.52</v>
      </c>
      <c r="BJ5" s="25">
        <f t="shared" si="9"/>
        <v>-132.93280000000001</v>
      </c>
      <c r="BK5" s="25">
        <f t="shared" si="10"/>
        <v>-9.4952000000000005</v>
      </c>
      <c r="BL5" s="25">
        <f>(0)</f>
        <v>0</v>
      </c>
      <c r="BM5" s="37">
        <f ca="1">COUNTIF(O24,"Yok")*(0)
+COUNTIF(O24,"Bayram Yardımı (Kurban)")*($DN$2/CH13)
+COUNTIF(O24,"Bayram Yardımı (Ramazan)")*($DN$3/CH13)
+COUNTIF(O24,"Cenaze Yardımı (Anne-Baba)")*($DN$4)
+COUNTIF(O24,"Cenaze Yardımı (Eş-Çocuk)")*($DN$5)
+COUNTIF(O24,"Cenaze Yardımı (İşçi-İş Kazası Sonucu)")*($DN$6)
+COUNTIF(O24,"Cenaze Yardımı (İşçi-Tabii Sebepler Sonucu)")*($DN$7)
+COUNTIF(O24,"Doğal Afet Yardımı")*($DN$8)
+COUNTIF(O24,"Doğum Yardımı (İşveren)")*($DN$9)
+COUNTIF(O24,"Eğitim Yardımı (Çocuk-Zorunlu Anaokulu)")*($DN$10)
+COUNTIF(O24,"Eğitim Yardımı (Çocuk-İlköğretim)")*($DN$11)
+COUNTIF(O24,"Eğitim Yardımı (Çocuk-Ortaöğretim)")*($DN$12)
+COUNTIF(O24,"Eğitim Yardımı (Çocuk-Lise)")*($DN$13)
+COUNTIF(O24,"Eğitim Yardımı (Çocuk-Yükseköğretim)")*($DN$14)
+COUNTIF(O24,"Eğitim Yardımı (Çocuk-Engelli)")*($DN$15)
+COUNTIF(O24,"Eğitim Yardımı (İşçi-Lise)")*($DN$16)
+COUNTIF(O24,"Eğitim Yardımı (İşçi-Yükseköğretim)")*($DN$17)
+COUNTIF(O24,"Evlilik Yardımı")*($DN$18)
+COUNTIF(O24,"İş Kazası veya Meslek Hastalığı Tazminatı")*($DN$19)
+COUNTIF(O24,"Sünnet Yardımı")*($DN$20)
+COUNTIF(O24,"Temizlik Yardımı")*($DN$21/CH13)
+COUNTIF(P24,"Yok")*(0)
+COUNTIF(P24,"Bayram Yardımı (Kurban)")*($DN$2/CH13)
+COUNTIF(P24,"Bayram Yardımı (Ramazan)")*($DN$3/CH13)
+COUNTIF(P24,"Cenaze Yardımı (Anne-Baba)")*($DN$4)
+COUNTIF(P24,"Cenaze Yardımı (Eş-Çocuk)")*($DN$5)
+COUNTIF(P24,"Cenaze Yardımı (İşçi-İş Kazası Sonucu)")*($DN$6)
+COUNTIF(P24,"Cenaze Yardımı (İşçi-Tabii Sebepler Sonucu)")*($DN$7)
+COUNTIF(P24,"Doğal Afet Yardımı")*($DN$8)
+COUNTIF(P24,"Doğum Yardımı (İşveren)")*($DN$9)
+COUNTIF(P24,"Eğitim Yardımı (Çocuk-Zorunlu Anaokulu)")*($DN$10)
+COUNTIF(P24,"Eğitim Yardımı (Çocuk-İlköğretim)")*($DN$11)
+COUNTIF(P24,"Eğitim Yardımı (Çocuk-Ortaöğretim)")*($DN$12)
+COUNTIF(P24,"Eğitim Yardımı (Çocuk-Lise)")*($DN$13)
+COUNTIF(P24,"Eğitim Yardımı (Çocuk-Yükseköğretim)")*($DN$14)
+COUNTIF(P24,"Eğitim Yardımı (Çocuk-Engelli)")*($DN$15)
+COUNTIF(P24,"Eğitim Yardımı (İşçi-Lise)")*($DN$16)
+COUNTIF(P24,"Eğitim Yardımı (İşçi-Yükseköğretim)")*($DN$17)
+COUNTIF(P24,"Evlilik Yardımı")*($DN$18)
+COUNTIF(P24,"İş Kazası veya Meslek Hastalığı Tazminatı")*($DN$19)
+COUNTIF(P24,"Sünnet Yardımı")*($DN$20)
+COUNTIF(P24,"Temizlik Yardımı")*($DN$21/CH13)
+COUNTIF(Q24,"Yok")*(0)
+COUNTIF(Q24,"Bayram Yardımı (Kurban)")*($DN$2/CH13)
+COUNTIF(Q24,"Bayram Yardımı (Ramazan)")*($DN$3/CH13)
+COUNTIF(Q24,"Cenaze Yardımı (Anne-Baba)")*($DN$4)
+COUNTIF(Q24,"Cenaze Yardımı (Eş-Çocuk)")*($DN$5)
+COUNTIF(Q24,"Cenaze Yardımı (İşçi-İş Kazası Sonucu)")*($DN$6)
+COUNTIF(Q24,"Cenaze Yardımı (İşçi-Tabii Sebepler Sonucu)")*($DN$7)
+COUNTIF(Q24,"Doğal Afet Yardımı")*($DN$8)
+COUNTIF(Q24,"Doğum Yardımı (İşveren)")*($DN$9)
+COUNTIF(Q24,"Eğitim Yardımı (Çocuk-Zorunlu Anaokulu)")*($DN$10)
+COUNTIF(Q24,"Eğitim Yardımı (Çocuk-İlköğretim)")*($DN$11)
+COUNTIF(Q24,"Eğitim Yardımı (Çocuk-Ortaöğretim)")*($DN$12)
+COUNTIF(Q24,"Eğitim Yardımı (Çocuk-Lise)")*($DN$13)
+COUNTIF(Q24,"Eğitim Yardımı (Çocuk-Yükseköğretim)")*($DN$14)
+COUNTIF(Q24,"Eğitim Yardımı (Çocuk-Engelli)")*($DN$15)
+COUNTIF(Q24,"Eğitim Yardımı (İşçi-Lise)")*($DN$16)
+COUNTIF(Q24,"Eğitim Yardımı (İşçi-Yükseköğretim)")*($DN$17)
+COUNTIF(Q24,"Evlilik Yardımı")*($DN$18)
+COUNTIF(Q24,"İş Kazası veya Meslek Hastalığı Tazminatı")*($DN$19)
+COUNTIF(Q24,"Sünnet Yardımı")*($DN$20)
+COUNTIF(Q24,"Temizlik Yardımı")*($DN$21/CH13)</f>
        <v>0</v>
      </c>
      <c r="BN5" s="37">
        <f>COUNTIF(O24,"Yok")*(0)
+COUNTIF(O24,"Bayram Yardımı (Kurban)")*(0)
+COUNTIF(O24,"Bayram Yardımı (Ramazan)")*(0)
+COUNTIF(O24,"Cenaze Yardımı (Anne-Baba)")*($DN$4)
+COUNTIF(O24,"Cenaze Yardımı (Eş-Çocuk)")*($DN$5)
+COUNTIF(O24,"Cenaze Yardımı (İşçi-İş Kazası Sonucu)")*($DN$6)
+COUNTIF(O24,"Cenaze Yardımı (İşçi-Tabii Sebepler Sonucu)")*($DN$7)
+COUNTIF(O24,"Doğal Afet Yardımı")*($DN$8)
+COUNTIF(O24,"Doğum Yardımı (İşveren)")*($DN$9)
+COUNTIF(O24,"Eğitim Yardımı (Çocuk-Zorunlu Anaokulu)")*(0)
+COUNTIF(O24,"Eğitim Yardımı (Çocuk-İlköğretim)")*(0)
+COUNTIF(O24,"Eğitim Yardımı (Çocuk-Ortaöğretim)")*(0)
+COUNTIF(O24,"Eğitim Yardımı (Çocuk-Lise)")*(0)
+COUNTIF(O24,"Eğitim Yardımı (Çocuk-Yükseköğretim)")*(0)
+COUNTIF(O24,"Eğitim Yardımı (Çocuk-Engelli)")*(0)
+COUNTIF(O24,"Eğitim Yardımı (İşçi-Lise)")*(0)
+COUNTIF(O24,"Eğitim Yardımı (İşçi-Yükseköğretim)")*(0)
+COUNTIF(O24,"Evlilik Yardımı")*($DN$18)
+COUNTIF(O24,"İş Kazası veya Meslek Hastalığı Tazminatı")*($DN$19)
+COUNTIF(O24,"Sünnet Yardımı")*(0)
+COUNTIF(O24,"Temizlik Yardımı")*(0)
+COUNTIF(P24,"Yok")*(0)
+COUNTIF(P24,"Bayram Yardımı (Kurban)")*(0)
+COUNTIF(P24,"Bayram Yardımı (Ramazan)")*(0)
+COUNTIF(P24,"Cenaze Yardımı (Anne-Baba)")*($DN$4)
+COUNTIF(P24,"Cenaze Yardımı (Eş-Çocuk)")*($DN$5)
+COUNTIF(P24,"Cenaze Yardımı (İşçi-İş Kazası Sonucu)")*($DN$6)
+COUNTIF(P24,"Cenaze Yardımı (İşçi-Tabii Sebepler Sonucu)")*($DN$7)
+COUNTIF(P24,"Doğal Afet Yardımı")*($DN$8)
+COUNTIF(P24,"Doğum Yardımı (İşveren)")*($DN$9)
+COUNTIF(P24,"Eğitim Yardımı (Çocuk-Zorunlu Anaokulu)")*(0)
+COUNTIF(P24,"Eğitim Yardımı (Çocuk-İlköğretim)")*(0)
+COUNTIF(P24,"Eğitim Yardımı (Çocuk-Ortaöğretim)")*(0)
+COUNTIF(P24,"Eğitim Yardımı (Çocuk-Lise)")*(0)
+COUNTIF(P24,"Eğitim Yardımı (Çocuk-Yükseköğretim)")*(0)
+COUNTIF(P24,"Eğitim Yardımı (Çocuk-Engelli)")*(0)
+COUNTIF(P24,"Eğitim Yardımı (İşçi-Lise)")*(0)
+COUNTIF(P24,"Eğitim Yardımı (İşçi-Yükseköğretim)")*(0)
+COUNTIF(P24,"Evlilik Yardımı")*($DN$18)
+COUNTIF(P24,"İş Kazası veya Meslek Hastalığı Tazminatı")*($DN$19)
+COUNTIF(P24,"Sünnet Yardımı")*(0)
+COUNTIF(P24,"Temizlik Yardımı")*(0)
+COUNTIF(Q24,"Yok")*(0)
+COUNTIF(Q24,"Bayram Yardımı (Kurban)")*(0)
+COUNTIF(Q24,"Bayram Yardımı (Ramazan)")*(0)
+COUNTIF(Q24,"Cenaze Yardımı (Anne-Baba)")*($DN$4)
+COUNTIF(Q24,"Cenaze Yardımı (Eş-Çocuk)")*($DN$5)
+COUNTIF(Q24,"Cenaze Yardımı (İşçi-İş Kazası Sonucu)")*($DN$6)
+COUNTIF(Q24,"Cenaze Yardımı (İşçi-Tabii Sebepler Sonucu)")*($DN$7)
+COUNTIF(Q24,"Doğal Afet Yardımı")*($DN$8)
+COUNTIF(Q24,"Doğum Yardımı (İşveren)")*($DN$9)
+COUNTIF(Q24,"Eğitim Yardımı (Çocuk-Zorunlu Anaokulu)")*(0)
+COUNTIF(Q24,"Eğitim Yardımı (Çocuk-İlköğretim)")*(0)
+COUNTIF(Q24,"Eğitim Yardımı (Çocuk-Ortaöğretim)")*(0)
+COUNTIF(Q24,"Eğitim Yardımı (Çocuk-Lise)")*(0)
+COUNTIF(Q24,"Eğitim Yardımı (Çocuk-Yükseköğretim)")*(0)
+COUNTIF(Q24,"Eğitim Yardımı (Çocuk-Engelli)")*(0)
+COUNTIF(Q24,"Eğitim Yardımı (İşçi-Lise)")*(0)
+COUNTIF(Q24,"Eğitim Yardımı (İşçi-Yükseköğretim)")*(0)
+COUNTIF(Q24,"Evlilik Yardımı")*($DN$18)
+COUNTIF(Q24,"İş Kazası veya Meslek Hastalığı Tazminatı")*($DN$19)
+COUNTIF(Q24,"Sünnet Yardımı")*(0)
+COUNTIF(Q24,"Temizlik Yardımı")*(0)</f>
        <v>0</v>
      </c>
      <c r="BO5" s="37">
        <f ca="1">COUNTIF(O24,"Yok")*(0)
+COUNTIF(O24,"Bayram Yardımı (Kurban)")*($DN$2)
+COUNTIF(O24,"Bayram Yardımı (Ramazan)")*($DN$3)
+COUNTIF(O24,"Cenaze Yardımı (Anne-Baba)")*($DN$4-$DN$4*0.00759)
+COUNTIF(O24,"Cenaze Yardımı (Eş-Çocuk)")*($DN$5-$DN$5*0.00759)
+COUNTIF(O24,"Cenaze Yardımı (İşçi-İş Kazası Sonucu)")*($DN$6-$DN$6*0.00759)
+COUNTIF(O24,"Cenaze Yardımı (İşçi-Tabii Sebepler Sonucu)")*($DN$7-$DN$7*0.00759)
+COUNTIF(O24,"Doğal Afet Yardımı")*($DN$8-$DN$8*0.00759)
+COUNTIF(O24,"Doğum Yardımı (İşveren)")*($DN$9-$DN$9*0.00759)
+COUNTIF(O24,"Eğitim Yardımı (Çocuk-Zorunlu Anaokulu)")*($DN$10*CH13)
+COUNTIF(O24,"Eğitim Yardımı (Çocuk-İlköğretim)")*($DN$11*CH13)
+COUNTIF(O24,"Eğitim Yardımı (Çocuk-Ortaöğretim)")*($DN$12*CH13)
+COUNTIF(O24,"Eğitim Yardımı (Çocuk-Lise)")*($DN$13*CH13)
+COUNTIF(O24,"Eğitim Yardımı (Çocuk-Yükseköğretim)")*($DN$14*CH13)
+COUNTIF(O24,"Eğitim Yardımı (Çocuk-Engelli)")*($DN$15*CH13)
+COUNTIF(O24,"Eğitim Yardımı (İşçi-Lise)")*($DN$16*CH13)
+COUNTIF(O24,"Eğitim Yardımı (İşçi-Yükseköğretim)")*($DN$17*CH13)
+COUNTIF(O24,"Evlilik Yardımı")*($DN$18-$DN$18*0.00759)
+COUNTIF(O24,"İş Kazası veya Meslek Hastalığı Tazminatı")*($DN$19-$DN$19*0.00759)
+COUNTIF(O24,"Sünnet Yardımı")*($DN$20*CH13)
+COUNTIF(O24,"Temizlik Yardımı")*($DN$21)
+COUNTIF(P24,"Yok")*(0)
+COUNTIF(P24,"Bayram Yardımı (Kurban)")*($DN$2)
+COUNTIF(P24,"Bayram Yardımı (Ramazan)")*($DN$3)
+COUNTIF(P24,"Cenaze Yardımı (Anne-Baba)")*($DN$4-$DN$4*0.00759)
+COUNTIF(P24,"Cenaze Yardımı (Eş-Çocuk)")*($DN$5-$DN$5*0.00759)
+COUNTIF(P24,"Cenaze Yardımı (İşçi-İş Kazası Sonucu)")*($DN$6-$DN$6*0.00759)
+COUNTIF(P24,"Cenaze Yardımı (İşçi-Tabii Sebepler Sonucu)")*($DN$7-$DN$7*0.00759)
+COUNTIF(P24,"Doğal Afet Yardımı")*($DN$8-$DN$8*0.00759)
+COUNTIF(P24,"Doğum Yardımı (İşveren)")*($DN$9-$DN$9*0.00759)
+COUNTIF(P24,"Eğitim Yardımı (Çocuk-Zorunlu Anaokulu)")*($DN$10*CH13)
+COUNTIF(P24,"Eğitim Yardımı (Çocuk-İlköğretim)")*($DN$11*CH13)
+COUNTIF(P24,"Eğitim Yardımı (Çocuk-Ortaöğretim)")*($DN$12*CH13)
+COUNTIF(P24,"Eğitim Yardımı (Çocuk-Lise)")*($DN$13*CH13)
+COUNTIF(P24,"Eğitim Yardımı (Çocuk-Yükseköğretim)")*($DN$14*CH13)
+COUNTIF(P24,"Eğitim Yardımı (Çocuk-Engelli)")*($DN$15*CH13)
+COUNTIF(P24,"Eğitim Yardımı (İşçi-Lise)")*($DN$16*CH13)
+COUNTIF(P24,"Eğitim Yardımı (İşçi-Yükseköğretim)")*($DN$17*CH13)
+COUNTIF(P24,"Evlilik Yardımı")*($DN$18-$DN$18*0.00759)
+COUNTIF(P24,"İş Kazası veya Meslek Hastalığı Tazminatı")*($DN$19-$DN$19*0.00759)
+COUNTIF(P24,"Sünnet Yardımı")*($DN$20*CH13)
+COUNTIF(P24,"Temizlik Yardımı")*($DN$21)
+COUNTIF(Q24,"Yok")*(0)
+COUNTIF(Q24,"Bayram Yardımı (Kurban)")*($DN$2)
+COUNTIF(Q24,"Bayram Yardımı (Ramazan)")*($DN$3)
+COUNTIF(Q24,"Cenaze Yardımı (Anne-Baba)")*($DN$4-$DN$4*0.00759)
+COUNTIF(Q24,"Cenaze Yardımı (Eş-Çocuk)")*($DN$5-$DN$5*0.00759)
+COUNTIF(Q24,"Cenaze Yardımı (İşçi-İş Kazası Sonucu)")*($DN$6-$DN$6*0.00759)
+COUNTIF(Q24,"Cenaze Yardımı (İşçi-Tabii Sebepler Sonucu)")*($DN$7-$DN$7*0.00759)
+COUNTIF(Q24,"Doğal Afet Yardımı")*($DN$8-$DN$8*0.00759)
+COUNTIF(Q24,"Doğum Yardımı (İşveren)")*($DN$9-$DN$9*0.00759)
+COUNTIF(Q24,"Eğitim Yardımı (Çocuk-Zorunlu Anaokulu)")*($DN$10*CH13)
+COUNTIF(Q24,"Eğitim Yardımı (Çocuk-İlköğretim)")*($DN$11*CH13)
+COUNTIF(Q24,"Eğitim Yardımı (Çocuk-Ortaöğretim)")*($DN$12*CH13)
+COUNTIF(Q24,"Eğitim Yardımı (Çocuk-Lise)")*($DN$13*CH13)
+COUNTIF(Q24,"Eğitim Yardımı (Çocuk-Yükseköğretim)")*($DN$14*CH13)
+COUNTIF(Q24,"Eğitim Yardımı (Çocuk-Engelli)")*($DN$15*CH13)
+COUNTIF(Q24,"Eğitim Yardımı (İşçi-Lise)")*($DN$16*CH13)
+COUNTIF(Q24,"Eğitim Yardımı (İşçi-Yükseköğretim)")*($DN$17*CH13)
+COUNTIF(Q24,"Evlilik Yardımı")*($DN$18-$DN$18*0.00759)
+COUNTIF(Q24,"İş Kazası veya Meslek Hastalığı Tazminatı")*($DN$19-$DN$19*0.00759)
+COUNTIF(Q24,"Sünnet Yardımı")*($DN$20*CH13)
+COUNTIF(Q24,"Temizlik Yardımı")*($DN$21)</f>
        <v>0</v>
      </c>
      <c r="BP5" s="33" t="s">
        <v>12</v>
      </c>
      <c r="BQ5" s="25">
        <f>COUNTIF(BP5,"Var")*(AP13*0.9*-1)</f>
        <v>-227.34</v>
      </c>
      <c r="BR5" s="25">
        <f>(BQ5*-1)</f>
        <v>227.34</v>
      </c>
      <c r="BS5" s="37">
        <f ca="1">(DI20*R24+BT5)*-1</f>
        <v>0</v>
      </c>
      <c r="BT5" s="37">
        <f>(AY3+AY9+BA9+BC9-BH9)*(R24*-1)</f>
        <v>0</v>
      </c>
      <c r="BU5" s="37">
        <f ca="1">(BS5+BT5)</f>
        <v>0</v>
      </c>
      <c r="BV5" s="25" t="s">
        <v>0</v>
      </c>
      <c r="BW5" s="25">
        <f>(6471)</f>
        <v>6471</v>
      </c>
      <c r="BX5" s="25">
        <f>(6471)</f>
        <v>6471</v>
      </c>
      <c r="BY5" s="25">
        <f>(BW5-BX5)</f>
        <v>0</v>
      </c>
      <c r="BZ5" s="25">
        <f>(BY5*0.00759*-1)</f>
        <v>0</v>
      </c>
      <c r="CA5" s="25">
        <f>(0)</f>
        <v>0</v>
      </c>
      <c r="CB5" s="25">
        <f>(BW5-CA5)</f>
        <v>6471</v>
      </c>
      <c r="CC5" s="25">
        <f>(CB5*0.14*-1)</f>
        <v>-905.94</v>
      </c>
      <c r="CD5" s="25">
        <f>(CB5*0.01*-1)</f>
        <v>-64.710000000000008</v>
      </c>
      <c r="CE5" s="37">
        <f ca="1">COUNTIF(O20,"Yok")*(0)
+COUNTIF(O20,"Bayram Yardımı (Kurban)")*($DN$2/CI1)
+COUNTIF(O20,"Bayram Yardımı (Ramazan)")*($DN$3/CI1)
+COUNTIF(O20,"Cenaze Yardımı (Anne-Baba)")*($DN$4)
+COUNTIF(O20,"Cenaze Yardımı (Eş-Çocuk)")*($DN$5)
+COUNTIF(O20,"Cenaze Yardımı (İşçi-İş Kazası Sonucu)")*($DN$6)
+COUNTIF(O20,"Cenaze Yardımı (İşçi-Tabii Sebepler Sonucu)")*($DN$7)
+COUNTIF(O20,"Doğal Afet Yardımı")*($DN$8)
+COUNTIF(O20,"Doğum Yardımı (İşveren)")*($DN$9)
+COUNTIF(O20,"Eğitim Yardımı (Çocuk-Zorunlu Anaokulu)")*($DN$10)
+COUNTIF(O20,"Eğitim Yardımı (Çocuk-İlköğretim)")*($DN$11)
+COUNTIF(O20,"Eğitim Yardımı (Çocuk-Ortaöğretim)")*($DN$12)
+COUNTIF(O20,"Eğitim Yardımı (Çocuk-Lise)")*($DN$13)
+COUNTIF(O20,"Eğitim Yardımı (Çocuk-Yükseköğretim)")*($DN$14)
+COUNTIF(O20,"Eğitim Yardımı (Çocuk-Engelli)")*($DN$15)
+COUNTIF(O20,"Eğitim Yardımı (İşçi-Lise)")*($DN$16)
+COUNTIF(O20,"Eğitim Yardımı (İşçi-Yükseköğretim)")*($DN$17)
+COUNTIF(O20,"Evlilik Yardımı")*($DN$18)
+COUNTIF(O20,"İş Kazası veya Meslek Hastalığı Tazminatı")*($DN$19)
+COUNTIF(O20,"Sünnet Yardımı")*($DN$20)
+COUNTIF(O20,"Temizlik Yardımı")*($DN$21/CI1)
+COUNTIF(P20,"Yok")*(0)
+COUNTIF(P20,"Bayram Yardımı (Kurban)")*($DN$2/CI1)
+COUNTIF(P20,"Bayram Yardımı (Ramazan)")*($DN$3/CI1)
+COUNTIF(P20,"Cenaze Yardımı (Anne-Baba)")*($DN$4)
+COUNTIF(P20,"Cenaze Yardımı (Eş-Çocuk)")*($DN$5)
+COUNTIF(P20,"Cenaze Yardımı (İşçi-İş Kazası Sonucu)")*($DN$6)
+COUNTIF(P20,"Cenaze Yardımı (İşçi-Tabii Sebepler Sonucu)")*($DN$7)
+COUNTIF(P20,"Doğal Afet Yardımı")*($DN$8)
+COUNTIF(P20,"Doğum Yardımı (İşveren)")*($DN$9)
+COUNTIF(P20,"Eğitim Yardımı (Çocuk-Zorunlu Anaokulu)")*($DN$10)
+COUNTIF(P20,"Eğitim Yardımı (Çocuk-İlköğretim)")*($DN$11)
+COUNTIF(P20,"Eğitim Yardımı (Çocuk-Ortaöğretim)")*($DN$12)
+COUNTIF(P20,"Eğitim Yardımı (Çocuk-Lise)")*($DN$13)
+COUNTIF(P20,"Eğitim Yardımı (Çocuk-Yükseköğretim)")*($DN$14)
+COUNTIF(P20,"Eğitim Yardımı (Çocuk-Engelli)")*($DN$15)
+COUNTIF(P20,"Eğitim Yardımı (İşçi-Lise)")*($DN$16)
+COUNTIF(P20,"Eğitim Yardımı (İşçi-Yükseköğretim)")*($DN$17)
+COUNTIF(P20,"Evlilik Yardımı")*($DN$18)
+COUNTIF(P20,"İş Kazası veya Meslek Hastalığı Tazminatı")*($DN$19)
+COUNTIF(P20,"Sünnet Yardımı")*($DN$20)
+COUNTIF(P20,"Temizlik Yardımı")*($DN$21/CI1)
+COUNTIF(Q20,"Yok")*(0)
+COUNTIF(Q20,"Bayram Yardımı (Kurban)")*($DN$2/CI1)
+COUNTIF(Q20,"Bayram Yardımı (Ramazan)")*($DN$3/CI1)
+COUNTIF(Q20,"Cenaze Yardımı (Anne-Baba)")*($DN$4)
+COUNTIF(Q20,"Cenaze Yardımı (Eş-Çocuk)")*($DN$5)
+COUNTIF(Q20,"Cenaze Yardımı (İşçi-İş Kazası Sonucu)")*($DN$6)
+COUNTIF(Q20,"Cenaze Yardımı (İşçi-Tabii Sebepler Sonucu)")*($DN$7)
+COUNTIF(Q20,"Doğal Afet Yardımı")*($DN$8)
+COUNTIF(Q20,"Doğum Yardımı (İşveren)")*($DN$9)
+COUNTIF(Q20,"Eğitim Yardımı (Çocuk-Zorunlu Anaokulu)")*($DN$10)
+COUNTIF(Q20,"Eğitim Yardımı (Çocuk-İlköğretim)")*($DN$11)
+COUNTIF(Q20,"Eğitim Yardımı (Çocuk-Ortaöğretim)")*($DN$12)
+COUNTIF(Q20,"Eğitim Yardımı (Çocuk-Lise)")*($DN$13)
+COUNTIF(Q20,"Eğitim Yardımı (Çocuk-Yükseköğretim)")*($DN$14)
+COUNTIF(Q20,"Eğitim Yardımı (Çocuk-Engelli)")*($DN$15)
+COUNTIF(Q20,"Eğitim Yardımı (İşçi-Lise)")*($DN$16)
+COUNTIF(Q20,"Eğitim Yardımı (İşçi-Yükseköğretim)")*($DN$17)
+COUNTIF(Q20,"Evlilik Yardımı")*($DN$18)
+COUNTIF(Q20,"İş Kazası veya Meslek Hastalığı Tazminatı")*($DN$19)
+COUNTIF(Q20,"Sünnet Yardımı")*($DN$20)
+COUNTIF(Q20,"Temizlik Yardımı")*($DN$21/CI1)</f>
        <v>0</v>
      </c>
      <c r="CF5" s="37">
        <f>COUNTIF(O20,"Yok")*(0)
+COUNTIF(O20,"Bayram Yardımı (Kurban)")*(0)
+COUNTIF(O20,"Bayram Yardımı (Ramazan)")*(0)
+COUNTIF(O20,"Cenaze Yardımı (Anne-Baba)")*($DN$4)
+COUNTIF(O20,"Cenaze Yardımı (Eş-Çocuk)")*($DN$5)
+COUNTIF(O20,"Cenaze Yardımı (İşçi-İş Kazası Sonucu)")*($DN$6)
+COUNTIF(O20,"Cenaze Yardımı (İşçi-Tabii Sebepler Sonucu)")*($DN$7)
+COUNTIF(O20,"Doğal Afet Yardımı")*($DN$8)
+COUNTIF(O20,"Doğum Yardımı (İşveren)")*($DN$9)
+COUNTIF(O20,"Eğitim Yardımı (Çocuk-Zorunlu Anaokulu)")*(0)
+COUNTIF(O20,"Eğitim Yardımı (Çocuk-İlköğretim)")*(0)
+COUNTIF(O20,"Eğitim Yardımı (Çocuk-Ortaöğretim)")*(0)
+COUNTIF(O20,"Eğitim Yardımı (Çocuk-Lise)")*(0)
+COUNTIF(O20,"Eğitim Yardımı (Çocuk-Yükseköğretim)")*(0)
+COUNTIF(O20,"Eğitim Yardımı (Çocuk-Engelli)")*(0)
+COUNTIF(O20,"Eğitim Yardımı (İşçi-Lise)")*(0)
+COUNTIF(O20,"Eğitim Yardımı (İşçi-Yükseköğretim)")*(0)
+COUNTIF(O20,"Evlilik Yardımı")*($DN$18)
+COUNTIF(O20,"İş Kazası veya Meslek Hastalığı Tazminatı")*($DN$19)
+COUNTIF(O20,"Sünnet Yardımı")*(0)
+COUNTIF(O20,"Temizlik Yardımı")*(0)
+COUNTIF(P20,"Yok")*(0)
+COUNTIF(P20,"Bayram Yardımı (Kurban)")*(0)
+COUNTIF(P20,"Bayram Yardımı (Ramazan)")*(0)
+COUNTIF(P20,"Cenaze Yardımı (Anne-Baba)")*($DN$4)
+COUNTIF(P20,"Cenaze Yardımı (Eş-Çocuk)")*($DN$5)
+COUNTIF(P20,"Cenaze Yardımı (İşçi-İş Kazası Sonucu)")*($DN$6)
+COUNTIF(P20,"Cenaze Yardımı (İşçi-Tabii Sebepler Sonucu)")*($DN$7)
+COUNTIF(P20,"Doğal Afet Yardımı")*($DN$8)
+COUNTIF(P20,"Doğum Yardımı (İşveren)")*($DN$9)
+COUNTIF(P20,"Eğitim Yardımı (Çocuk-Zorunlu Anaokulu)")*(0)
+COUNTIF(P20,"Eğitim Yardımı (Çocuk-İlköğretim)")*(0)
+COUNTIF(P20,"Eğitim Yardımı (Çocuk-Ortaöğretim)")*(0)
+COUNTIF(P20,"Eğitim Yardımı (Çocuk-Lise)")*(0)
+COUNTIF(P20,"Eğitim Yardımı (Çocuk-Yükseköğretim)")*(0)
+COUNTIF(P20,"Eğitim Yardımı (Çocuk-Engelli)")*(0)
+COUNTIF(P20,"Eğitim Yardımı (İşçi-Lise)")*(0)
+COUNTIF(P20,"Eğitim Yardımı (İşçi-Yükseköğretim)")*(0)
+COUNTIF(P20,"Evlilik Yardımı")*($DN$18)
+COUNTIF(P20,"İş Kazası veya Meslek Hastalığı Tazminatı")*($DN$19)
+COUNTIF(P20,"Sünnet Yardımı")*(0)
+COUNTIF(P20,"Temizlik Yardımı")*(0)
+COUNTIF(Q20,"Yok")*(0)
+COUNTIF(Q20,"Bayram Yardımı (Kurban)")*(0)
+COUNTIF(Q20,"Bayram Yardımı (Ramazan)")*(0)
+COUNTIF(Q20,"Cenaze Yardımı (Anne-Baba)")*($DN$4)
+COUNTIF(Q20,"Cenaze Yardımı (Eş-Çocuk)")*($DN$5)
+COUNTIF(Q20,"Cenaze Yardımı (İşçi-İş Kazası Sonucu)")*($DN$6)
+COUNTIF(Q20,"Cenaze Yardımı (İşçi-Tabii Sebepler Sonucu)")*($DN$7)
+COUNTIF(Q20,"Doğal Afet Yardımı")*($DN$8)
+COUNTIF(Q20,"Doğum Yardımı (İşveren)")*($DN$9)
+COUNTIF(Q20,"Eğitim Yardımı (Çocuk-Zorunlu Anaokulu)")*(0)
+COUNTIF(Q20,"Eğitim Yardımı (Çocuk-İlköğretim)")*(0)
+COUNTIF(Q20,"Eğitim Yardımı (Çocuk-Ortaöğretim)")*(0)
+COUNTIF(Q20,"Eğitim Yardımı (Çocuk-Lise)")*(0)
+COUNTIF(Q20,"Eğitim Yardımı (Çocuk-Yükseköğretim)")*(0)
+COUNTIF(Q20,"Eğitim Yardımı (Çocuk-Engelli)")*(0)
+COUNTIF(Q20,"Eğitim Yardımı (İşçi-Lise)")*(0)
+COUNTIF(Q20,"Eğitim Yardımı (İşçi-Yükseköğretim)")*(0)
+COUNTIF(Q20,"Evlilik Yardımı")*($DN$18)
+COUNTIF(Q20,"İş Kazası veya Meslek Hastalığı Tazminatı")*($DN$19)
+COUNTIF(Q20,"Sünnet Yardımı")*(0)
+COUNTIF(Q20,"Temizlik Yardımı")*(0)</f>
        <v>0</v>
      </c>
      <c r="CG5" s="37">
        <f ca="1">COUNTIF(O20,"Yok")*(0)
+COUNTIF(O20,"Bayram Yardımı (Kurban)")*($DN$2)
+COUNTIF(O20,"Bayram Yardımı (Ramazan)")*($DN$3)
+COUNTIF(O20,"Cenaze Yardımı (Anne-Baba)")*($DN$4-$DN$4*0.00759)
+COUNTIF(O20,"Cenaze Yardımı (Eş-Çocuk)")*($DN$5-$DN$5*0.00759)
+COUNTIF(O20,"Cenaze Yardımı (İşçi-İş Kazası Sonucu)")*($DN$6-$DN$6*0.00759)
+COUNTIF(O20,"Cenaze Yardımı (İşçi-Tabii Sebepler Sonucu)")*($DN$7-$DN$7*0.00759)
+COUNTIF(O20,"Doğal Afet Yardımı")*($DN$8-$DN$8*0.00759)
+COUNTIF(O20,"Doğum Yardımı (İşveren)")*($DN$9-$DN$9*0.00759)
+COUNTIF(O20,"Eğitim Yardımı (Çocuk-Zorunlu Anaokulu)")*($DN$10*CI1)
+COUNTIF(O20,"Eğitim Yardımı (Çocuk-İlköğretim)")*($DN$11*CI1)
+COUNTIF(O20,"Eğitim Yardımı (Çocuk-Ortaöğretim)")*($DN$12*CI1)
+COUNTIF(O20,"Eğitim Yardımı (Çocuk-Lise)")*($DN$13*CI1)
+COUNTIF(O20,"Eğitim Yardımı (Çocuk-Yükseköğretim)")*($DN$14*CI1)
+COUNTIF(O20,"Eğitim Yardımı (Çocuk-Engelli)")*($DN$15*CI1)
+COUNTIF(O20,"Eğitim Yardımı (İşçi-Lise)")*($DN$16*CI1)
+COUNTIF(O20,"Eğitim Yardımı (İşçi-Yükseköğretim)")*($DN$17*CI1)
+COUNTIF(O20,"Evlilik Yardımı")*($DN$18-$DN$18*0.00759)
+COUNTIF(O20,"İş Kazası veya Meslek Hastalığı Tazminatı")*($DN$19-$DN$19*0.00759)
+COUNTIF(O20,"Sünnet Yardımı")*($DN$20*CI1)
+COUNTIF(O20,"Temizlik Yardımı")*($DN$21)
+COUNTIF(P20,"Yok")*(0)
+COUNTIF(P20,"Bayram Yardımı (Kurban)")*($DN$2)
+COUNTIF(P20,"Bayram Yardımı (Ramazan)")*($DN$3)
+COUNTIF(P20,"Cenaze Yardımı (Anne-Baba)")*($DN$4-$DN$4*0.00759)
+COUNTIF(P20,"Cenaze Yardımı (Eş-Çocuk)")*($DN$5-$DN$5*0.00759)
+COUNTIF(P20,"Cenaze Yardımı (İşçi-İş Kazası Sonucu)")*($DN$6-$DN$6*0.00759)
+COUNTIF(P20,"Cenaze Yardımı (İşçi-Tabii Sebepler Sonucu)")*($DN$7-$DN$7*0.00759)
+COUNTIF(P20,"Doğal Afet Yardımı")*($DN$8-$DN$8*0.00759)
+COUNTIF(P20,"Doğum Yardımı (İşveren)")*($DN$9-$DN$9*0.00759)
+COUNTIF(P20,"Eğitim Yardımı (Çocuk-Zorunlu Anaokulu)")*($DN$10*CI1)
+COUNTIF(P20,"Eğitim Yardımı (Çocuk-İlköğretim)")*($DN$11*CI1)
+COUNTIF(P20,"Eğitim Yardımı (Çocuk-Ortaöğretim)")*($DN$12*CI1)
+COUNTIF(P20,"Eğitim Yardımı (Çocuk-Lise)")*($DN$13*CI1)
+COUNTIF(P20,"Eğitim Yardımı (Çocuk-Yükseköğretim)")*($DN$14*CI1)
+COUNTIF(P20,"Eğitim Yardımı (Çocuk-Engelli)")*($DN$15*CI1)
+COUNTIF(P20,"Eğitim Yardımı (İşçi-Lise)")*($DN$16*CI1)
+COUNTIF(P20,"Eğitim Yardımı (İşçi-Yükseköğretim)")*($DN$17*CI1)
+COUNTIF(P20,"Evlilik Yardımı")*($DN$18-$DN$18*0.00759)
+COUNTIF(P20,"İş Kazası veya Meslek Hastalığı Tazminatı")*($DN$19-$DN$19*0.00759)
+COUNTIF(P20,"Sünnet Yardımı")*($DN$20*CI1)
+COUNTIF(P20,"Temizlik Yardımı")*($DN$21)
+COUNTIF(Q20,"Yok")*(0)
+COUNTIF(Q20,"Bayram Yardımı (Kurban)")*($DN$2)
+COUNTIF(Q20,"Bayram Yardımı (Ramazan)")*($DN$3)
+COUNTIF(Q20,"Cenaze Yardımı (Anne-Baba)")*($DN$4-$DN$4*0.00759)
+COUNTIF(Q20,"Cenaze Yardımı (Eş-Çocuk)")*($DN$5-$DN$5*0.00759)
+COUNTIF(Q20,"Cenaze Yardımı (İşçi-İş Kazası Sonucu)")*($DN$6-$DN$6*0.00759)
+COUNTIF(Q20,"Cenaze Yardımı (İşçi-Tabii Sebepler Sonucu)")*($DN$7-$DN$7*0.00759)
+COUNTIF(Q20,"Doğal Afet Yardımı")*($DN$8-$DN$8*0.00759)
+COUNTIF(Q20,"Doğum Yardımı (İşveren)")*($DN$9-$DN$9*0.00759)
+COUNTIF(Q20,"Eğitim Yardımı (Çocuk-Zorunlu Anaokulu)")*($DN$10*CI1)
+COUNTIF(Q20,"Eğitim Yardımı (Çocuk-İlköğretim)")*($DN$11*CI1)
+COUNTIF(Q20,"Eğitim Yardımı (Çocuk-Ortaöğretim)")*($DN$12*CI1)
+COUNTIF(Q20,"Eğitim Yardımı (Çocuk-Lise)")*($DN$13*CI1)
+COUNTIF(Q20,"Eğitim Yardımı (Çocuk-Yükseköğretim)")*($DN$14*CI1)
+COUNTIF(Q20,"Eğitim Yardımı (Çocuk-Engelli)")*($DN$15*CI1)
+COUNTIF(Q20,"Eğitim Yardımı (İşçi-Lise)")*($DN$16*CI1)
+COUNTIF(Q20,"Eğitim Yardımı (İşçi-Yükseköğretim)")*($DN$17*CI1)
+COUNTIF(Q20,"Evlilik Yardımı")*($DN$18-$DN$18*0.00759)
+COUNTIF(Q20,"İş Kazası veya Meslek Hastalığı Tazminatı")*($DN$19-$DN$19*0.00759)
+COUNTIF(Q20,"Sünnet Yardımı")*($DN$20*CI1)
+COUNTIF(Q20,"Temizlik Yardımı")*($DN$21)</f>
        <v>0</v>
      </c>
      <c r="CH5" s="33" t="s">
        <v>12</v>
      </c>
      <c r="CI5" s="25">
        <f>COUNTIF(CH5,"Var")*(AU20*0.9*-1)</f>
        <v>-192.61800000000002</v>
      </c>
      <c r="CJ5" s="25">
        <f>(CI5*-1)</f>
        <v>192.61800000000002</v>
      </c>
      <c r="CK5" s="37">
        <f ca="1">(DI16*R20+CE9)*-1</f>
        <v>0</v>
      </c>
      <c r="CL5" s="25">
        <f ca="1">(CZ22)</f>
        <v>16438.62</v>
      </c>
      <c r="CM5" s="25">
        <f ca="1">(CL5*0.205)</f>
        <v>3369.9170999999997</v>
      </c>
      <c r="CN5" s="25">
        <f ca="1">(CL5*0.01)</f>
        <v>164.3862</v>
      </c>
      <c r="CO5" s="25">
        <f ca="1">(CL5*0.05*-1)</f>
        <v>-821.93100000000004</v>
      </c>
      <c r="CP5" s="25">
        <f ca="1">(CL5+CM5+CN5+CO5)</f>
        <v>19150.992299999998</v>
      </c>
      <c r="CS5" s="31">
        <v>0.35</v>
      </c>
      <c r="CT5" s="25">
        <f>$CU$4</f>
        <v>250000</v>
      </c>
      <c r="CU5" s="25">
        <v>880000</v>
      </c>
      <c r="CV5" s="25">
        <f>(CU4-CT4)*CS4+CV4</f>
        <v>61000</v>
      </c>
      <c r="CW5" s="25">
        <f>(0)</f>
        <v>0</v>
      </c>
      <c r="CX5" s="25">
        <f>(BW13+CC13+CD13-CW5)</f>
        <v>4253.3999999999996</v>
      </c>
      <c r="CY5" s="25">
        <f>SUM(CX$2:$CX5)</f>
        <v>17013.599999999999</v>
      </c>
      <c r="CZ5" s="29">
        <f t="shared" si="2"/>
        <v>0.15</v>
      </c>
      <c r="DA5" s="33">
        <f t="shared" si="3"/>
        <v>0</v>
      </c>
      <c r="DB5" s="28">
        <f>IF(DA6=0,CZ6,(VLOOKUP($CZ6,$CS$2:$CV$6,2,0)-CY5)/CX6*CZ5+(CY6-VLOOKUP($CZ6,$CS$2:$CV$6,2,0))/CX6*CZ6)</f>
        <v>0.15</v>
      </c>
      <c r="DC5" s="25">
        <f>(ROUND(CX6*DB5,2))</f>
        <v>638.01</v>
      </c>
      <c r="DD5" s="28">
        <f>(100+(100*0.00759*-1)+(100*0.01*-1)+(100*0.01*-1)+(100+100*0.14*-1+100*0.01*-1)*DB5*-1)/100</f>
        <v>0.84491000000000005</v>
      </c>
      <c r="DE5" s="25">
        <f>CH8</f>
        <v>5004</v>
      </c>
      <c r="DF5" s="25">
        <f>CH8+CK8+CN8+CO8</f>
        <v>4253.3999999999996</v>
      </c>
      <c r="DG5" s="25" t="s">
        <v>0</v>
      </c>
      <c r="DH5" s="25">
        <f ca="1">(AJ19+AL19+AN19+AY4+BA4+BC4+BD15+BJ15+BM15+BP15+BR15+BT15+CO15+CE4)</f>
        <v>9496.8100000000013</v>
      </c>
      <c r="DI5" s="25">
        <f ca="1">(AJ19+AL19+AN19+AY4+BA4+BC4+BD15+BJ15+BM15+BP15+BR15+BT15+CO15+CE4)</f>
        <v>9496.8100000000013</v>
      </c>
      <c r="DJ5" s="25">
        <f ca="1">(DI5*0.00759*-1)</f>
        <v>-72.080787900000018</v>
      </c>
      <c r="DK5" s="25">
        <f>(CI8)</f>
        <v>5004</v>
      </c>
      <c r="DL5" s="25">
        <f>(DK5*0.00759*-1)</f>
        <v>-37.980360000000005</v>
      </c>
      <c r="DM5" s="34" t="s">
        <v>62</v>
      </c>
      <c r="DN5" s="25">
        <v>3106.8</v>
      </c>
      <c r="DX5" s="24">
        <v>3</v>
      </c>
      <c r="DY5" s="35">
        <v>1.5</v>
      </c>
      <c r="DZ5" s="36">
        <v>0.05</v>
      </c>
      <c r="EA5" s="49"/>
    </row>
    <row r="6" spans="1:131" ht="39.950000000000003" customHeight="1" x14ac:dyDescent="0.25">
      <c r="A6" s="70"/>
      <c r="B6" s="71"/>
      <c r="C6" s="57"/>
      <c r="D6" s="57"/>
      <c r="E6" s="72"/>
      <c r="F6" s="72"/>
      <c r="G6" s="57"/>
      <c r="H6" s="57"/>
      <c r="I6" s="57"/>
      <c r="J6" s="74"/>
      <c r="K6" s="57"/>
      <c r="L6" s="57"/>
      <c r="M6" s="57"/>
      <c r="N6" s="57"/>
      <c r="O6" s="57"/>
      <c r="P6" s="57"/>
      <c r="Q6" s="57"/>
      <c r="R6" s="57"/>
      <c r="S6" s="57"/>
      <c r="T6" s="57"/>
      <c r="U6" s="73"/>
      <c r="V6" s="15" t="s">
        <v>8</v>
      </c>
      <c r="W6" s="16">
        <f t="shared" ca="1" si="0"/>
        <v>10054.279827512655</v>
      </c>
      <c r="X6" s="16">
        <f ca="1">COUNTIF(Y1,"Ocak")*(AP22)
+COUNTIF(Y1,"Şubat")*(AP23)
+COUNTIF(Y1,"Mart")*(AP24)
+COUNTIF(Y1,"Nisan")*(AP25)
+COUNTIF(Y1,"Mayıs")*(BD4)
+COUNTIF(Y1,"Haziran")*(BD5)
+COUNTIF(Y1,"Temmuz")*(BD6)
+COUNTIF(Y1,"Ağustos")*(BD7)
+COUNTIF(Y1,"Eylül")*(BD8)
+COUNTIF(Y1,"Ekim")*(BD9)
+COUNTIF(Y1,"Kasım")*(BD10)
+COUNTIF(Y1,"Aralık")*(BD11)
+COUNTIF(Y1,"Yıllık Toplam")*(BD12)
+COUNTIF(Y1,"Yıllık Ortalama")*(BD13)</f>
        <v>10054.279827512655</v>
      </c>
      <c r="Y6" s="64"/>
      <c r="Z6" s="68"/>
      <c r="AA6" s="77" t="s">
        <v>135</v>
      </c>
      <c r="AB6" s="78" t="s">
        <v>136</v>
      </c>
      <c r="AC6" s="56"/>
      <c r="AD6" s="58"/>
      <c r="AE6" s="60"/>
      <c r="AF6" s="59"/>
      <c r="AG6" s="21" t="s">
        <v>81</v>
      </c>
      <c r="AH6" s="22">
        <v>309.3</v>
      </c>
      <c r="AI6" s="22">
        <v>364.9</v>
      </c>
      <c r="AJ6" s="24" t="s">
        <v>0</v>
      </c>
      <c r="AK6" s="24" t="s">
        <v>0</v>
      </c>
      <c r="AL6" s="25">
        <f>($AP$3)</f>
        <v>58.861249999999998</v>
      </c>
      <c r="AM6" s="25">
        <f>($AQ$3)</f>
        <v>83.400750000000002</v>
      </c>
      <c r="AN6" s="38">
        <f>(0.235445)</f>
        <v>0.23544499999999999</v>
      </c>
      <c r="AO6" s="38">
        <f>(0.333603)</f>
        <v>0.33360299999999998</v>
      </c>
      <c r="AP6" s="24" t="s">
        <v>0</v>
      </c>
      <c r="AQ6" s="34" t="s">
        <v>0</v>
      </c>
      <c r="AR6" s="24" t="s">
        <v>0</v>
      </c>
      <c r="AS6" s="24" t="s">
        <v>0</v>
      </c>
      <c r="AT6" s="25">
        <f>($AT$1+$AT$2+$AT$3+$AT$4+$AT$5)</f>
        <v>10848.594125</v>
      </c>
      <c r="AU6" s="25">
        <f>($AU$1+$AU$2+$AU$3+$AU$4+$AU$5)</f>
        <v>15371.403274999999</v>
      </c>
      <c r="AX6" s="25">
        <f ca="1">(AN21*CI2)</f>
        <v>0</v>
      </c>
      <c r="AY6" s="25">
        <f>(AW21*E21)</f>
        <v>0</v>
      </c>
      <c r="AZ6" s="25">
        <f ca="1">(AY6*CI2)</f>
        <v>0</v>
      </c>
      <c r="BA6" s="25">
        <f>(AY21/7.5*0.3*F21)</f>
        <v>0</v>
      </c>
      <c r="BB6" s="25">
        <f ca="1">(BA6*CI2)</f>
        <v>0</v>
      </c>
      <c r="BC6" s="25">
        <f t="shared" si="4"/>
        <v>1209.78</v>
      </c>
      <c r="BD6" s="25">
        <f ca="1">(BF6+BG6+BJ6+BK6+AZ22)</f>
        <v>853.84096979999993</v>
      </c>
      <c r="BE6" s="25">
        <f t="shared" si="5"/>
        <v>1209.78</v>
      </c>
      <c r="BF6" s="25">
        <f t="shared" si="6"/>
        <v>1209.78</v>
      </c>
      <c r="BG6" s="25">
        <f t="shared" si="7"/>
        <v>-9.1822302000000011</v>
      </c>
      <c r="BH6" s="25">
        <f t="shared" ref="BH6:BH11" si="11">($AM$9*G21)</f>
        <v>336.44</v>
      </c>
      <c r="BI6" s="25">
        <f t="shared" si="8"/>
        <v>873.33999999999992</v>
      </c>
      <c r="BJ6" s="25">
        <f t="shared" si="9"/>
        <v>-122.2676</v>
      </c>
      <c r="BK6" s="25">
        <f t="shared" si="10"/>
        <v>-8.7333999999999996</v>
      </c>
      <c r="BL6" s="25">
        <f>(0)</f>
        <v>0</v>
      </c>
      <c r="BM6" s="37">
        <f ca="1">COUNTIF(O25,"Yok")*(0)
+COUNTIF(O25,"Bayram Yardımı (Kurban)")*($DN$2/DK6)
+COUNTIF(O25,"Bayram Yardımı (Ramazan)")*($DN$3/DK6)
+COUNTIF(O25,"Cenaze Yardımı (Anne-Baba)")*($DN$4)
+COUNTIF(O25,"Cenaze Yardımı (Eş-Çocuk)")*($DN$5)
+COUNTIF(O25,"Cenaze Yardımı (İşçi-İş Kazası Sonucu)")*($DN$6)
+COUNTIF(O25,"Cenaze Yardımı (İşçi-Tabii Sebepler Sonucu)")*($DN$7)
+COUNTIF(O25,"Doğal Afet Yardımı")*($DN$8)
+COUNTIF(O25,"Doğum Yardımı (İşveren)")*($DN$9)
+COUNTIF(O25,"Eğitim Yardımı (Çocuk-Zorunlu Anaokulu)")*($DN$10)
+COUNTIF(O25,"Eğitim Yardımı (Çocuk-İlköğretim)")*($DN$11)
+COUNTIF(O25,"Eğitim Yardımı (Çocuk-Ortaöğretim)")*($DN$12)
+COUNTIF(O25,"Eğitim Yardımı (Çocuk-Lise)")*($DN$13)
+COUNTIF(O25,"Eğitim Yardımı (Çocuk-Yükseköğretim)")*($DN$14)
+COUNTIF(O25,"Eğitim Yardımı (Çocuk-Engelli)")*($DN$15)
+COUNTIF(O25,"Eğitim Yardımı (İşçi-Lise)")*($DN$16)
+COUNTIF(O25,"Eğitim Yardımı (İşçi-Yükseköğretim)")*($DN$17)
+COUNTIF(O25,"Evlilik Yardımı")*($DN$18)
+COUNTIF(O25,"İş Kazası veya Meslek Hastalığı Tazminatı")*($DN$19)
+COUNTIF(O25,"Sünnet Yardımı")*($DN$20)
+COUNTIF(O25,"Temizlik Yardımı")*($DN$21/DK6)
+COUNTIF(P25,"Yok")*(0)
+COUNTIF(P25,"Bayram Yardımı (Kurban)")*($DN$2/DK6)
+COUNTIF(P25,"Bayram Yardımı (Ramazan)")*($DN$3/DK6)
+COUNTIF(P25,"Cenaze Yardımı (Anne-Baba)")*($DN$4)
+COUNTIF(P25,"Cenaze Yardımı (Eş-Çocuk)")*($DN$5)
+COUNTIF(P25,"Cenaze Yardımı (İşçi-İş Kazası Sonucu)")*($DN$6)
+COUNTIF(P25,"Cenaze Yardımı (İşçi-Tabii Sebepler Sonucu)")*($DN$7)
+COUNTIF(P25,"Doğal Afet Yardımı")*($DN$8)
+COUNTIF(P25,"Doğum Yardımı (İşveren)")*($DN$9)
+COUNTIF(P25,"Eğitim Yardımı (Çocuk-Zorunlu Anaokulu)")*($DN$10)
+COUNTIF(P25,"Eğitim Yardımı (Çocuk-İlköğretim)")*($DN$11)
+COUNTIF(P25,"Eğitim Yardımı (Çocuk-Ortaöğretim)")*($DN$12)
+COUNTIF(P25,"Eğitim Yardımı (Çocuk-Lise)")*($DN$13)
+COUNTIF(P25,"Eğitim Yardımı (Çocuk-Yükseköğretim)")*($DN$14)
+COUNTIF(P25,"Eğitim Yardımı (Çocuk-Engelli)")*($DN$15)
+COUNTIF(P25,"Eğitim Yardımı (İşçi-Lise)")*($DN$16)
+COUNTIF(P25,"Eğitim Yardımı (İşçi-Yükseköğretim)")*($DN$17)
+COUNTIF(P25,"Evlilik Yardımı")*($DN$18)
+COUNTIF(P25,"İş Kazası veya Meslek Hastalığı Tazminatı")*($DN$19)
+COUNTIF(P25,"Sünnet Yardımı")*($DN$20)
+COUNTIF(P25,"Temizlik Yardımı")*($DN$21/DK6)
+COUNTIF(Q25,"Yok")*(0)
+COUNTIF(Q25,"Bayram Yardımı (Kurban)")*($DN$2/DK6)
+COUNTIF(Q25,"Bayram Yardımı (Ramazan)")*($DN$3/DK6)
+COUNTIF(Q25,"Cenaze Yardımı (Anne-Baba)")*($DN$4)
+COUNTIF(Q25,"Cenaze Yardımı (Eş-Çocuk)")*($DN$5)
+COUNTIF(Q25,"Cenaze Yardımı (İşçi-İş Kazası Sonucu)")*($DN$6)
+COUNTIF(Q25,"Cenaze Yardımı (İşçi-Tabii Sebepler Sonucu)")*($DN$7)
+COUNTIF(Q25,"Doğal Afet Yardımı")*($DN$8)
+COUNTIF(Q25,"Doğum Yardımı (İşveren)")*($DN$9)
+COUNTIF(Q25,"Eğitim Yardımı (Çocuk-Zorunlu Anaokulu)")*($DN$10)
+COUNTIF(Q25,"Eğitim Yardımı (Çocuk-İlköğretim)")*($DN$11)
+COUNTIF(Q25,"Eğitim Yardımı (Çocuk-Ortaöğretim)")*($DN$12)
+COUNTIF(Q25,"Eğitim Yardımı (Çocuk-Lise)")*($DN$13)
+COUNTIF(Q25,"Eğitim Yardımı (Çocuk-Yükseköğretim)")*($DN$14)
+COUNTIF(Q25,"Eğitim Yardımı (Çocuk-Engelli)")*($DN$15)
+COUNTIF(Q25,"Eğitim Yardımı (İşçi-Lise)")*($DN$16)
+COUNTIF(Q25,"Eğitim Yardımı (İşçi-Yükseköğretim)")*($DN$17)
+COUNTIF(Q25,"Evlilik Yardımı")*($DN$18)
+COUNTIF(Q25,"İş Kazası veya Meslek Hastalığı Tazminatı")*($DN$19)
+COUNTIF(Q25,"Sünnet Yardımı")*($DN$20)
+COUNTIF(Q25,"Temizlik Yardımı")*($DN$21/DK6)</f>
        <v>0</v>
      </c>
      <c r="BN6" s="37">
        <f>COUNTIF(O25,"Yok")*(0)
+COUNTIF(O25,"Bayram Yardımı (Kurban)")*(0)
+COUNTIF(O25,"Bayram Yardımı (Ramazan)")*(0)
+COUNTIF(O25,"Cenaze Yardımı (Anne-Baba)")*($DN$4)
+COUNTIF(O25,"Cenaze Yardımı (Eş-Çocuk)")*($DN$5)
+COUNTIF(O25,"Cenaze Yardımı (İşçi-İş Kazası Sonucu)")*($DN$6)
+COUNTIF(O25,"Cenaze Yardımı (İşçi-Tabii Sebepler Sonucu)")*($DN$7)
+COUNTIF(O25,"Doğal Afet Yardımı")*($DN$8)
+COUNTIF(O25,"Doğum Yardımı (İşveren)")*($DN$9)
+COUNTIF(O25,"Eğitim Yardımı (Çocuk-Zorunlu Anaokulu)")*(0)
+COUNTIF(O25,"Eğitim Yardımı (Çocuk-İlköğretim)")*(0)
+COUNTIF(O25,"Eğitim Yardımı (Çocuk-Ortaöğretim)")*(0)
+COUNTIF(O25,"Eğitim Yardımı (Çocuk-Lise)")*(0)
+COUNTIF(O25,"Eğitim Yardımı (Çocuk-Yükseköğretim)")*(0)
+COUNTIF(O25,"Eğitim Yardımı (Çocuk-Engelli)")*(0)
+COUNTIF(O25,"Eğitim Yardımı (İşçi-Lise)")*(0)
+COUNTIF(O25,"Eğitim Yardımı (İşçi-Yükseköğretim)")*(0)
+COUNTIF(O25,"Evlilik Yardımı")*($DN$18)
+COUNTIF(O25,"İş Kazası veya Meslek Hastalığı Tazminatı")*($DN$19)
+COUNTIF(O25,"Sünnet Yardımı")*(0)
+COUNTIF(O25,"Temizlik Yardımı")*(0)
+COUNTIF(P25,"Yok")*(0)
+COUNTIF(P25,"Bayram Yardımı (Kurban)")*(0)
+COUNTIF(P25,"Bayram Yardımı (Ramazan)")*(0)
+COUNTIF(P25,"Cenaze Yardımı (Anne-Baba)")*($DN$4)
+COUNTIF(P25,"Cenaze Yardımı (Eş-Çocuk)")*($DN$5)
+COUNTIF(P25,"Cenaze Yardımı (İşçi-İş Kazası Sonucu)")*($DN$6)
+COUNTIF(P25,"Cenaze Yardımı (İşçi-Tabii Sebepler Sonucu)")*($DN$7)
+COUNTIF(P25,"Doğal Afet Yardımı")*($DN$8)
+COUNTIF(P25,"Doğum Yardımı (İşveren)")*($DN$9)
+COUNTIF(P25,"Eğitim Yardımı (Çocuk-Zorunlu Anaokulu)")*(0)
+COUNTIF(P25,"Eğitim Yardımı (Çocuk-İlköğretim)")*(0)
+COUNTIF(P25,"Eğitim Yardımı (Çocuk-Ortaöğretim)")*(0)
+COUNTIF(P25,"Eğitim Yardımı (Çocuk-Lise)")*(0)
+COUNTIF(P25,"Eğitim Yardımı (Çocuk-Yükseköğretim)")*(0)
+COUNTIF(P25,"Eğitim Yardımı (Çocuk-Engelli)")*(0)
+COUNTIF(P25,"Eğitim Yardımı (İşçi-Lise)")*(0)
+COUNTIF(P25,"Eğitim Yardımı (İşçi-Yükseköğretim)")*(0)
+COUNTIF(P25,"Evlilik Yardımı")*($DN$18)
+COUNTIF(P25,"İş Kazası veya Meslek Hastalığı Tazminatı")*($DN$19)
+COUNTIF(P25,"Sünnet Yardımı")*(0)
+COUNTIF(P25,"Temizlik Yardımı")*(0)
+COUNTIF(Q25,"Yok")*(0)
+COUNTIF(Q25,"Bayram Yardımı (Kurban)")*(0)
+COUNTIF(Q25,"Bayram Yardımı (Ramazan)")*(0)
+COUNTIF(Q25,"Cenaze Yardımı (Anne-Baba)")*($DN$4)
+COUNTIF(Q25,"Cenaze Yardımı (Eş-Çocuk)")*($DN$5)
+COUNTIF(Q25,"Cenaze Yardımı (İşçi-İş Kazası Sonucu)")*($DN$6)
+COUNTIF(Q25,"Cenaze Yardımı (İşçi-Tabii Sebepler Sonucu)")*($DN$7)
+COUNTIF(Q25,"Doğal Afet Yardımı")*($DN$8)
+COUNTIF(Q25,"Doğum Yardımı (İşveren)")*($DN$9)
+COUNTIF(Q25,"Eğitim Yardımı (Çocuk-Zorunlu Anaokulu)")*(0)
+COUNTIF(Q25,"Eğitim Yardımı (Çocuk-İlköğretim)")*(0)
+COUNTIF(Q25,"Eğitim Yardımı (Çocuk-Ortaöğretim)")*(0)
+COUNTIF(Q25,"Eğitim Yardımı (Çocuk-Lise)")*(0)
+COUNTIF(Q25,"Eğitim Yardımı (Çocuk-Yükseköğretim)")*(0)
+COUNTIF(Q25,"Eğitim Yardımı (Çocuk-Engelli)")*(0)
+COUNTIF(Q25,"Eğitim Yardımı (İşçi-Lise)")*(0)
+COUNTIF(Q25,"Eğitim Yardımı (İşçi-Yükseköğretim)")*(0)
+COUNTIF(Q25,"Evlilik Yardımı")*($DN$18)
+COUNTIF(Q25,"İş Kazası veya Meslek Hastalığı Tazminatı")*($DN$19)
+COUNTIF(Q25,"Sünnet Yardımı")*(0)
+COUNTIF(Q25,"Temizlik Yardımı")*(0)</f>
        <v>0</v>
      </c>
      <c r="BO6" s="37">
        <f ca="1">COUNTIF(O25,"Yok")*(0)
+COUNTIF(O25,"Bayram Yardımı (Kurban)")*($DN$2)
+COUNTIF(O25,"Bayram Yardımı (Ramazan)")*($DN$3)
+COUNTIF(O25,"Cenaze Yardımı (Anne-Baba)")*($DN$4-$DN$4*0.00759)
+COUNTIF(O25,"Cenaze Yardımı (Eş-Çocuk)")*($DN$5-$DN$5*0.00759)
+COUNTIF(O25,"Cenaze Yardımı (İşçi-İş Kazası Sonucu)")*($DN$6-$DN$6*0.00759)
+COUNTIF(O25,"Cenaze Yardımı (İşçi-Tabii Sebepler Sonucu)")*($DN$7-$DN$7*0.00759)
+COUNTIF(O25,"Doğal Afet Yardımı")*($DN$8-$DN$8*0.00759)
+COUNTIF(O25,"Doğum Yardımı (İşveren)")*($DN$9-$DN$9*0.00759)
+COUNTIF(O25,"Eğitim Yardımı (Çocuk-Zorunlu Anaokulu)")*($DN$10*DK6)
+COUNTIF(O25,"Eğitim Yardımı (Çocuk-İlköğretim)")*($DN$11*DK6)
+COUNTIF(O25,"Eğitim Yardımı (Çocuk-Ortaöğretim)")*($DN$12*DK6)
+COUNTIF(O25,"Eğitim Yardımı (Çocuk-Lise)")*($DN$13*DK6)
+COUNTIF(O25,"Eğitim Yardımı (Çocuk-Yükseköğretim)")*($DN$14*DK6)
+COUNTIF(O25,"Eğitim Yardımı (Çocuk-Engelli)")*($DN$15*DK6)
+COUNTIF(O25,"Eğitim Yardımı (İşçi-Lise)")*($DN$16*DK6)
+COUNTIF(O25,"Eğitim Yardımı (İşçi-Yükseköğretim)")*($DN$17*DK6)
+COUNTIF(O25,"Evlilik Yardımı")*($DN$18-$DN$18*0.00759)
+COUNTIF(O25,"İş Kazası veya Meslek Hastalığı Tazminatı")*($DN$19-$DN$19*0.00759)
+COUNTIF(O25,"Sünnet Yardımı")*($DN$20*DK6)
+COUNTIF(O25,"Temizlik Yardımı")*($DN$21)
+COUNTIF(P25,"Yok")*(0)
+COUNTIF(P25,"Bayram Yardımı (Kurban)")*($DN$2)
+COUNTIF(P25,"Bayram Yardımı (Ramazan)")*($DN$3)
+COUNTIF(P25,"Cenaze Yardımı (Anne-Baba)")*($DN$4-$DN$4*0.00759)
+COUNTIF(P25,"Cenaze Yardımı (Eş-Çocuk)")*($DN$5-$DN$5*0.00759)
+COUNTIF(P25,"Cenaze Yardımı (İşçi-İş Kazası Sonucu)")*($DN$6-$DN$6*0.00759)
+COUNTIF(P25,"Cenaze Yardımı (İşçi-Tabii Sebepler Sonucu)")*($DN$7-$DN$7*0.00759)
+COUNTIF(P25,"Doğal Afet Yardımı")*($DN$8-$DN$8*0.00759)
+COUNTIF(P25,"Doğum Yardımı (İşveren)")*($DN$9-$DN$9*0.00759)
+COUNTIF(P25,"Eğitim Yardımı (Çocuk-Zorunlu Anaokulu)")*($DN$10*DK6)
+COUNTIF(P25,"Eğitim Yardımı (Çocuk-İlköğretim)")*($DN$11*DK6)
+COUNTIF(P25,"Eğitim Yardımı (Çocuk-Ortaöğretim)")*($DN$12*DK6)
+COUNTIF(P25,"Eğitim Yardımı (Çocuk-Lise)")*($DN$13*DK6)
+COUNTIF(P25,"Eğitim Yardımı (Çocuk-Yükseköğretim)")*($DN$14*DK6)
+COUNTIF(P25,"Eğitim Yardımı (Çocuk-Engelli)")*($DN$15*DK6)
+COUNTIF(P25,"Eğitim Yardımı (İşçi-Lise)")*($DN$16*DK6)
+COUNTIF(P25,"Eğitim Yardımı (İşçi-Yükseköğretim)")*($DN$17*DK6)
+COUNTIF(P25,"Evlilik Yardımı")*($DN$18-$DN$18*0.00759)
+COUNTIF(P25,"İş Kazası veya Meslek Hastalığı Tazminatı")*($DN$19-$DN$19*0.00759)
+COUNTIF(P25,"Sünnet Yardımı")*($DN$20*DK6)
+COUNTIF(P25,"Temizlik Yardımı")*($DN$21)
+COUNTIF(Q25,"Yok")*(0)
+COUNTIF(Q25,"Bayram Yardımı (Kurban)")*($DN$2)
+COUNTIF(Q25,"Bayram Yardımı (Ramazan)")*($DN$3)
+COUNTIF(Q25,"Cenaze Yardımı (Anne-Baba)")*($DN$4-$DN$4*0.00759)
+COUNTIF(Q25,"Cenaze Yardımı (Eş-Çocuk)")*($DN$5-$DN$5*0.00759)
+COUNTIF(Q25,"Cenaze Yardımı (İşçi-İş Kazası Sonucu)")*($DN$6-$DN$6*0.00759)
+COUNTIF(Q25,"Cenaze Yardımı (İşçi-Tabii Sebepler Sonucu)")*($DN$7-$DN$7*0.00759)
+COUNTIF(Q25,"Doğal Afet Yardımı")*($DN$8-$DN$8*0.00759)
+COUNTIF(Q25,"Doğum Yardımı (İşveren)")*($DN$9-$DN$9*0.00759)
+COUNTIF(Q25,"Eğitim Yardımı (Çocuk-Zorunlu Anaokulu)")*($DN$10*DK6)
+COUNTIF(Q25,"Eğitim Yardımı (Çocuk-İlköğretim)")*($DN$11*DK6)
+COUNTIF(Q25,"Eğitim Yardımı (Çocuk-Ortaöğretim)")*($DN$12*DK6)
+COUNTIF(Q25,"Eğitim Yardımı (Çocuk-Lise)")*($DN$13*DK6)
+COUNTIF(Q25,"Eğitim Yardımı (Çocuk-Yükseköğretim)")*($DN$14*DK6)
+COUNTIF(Q25,"Eğitim Yardımı (Çocuk-Engelli)")*($DN$15*DK6)
+COUNTIF(Q25,"Eğitim Yardımı (İşçi-Lise)")*($DN$16*DK6)
+COUNTIF(Q25,"Eğitim Yardımı (İşçi-Yükseköğretim)")*($DN$17*DK6)
+COUNTIF(Q25,"Evlilik Yardımı")*($DN$18-$DN$18*0.00759)
+COUNTIF(Q25,"İş Kazası veya Meslek Hastalığı Tazminatı")*($DN$19-$DN$19*0.00759)
+COUNTIF(Q25,"Sünnet Yardımı")*($DN$20*DK6)
+COUNTIF(Q25,"Temizlik Yardımı")*($DN$21)</f>
        <v>0</v>
      </c>
      <c r="BP6" s="33" t="s">
        <v>12</v>
      </c>
      <c r="BQ6" s="25">
        <f>COUNTIF(BP6,"Var")*(AP14*0.9*-1)</f>
        <v>-227.34</v>
      </c>
      <c r="BR6" s="25">
        <f>(BQ6*-1)</f>
        <v>227.34</v>
      </c>
      <c r="BS6" s="37">
        <f ca="1">(DI21*R25+BT6)*-1</f>
        <v>0</v>
      </c>
      <c r="BT6" s="37">
        <f>(AU7+AY10+BA10+BC10-BH10)*(R25*-1)</f>
        <v>0</v>
      </c>
      <c r="BU6" s="37">
        <f ca="1">(BS6+BT6)</f>
        <v>0</v>
      </c>
      <c r="BV6" s="25" t="s">
        <v>0</v>
      </c>
      <c r="BW6" s="25">
        <f>(6471)</f>
        <v>6471</v>
      </c>
      <c r="BX6" s="25">
        <f>(6471)</f>
        <v>6471</v>
      </c>
      <c r="BY6" s="25">
        <f>(BW6-BX6)</f>
        <v>0</v>
      </c>
      <c r="BZ6" s="25">
        <f>(BY6*0.00759*-1)</f>
        <v>0</v>
      </c>
      <c r="CA6" s="25">
        <f>(0)</f>
        <v>0</v>
      </c>
      <c r="CB6" s="25">
        <f>(BW6-CA6)</f>
        <v>6471</v>
      </c>
      <c r="CC6" s="25">
        <f>(CB6*0.14*-1)</f>
        <v>-905.94</v>
      </c>
      <c r="CD6" s="25">
        <f>(CB6*0.01*-1)</f>
        <v>-64.710000000000008</v>
      </c>
      <c r="CE6" s="37">
        <f ca="1">COUNTIF(O21,"Yok")*(0)
+COUNTIF(O21,"Bayram Yardımı (Kurban)")*($DN$2/CI2)
+COUNTIF(O21,"Bayram Yardımı (Ramazan)")*($DN$3/CI2)
+COUNTIF(O21,"Cenaze Yardımı (Anne-Baba)")*($DN$4)
+COUNTIF(O21,"Cenaze Yardımı (Eş-Çocuk)")*($DN$5)
+COUNTIF(O21,"Cenaze Yardımı (İşçi-İş Kazası Sonucu)")*($DN$6)
+COUNTIF(O21,"Cenaze Yardımı (İşçi-Tabii Sebepler Sonucu)")*($DN$7)
+COUNTIF(O21,"Doğal Afet Yardımı")*($DN$8)
+COUNTIF(O21,"Doğum Yardımı (İşveren)")*($DN$9)
+COUNTIF(O21,"Eğitim Yardımı (Çocuk-Zorunlu Anaokulu)")*($DN$10)
+COUNTIF(O21,"Eğitim Yardımı (Çocuk-İlköğretim)")*($DN$11)
+COUNTIF(O21,"Eğitim Yardımı (Çocuk-Ortaöğretim)")*($DN$12)
+COUNTIF(O21,"Eğitim Yardımı (Çocuk-Lise)")*($DN$13)
+COUNTIF(O21,"Eğitim Yardımı (Çocuk-Yükseköğretim)")*($DN$14)
+COUNTIF(O21,"Eğitim Yardımı (Çocuk-Engelli)")*($DN$15)
+COUNTIF(O21,"Eğitim Yardımı (İşçi-Lise)")*($DN$16)
+COUNTIF(O21,"Eğitim Yardımı (İşçi-Yükseköğretim)")*($DN$17)
+COUNTIF(O21,"Evlilik Yardımı")*($DN$18)
+COUNTIF(O21,"İş Kazası veya Meslek Hastalığı Tazminatı")*($DN$19)
+COUNTIF(O21,"Sünnet Yardımı")*($DN$20)
+COUNTIF(O21,"Temizlik Yardımı")*($DN$21/CI2)
+COUNTIF(P21,"Yok")*(0)
+COUNTIF(P21,"Bayram Yardımı (Kurban)")*($DN$2/CI2)
+COUNTIF(P21,"Bayram Yardımı (Ramazan)")*($DN$3/CI2)
+COUNTIF(P21,"Cenaze Yardımı (Anne-Baba)")*($DN$4)
+COUNTIF(P21,"Cenaze Yardımı (Eş-Çocuk)")*($DN$5)
+COUNTIF(P21,"Cenaze Yardımı (İşçi-İş Kazası Sonucu)")*($DN$6)
+COUNTIF(P21,"Cenaze Yardımı (İşçi-Tabii Sebepler Sonucu)")*($DN$7)
+COUNTIF(P21,"Doğal Afet Yardımı")*($DN$8)
+COUNTIF(P21,"Doğum Yardımı (İşveren)")*($DN$9)
+COUNTIF(P21,"Eğitim Yardımı (Çocuk-Zorunlu Anaokulu)")*($DN$10)
+COUNTIF(P21,"Eğitim Yardımı (Çocuk-İlköğretim)")*($DN$11)
+COUNTIF(P21,"Eğitim Yardımı (Çocuk-Ortaöğretim)")*($DN$12)
+COUNTIF(P21,"Eğitim Yardımı (Çocuk-Lise)")*($DN$13)
+COUNTIF(P21,"Eğitim Yardımı (Çocuk-Yükseköğretim)")*($DN$14)
+COUNTIF(P21,"Eğitim Yardımı (Çocuk-Engelli)")*($DN$15)
+COUNTIF(P21,"Eğitim Yardımı (İşçi-Lise)")*($DN$16)
+COUNTIF(P21,"Eğitim Yardımı (İşçi-Yükseköğretim)")*($DN$17)
+COUNTIF(P21,"Evlilik Yardımı")*($DN$18)
+COUNTIF(P21,"İş Kazası veya Meslek Hastalığı Tazminatı")*($DN$19)
+COUNTIF(P21,"Sünnet Yardımı")*($DN$20)
+COUNTIF(P21,"Temizlik Yardımı")*($DN$21/CI2)
+COUNTIF(Q21,"Yok")*(0)
+COUNTIF(Q21,"Bayram Yardımı (Kurban)")*($DN$2/CI2)
+COUNTIF(Q21,"Bayram Yardımı (Ramazan)")*($DN$3/CI2)
+COUNTIF(Q21,"Cenaze Yardımı (Anne-Baba)")*($DN$4)
+COUNTIF(Q21,"Cenaze Yardımı (Eş-Çocuk)")*($DN$5)
+COUNTIF(Q21,"Cenaze Yardımı (İşçi-İş Kazası Sonucu)")*($DN$6)
+COUNTIF(Q21,"Cenaze Yardımı (İşçi-Tabii Sebepler Sonucu)")*($DN$7)
+COUNTIF(Q21,"Doğal Afet Yardımı")*($DN$8)
+COUNTIF(Q21,"Doğum Yardımı (İşveren)")*($DN$9)
+COUNTIF(Q21,"Eğitim Yardımı (Çocuk-Zorunlu Anaokulu)")*($DN$10)
+COUNTIF(Q21,"Eğitim Yardımı (Çocuk-İlköğretim)")*($DN$11)
+COUNTIF(Q21,"Eğitim Yardımı (Çocuk-Ortaöğretim)")*($DN$12)
+COUNTIF(Q21,"Eğitim Yardımı (Çocuk-Lise)")*($DN$13)
+COUNTIF(Q21,"Eğitim Yardımı (Çocuk-Yükseköğretim)")*($DN$14)
+COUNTIF(Q21,"Eğitim Yardımı (Çocuk-Engelli)")*($DN$15)
+COUNTIF(Q21,"Eğitim Yardımı (İşçi-Lise)")*($DN$16)
+COUNTIF(Q21,"Eğitim Yardımı (İşçi-Yükseköğretim)")*($DN$17)
+COUNTIF(Q21,"Evlilik Yardımı")*($DN$18)
+COUNTIF(Q21,"İş Kazası veya Meslek Hastalığı Tazminatı")*($DN$19)
+COUNTIF(Q21,"Sünnet Yardımı")*($DN$20)
+COUNTIF(Q21,"Temizlik Yardımı")*($DN$21/CI2)</f>
        <v>0</v>
      </c>
      <c r="CF6" s="37">
        <f>COUNTIF(O21,"Yok")*(0)
+COUNTIF(O21,"Bayram Yardımı (Kurban)")*(0)
+COUNTIF(O21,"Bayram Yardımı (Ramazan)")*(0)
+COUNTIF(O21,"Cenaze Yardımı (Anne-Baba)")*($DN$4)
+COUNTIF(O21,"Cenaze Yardımı (Eş-Çocuk)")*($DN$5)
+COUNTIF(O21,"Cenaze Yardımı (İşçi-İş Kazası Sonucu)")*($DN$6)
+COUNTIF(O21,"Cenaze Yardımı (İşçi-Tabii Sebepler Sonucu)")*($DN$7)
+COUNTIF(O21,"Doğal Afet Yardımı")*($DN$8)
+COUNTIF(O21,"Doğum Yardımı (İşveren)")*($DN$9)
+COUNTIF(O21,"Eğitim Yardımı (Çocuk-Zorunlu Anaokulu)")*(0)
+COUNTIF(O21,"Eğitim Yardımı (Çocuk-İlköğretim)")*(0)
+COUNTIF(O21,"Eğitim Yardımı (Çocuk-Ortaöğretim)")*(0)
+COUNTIF(O21,"Eğitim Yardımı (Çocuk-Lise)")*(0)
+COUNTIF(O21,"Eğitim Yardımı (Çocuk-Yükseköğretim)")*(0)
+COUNTIF(O21,"Eğitim Yardımı (Çocuk-Engelli)")*(0)
+COUNTIF(O21,"Eğitim Yardımı (İşçi-Lise)")*(0)
+COUNTIF(O21,"Eğitim Yardımı (İşçi-Yükseköğretim)")*(0)
+COUNTIF(O21,"Evlilik Yardımı")*($DN$18)
+COUNTIF(O21,"İş Kazası veya Meslek Hastalığı Tazminatı")*($DN$19)
+COUNTIF(O21,"Sünnet Yardımı")*(0)
+COUNTIF(O21,"Temizlik Yardımı")*(0)
+COUNTIF(P21,"Yok")*(0)
+COUNTIF(P21,"Bayram Yardımı (Kurban)")*(0)
+COUNTIF(P21,"Bayram Yardımı (Ramazan)")*(0)
+COUNTIF(P21,"Cenaze Yardımı (Anne-Baba)")*($DN$4)
+COUNTIF(P21,"Cenaze Yardımı (Eş-Çocuk)")*($DN$5)
+COUNTIF(P21,"Cenaze Yardımı (İşçi-İş Kazası Sonucu)")*($DN$6)
+COUNTIF(P21,"Cenaze Yardımı (İşçi-Tabii Sebepler Sonucu)")*($DN$7)
+COUNTIF(P21,"Doğal Afet Yardımı")*($DN$8)
+COUNTIF(P21,"Doğum Yardımı (İşveren)")*($DN$9)
+COUNTIF(P21,"Eğitim Yardımı (Çocuk-Zorunlu Anaokulu)")*(0)
+COUNTIF(P21,"Eğitim Yardımı (Çocuk-İlköğretim)")*(0)
+COUNTIF(P21,"Eğitim Yardımı (Çocuk-Ortaöğretim)")*(0)
+COUNTIF(P21,"Eğitim Yardımı (Çocuk-Lise)")*(0)
+COUNTIF(P21,"Eğitim Yardımı (Çocuk-Yükseköğretim)")*(0)
+COUNTIF(P21,"Eğitim Yardımı (Çocuk-Engelli)")*(0)
+COUNTIF(P21,"Eğitim Yardımı (İşçi-Lise)")*(0)
+COUNTIF(P21,"Eğitim Yardımı (İşçi-Yükseköğretim)")*(0)
+COUNTIF(P21,"Evlilik Yardımı")*($DN$18)
+COUNTIF(P21,"İş Kazası veya Meslek Hastalığı Tazminatı")*($DN$19)
+COUNTIF(P21,"Sünnet Yardımı")*(0)
+COUNTIF(P21,"Temizlik Yardımı")*(0)
+COUNTIF(Q21,"Yok")*(0)
+COUNTIF(Q21,"Bayram Yardımı (Kurban)")*(0)
+COUNTIF(Q21,"Bayram Yardımı (Ramazan)")*(0)
+COUNTIF(Q21,"Cenaze Yardımı (Anne-Baba)")*($DN$4)
+COUNTIF(Q21,"Cenaze Yardımı (Eş-Çocuk)")*($DN$5)
+COUNTIF(Q21,"Cenaze Yardımı (İşçi-İş Kazası Sonucu)")*($DN$6)
+COUNTIF(Q21,"Cenaze Yardımı (İşçi-Tabii Sebepler Sonucu)")*($DN$7)
+COUNTIF(Q21,"Doğal Afet Yardımı")*($DN$8)
+COUNTIF(Q21,"Doğum Yardımı (İşveren)")*($DN$9)
+COUNTIF(Q21,"Eğitim Yardımı (Çocuk-Zorunlu Anaokulu)")*(0)
+COUNTIF(Q21,"Eğitim Yardımı (Çocuk-İlköğretim)")*(0)
+COUNTIF(Q21,"Eğitim Yardımı (Çocuk-Ortaöğretim)")*(0)
+COUNTIF(Q21,"Eğitim Yardımı (Çocuk-Lise)")*(0)
+COUNTIF(Q21,"Eğitim Yardımı (Çocuk-Yükseköğretim)")*(0)
+COUNTIF(Q21,"Eğitim Yardımı (Çocuk-Engelli)")*(0)
+COUNTIF(Q21,"Eğitim Yardımı (İşçi-Lise)")*(0)
+COUNTIF(Q21,"Eğitim Yardımı (İşçi-Yükseköğretim)")*(0)
+COUNTIF(Q21,"Evlilik Yardımı")*($DN$18)
+COUNTIF(Q21,"İş Kazası veya Meslek Hastalığı Tazminatı")*($DN$19)
+COUNTIF(Q21,"Sünnet Yardımı")*(0)
+COUNTIF(Q21,"Temizlik Yardımı")*(0)</f>
        <v>0</v>
      </c>
      <c r="CG6" s="37">
        <f ca="1">COUNTIF(O21,"Yok")*(0)
+COUNTIF(O21,"Bayram Yardımı (Kurban)")*($DN$2)
+COUNTIF(O21,"Bayram Yardımı (Ramazan)")*($DN$3)
+COUNTIF(O21,"Cenaze Yardımı (Anne-Baba)")*($DN$4-$DN$4*0.00759)
+COUNTIF(O21,"Cenaze Yardımı (Eş-Çocuk)")*($DN$5-$DN$5*0.00759)
+COUNTIF(O21,"Cenaze Yardımı (İşçi-İş Kazası Sonucu)")*($DN$6-$DN$6*0.00759)
+COUNTIF(O21,"Cenaze Yardımı (İşçi-Tabii Sebepler Sonucu)")*($DN$7-$DN$7*0.00759)
+COUNTIF(O21,"Doğal Afet Yardımı")*($DN$8-$DN$8*0.00759)
+COUNTIF(O21,"Doğum Yardımı (İşveren)")*($DN$9-$DN$9*0.00759)
+COUNTIF(O21,"Eğitim Yardımı (Çocuk-Zorunlu Anaokulu)")*($DN$10*CI2)
+COUNTIF(O21,"Eğitim Yardımı (Çocuk-İlköğretim)")*($DN$11*CI2)
+COUNTIF(O21,"Eğitim Yardımı (Çocuk-Ortaöğretim)")*($DN$12*CI2)
+COUNTIF(O21,"Eğitim Yardımı (Çocuk-Lise)")*($DN$13*CI2)
+COUNTIF(O21,"Eğitim Yardımı (Çocuk-Yükseköğretim)")*($DN$14*CI2)
+COUNTIF(O21,"Eğitim Yardımı (Çocuk-Engelli)")*($DN$15*CI2)
+COUNTIF(O21,"Eğitim Yardımı (İşçi-Lise)")*($DN$16*CI2)
+COUNTIF(O21,"Eğitim Yardımı (İşçi-Yükseköğretim)")*($DN$17*CI2)
+COUNTIF(O21,"Evlilik Yardımı")*($DN$18-$DN$18*0.00759)
+COUNTIF(O21,"İş Kazası veya Meslek Hastalığı Tazminatı")*($DN$19-$DN$19*0.00759)
+COUNTIF(O21,"Sünnet Yardımı")*($DN$20*CI2)
+COUNTIF(O21,"Temizlik Yardımı")*($DN$21)
+COUNTIF(P21,"Yok")*(0)
+COUNTIF(P21,"Bayram Yardımı (Kurban)")*($DN$2)
+COUNTIF(P21,"Bayram Yardımı (Ramazan)")*($DN$3)
+COUNTIF(P21,"Cenaze Yardımı (Anne-Baba)")*($DN$4-$DN$4*0.00759)
+COUNTIF(P21,"Cenaze Yardımı (Eş-Çocuk)")*($DN$5-$DN$5*0.00759)
+COUNTIF(P21,"Cenaze Yardımı (İşçi-İş Kazası Sonucu)")*($DN$6-$DN$6*0.00759)
+COUNTIF(P21,"Cenaze Yardımı (İşçi-Tabii Sebepler Sonucu)")*($DN$7-$DN$7*0.00759)
+COUNTIF(P21,"Doğal Afet Yardımı")*($DN$8-$DN$8*0.00759)
+COUNTIF(P21,"Doğum Yardımı (İşveren)")*($DN$9-$DN$9*0.00759)
+COUNTIF(P21,"Eğitim Yardımı (Çocuk-Zorunlu Anaokulu)")*($DN$10*CI2)
+COUNTIF(P21,"Eğitim Yardımı (Çocuk-İlköğretim)")*($DN$11*CI2)
+COUNTIF(P21,"Eğitim Yardımı (Çocuk-Ortaöğretim)")*($DN$12*CI2)
+COUNTIF(P21,"Eğitim Yardımı (Çocuk-Lise)")*($DN$13*CI2)
+COUNTIF(P21,"Eğitim Yardımı (Çocuk-Yükseköğretim)")*($DN$14*CI2)
+COUNTIF(P21,"Eğitim Yardımı (Çocuk-Engelli)")*($DN$15*CI2)
+COUNTIF(P21,"Eğitim Yardımı (İşçi-Lise)")*($DN$16*CI2)
+COUNTIF(P21,"Eğitim Yardımı (İşçi-Yükseköğretim)")*($DN$17*CI2)
+COUNTIF(P21,"Evlilik Yardımı")*($DN$18-$DN$18*0.00759)
+COUNTIF(P21,"İş Kazası veya Meslek Hastalığı Tazminatı")*($DN$19-$DN$19*0.00759)
+COUNTIF(P21,"Sünnet Yardımı")*($DN$20*CI2)
+COUNTIF(P21,"Temizlik Yardımı")*($DN$21)
+COUNTIF(Q21,"Yok")*(0)
+COUNTIF(Q21,"Bayram Yardımı (Kurban)")*($DN$2)
+COUNTIF(Q21,"Bayram Yardımı (Ramazan)")*($DN$3)
+COUNTIF(Q21,"Cenaze Yardımı (Anne-Baba)")*($DN$4-$DN$4*0.00759)
+COUNTIF(Q21,"Cenaze Yardımı (Eş-Çocuk)")*($DN$5-$DN$5*0.00759)
+COUNTIF(Q21,"Cenaze Yardımı (İşçi-İş Kazası Sonucu)")*($DN$6-$DN$6*0.00759)
+COUNTIF(Q21,"Cenaze Yardımı (İşçi-Tabii Sebepler Sonucu)")*($DN$7-$DN$7*0.00759)
+COUNTIF(Q21,"Doğal Afet Yardımı")*($DN$8-$DN$8*0.00759)
+COUNTIF(Q21,"Doğum Yardımı (İşveren)")*($DN$9-$DN$9*0.00759)
+COUNTIF(Q21,"Eğitim Yardımı (Çocuk-Zorunlu Anaokulu)")*($DN$10*CI2)
+COUNTIF(Q21,"Eğitim Yardımı (Çocuk-İlköğretim)")*($DN$11*CI2)
+COUNTIF(Q21,"Eğitim Yardımı (Çocuk-Ortaöğretim)")*($DN$12*CI2)
+COUNTIF(Q21,"Eğitim Yardımı (Çocuk-Lise)")*($DN$13*CI2)
+COUNTIF(Q21,"Eğitim Yardımı (Çocuk-Yükseköğretim)")*($DN$14*CI2)
+COUNTIF(Q21,"Eğitim Yardımı (Çocuk-Engelli)")*($DN$15*CI2)
+COUNTIF(Q21,"Eğitim Yardımı (İşçi-Lise)")*($DN$16*CI2)
+COUNTIF(Q21,"Eğitim Yardımı (İşçi-Yükseköğretim)")*($DN$17*CI2)
+COUNTIF(Q21,"Evlilik Yardımı")*($DN$18-$DN$18*0.00759)
+COUNTIF(Q21,"İş Kazası veya Meslek Hastalığı Tazminatı")*($DN$19-$DN$19*0.00759)
+COUNTIF(Q21,"Sünnet Yardımı")*($DN$20*CI2)
+COUNTIF(Q21,"Temizlik Yardımı")*($DN$21)</f>
        <v>0</v>
      </c>
      <c r="CH6" s="33" t="s">
        <v>12</v>
      </c>
      <c r="CI6" s="25">
        <f>COUNTIF(CH6,"Var")*(AU21*0.9*-1)</f>
        <v>-227.34</v>
      </c>
      <c r="CJ6" s="25">
        <f>(CI6*-1)</f>
        <v>227.34</v>
      </c>
      <c r="CK6" s="37">
        <f ca="1">(DI17*R21+CE10)*-1</f>
        <v>0</v>
      </c>
      <c r="CL6" s="25">
        <f ca="1">(DG11+DG12+DG13+DG14+DG15+CK1+CK2+CK3+CJ12+CJ13+CL4+CL5)</f>
        <v>146901.96000000002</v>
      </c>
      <c r="CM6" s="25">
        <f ca="1">(DH11+DH12+DH13+DH14+DH15+CL1+CL2+CL3+CK12+CK13+CM4+CM5)</f>
        <v>30114.901800000003</v>
      </c>
      <c r="CN6" s="25">
        <f ca="1">(DI11+DI12+DI13+DI14+DI15+CM1+CM2+CM3+CL12+CL13+CN4+CN5)</f>
        <v>1469.0196000000001</v>
      </c>
      <c r="CO6" s="25">
        <f ca="1">(CQ6+CQ7+CQ8+CQ9+CQ10+CQ11+CQ12+CQ13+CM12+CM13+CO4+CO5)</f>
        <v>-7345.098</v>
      </c>
      <c r="CP6" s="25">
        <f ca="1">(CR6+CR7+CR8+CR9+CR10+CR11+CR12+CR13+CN12+CN13+CP4+CP5)</f>
        <v>171140.78340000001</v>
      </c>
      <c r="CQ6" s="25">
        <f ca="1">(DG11*0.05*-1)</f>
        <v>-474.84050000000008</v>
      </c>
      <c r="CR6" s="25">
        <f ca="1">(DG11+DH11+DI11+CQ6)</f>
        <v>11063.783650000001</v>
      </c>
      <c r="CS6" s="31">
        <v>0.4</v>
      </c>
      <c r="CT6" s="39">
        <f>$CU$5</f>
        <v>880000</v>
      </c>
      <c r="CU6" s="25">
        <v>999999999</v>
      </c>
      <c r="CV6" s="25">
        <f>(CU5-CT5)*CS5+CV5</f>
        <v>281500</v>
      </c>
      <c r="CW6" s="25">
        <f>(0)</f>
        <v>0</v>
      </c>
      <c r="CX6" s="25">
        <f>(CH8+CN8+CO8-CW6)</f>
        <v>4253.3999999999996</v>
      </c>
      <c r="CY6" s="25">
        <f>SUM(CX$2:$CX6)</f>
        <v>21267</v>
      </c>
      <c r="CZ6" s="29">
        <f t="shared" si="2"/>
        <v>0.15</v>
      </c>
      <c r="DA6" s="33">
        <f t="shared" si="3"/>
        <v>0</v>
      </c>
      <c r="DB6" s="25">
        <f ca="1">(DI1-DK1)</f>
        <v>4492.8100000000013</v>
      </c>
      <c r="DC6" s="25">
        <f ca="1">(DB6*0.00759*-1)</f>
        <v>-34.100427900000014</v>
      </c>
      <c r="DD6" s="25">
        <f ca="1">(DC6)</f>
        <v>-34.100427900000014</v>
      </c>
      <c r="DE6" s="25">
        <f ca="1">(AT22+BE1+BX1+BG26+BN10)</f>
        <v>752.8</v>
      </c>
      <c r="DF6" s="25">
        <f ca="1">(DI1-DE6)</f>
        <v>8744.010000000002</v>
      </c>
      <c r="DG6" s="25">
        <f ca="1">IF(DF6&gt;=BW10*7.5,BW10*7.5,DF6)</f>
        <v>8744.010000000002</v>
      </c>
      <c r="DH6" s="25">
        <f>(CT21)</f>
        <v>1100.07</v>
      </c>
      <c r="DI6" s="25">
        <f ca="1">(DW25+DH6)</f>
        <v>-1135.1600000000001</v>
      </c>
      <c r="DJ6" s="28">
        <f t="shared" si="1"/>
        <v>0.84240999999999999</v>
      </c>
      <c r="DK6" s="28">
        <f ca="1">(100+(100*0.00759*-1)+(100*0.14*-1)+(100*0.01*-1)+(100+100*0.14*-1+100*0.01*-1)*DV25*-1)/100</f>
        <v>0.61290999999999995</v>
      </c>
      <c r="DL6" s="28">
        <f ca="1">(100+(100*0.00759*-1)+(100)*DV25*-1)/100</f>
        <v>0.72241</v>
      </c>
      <c r="DM6" s="34" t="s">
        <v>63</v>
      </c>
      <c r="DN6" s="25">
        <v>0</v>
      </c>
      <c r="DX6" s="24">
        <v>4</v>
      </c>
      <c r="DY6" s="35">
        <v>2</v>
      </c>
      <c r="DZ6" s="36">
        <v>0.06</v>
      </c>
      <c r="EA6" s="49"/>
    </row>
    <row r="7" spans="1:131" ht="39.950000000000003" customHeight="1" x14ac:dyDescent="0.25">
      <c r="A7" s="70"/>
      <c r="B7" s="71"/>
      <c r="C7" s="57"/>
      <c r="D7" s="57"/>
      <c r="E7" s="72"/>
      <c r="F7" s="72"/>
      <c r="G7" s="57"/>
      <c r="H7" s="57"/>
      <c r="I7" s="57"/>
      <c r="J7" s="74"/>
      <c r="K7" s="57"/>
      <c r="L7" s="57"/>
      <c r="M7" s="57"/>
      <c r="N7" s="57"/>
      <c r="O7" s="57"/>
      <c r="P7" s="57"/>
      <c r="Q7" s="57"/>
      <c r="R7" s="57"/>
      <c r="S7" s="57"/>
      <c r="T7" s="57"/>
      <c r="U7" s="73"/>
      <c r="V7" s="15" t="s">
        <v>32</v>
      </c>
      <c r="W7" s="16">
        <f t="shared" si="0"/>
        <v>6988.8</v>
      </c>
      <c r="X7" s="16">
        <f>COUNTIF(Y1,"Ocak")*(BC1)
+COUNTIF(Y1,"Şubat")*(BC2)
+COUNTIF(Y1,"Mart")*(BC3)
+COUNTIF(Y1,"Nisan")*(BE14)
+COUNTIF(Y1,"Mayıs")*(BE15)
+COUNTIF(Y1,"Haziran")*(BE16)
+COUNTIF(Y1,"Temmuz")*(BB22)
+COUNTIF(Y1,"Ağustos")*(BB23)
+COUNTIF(Y1,"Eylül")*(BB24)
+COUNTIF(Y1,"Ekim")*(BB25)
+COUNTIF(Y1,"Kasım")*(BE17)
+COUNTIF(Y1,"Aralık")*(BE18)
+COUNTIF(Y1,"Yıllık Toplam")*(BE19)
+COUNTIF(Y1,"Yıllık Ortalama")*(BE20)</f>
        <v>6988.8</v>
      </c>
      <c r="Y7" s="64"/>
      <c r="Z7" s="68"/>
      <c r="AA7" s="77" t="s">
        <v>29</v>
      </c>
      <c r="AB7" s="78" t="s">
        <v>130</v>
      </c>
      <c r="AC7" s="56"/>
      <c r="AD7" s="58"/>
      <c r="AE7" s="60"/>
      <c r="AF7" s="59"/>
      <c r="AG7" s="21" t="s">
        <v>82</v>
      </c>
      <c r="AH7" s="22">
        <v>276.16000000000003</v>
      </c>
      <c r="AI7" s="22">
        <v>325.89999999999998</v>
      </c>
      <c r="AJ7" s="25" t="s">
        <v>0</v>
      </c>
      <c r="AK7" s="24" t="s">
        <v>0</v>
      </c>
      <c r="AL7" s="25">
        <f>(5004)</f>
        <v>5004</v>
      </c>
      <c r="AM7" s="25">
        <f>(6471)</f>
        <v>6471</v>
      </c>
      <c r="AN7" s="38">
        <f>(3.68518)</f>
        <v>3.6851799999999999</v>
      </c>
      <c r="AO7" s="38">
        <f>(5.221532)</f>
        <v>5.2215319999999998</v>
      </c>
      <c r="AP7" s="24" t="s">
        <v>0</v>
      </c>
      <c r="AQ7" s="34" t="s">
        <v>0</v>
      </c>
      <c r="AR7" s="25">
        <f ca="1">(AW14*DK6)</f>
        <v>4644.6319800000001</v>
      </c>
      <c r="AS7" s="25">
        <f>(0.58*C25)</f>
        <v>0</v>
      </c>
      <c r="AT7" s="25">
        <f ca="1">(AS7*DK6)</f>
        <v>0</v>
      </c>
      <c r="AU7" s="25">
        <f>(AT14/7.5*1.6*D25)</f>
        <v>0</v>
      </c>
      <c r="AX7" s="25">
        <f ca="1">(AY1*CI3)</f>
        <v>0</v>
      </c>
      <c r="AY7" s="25">
        <f>(AR11*E22)</f>
        <v>0</v>
      </c>
      <c r="AZ7" s="25">
        <f ca="1">(AY7*CI3)</f>
        <v>0</v>
      </c>
      <c r="BA7" s="25">
        <f>(AT11/7.5*0.3*F22)</f>
        <v>0</v>
      </c>
      <c r="BB7" s="25">
        <f ca="1">(BA7*CI3)</f>
        <v>0</v>
      </c>
      <c r="BC7" s="25">
        <f t="shared" si="4"/>
        <v>1209.78</v>
      </c>
      <c r="BD7" s="25">
        <f ca="1">(BF7+BG7+BJ7+BK7+AZ23)</f>
        <v>824.72010750860102</v>
      </c>
      <c r="BE7" s="25">
        <f t="shared" si="5"/>
        <v>1209.78</v>
      </c>
      <c r="BF7" s="25">
        <f t="shared" si="6"/>
        <v>1209.78</v>
      </c>
      <c r="BG7" s="25">
        <f t="shared" si="7"/>
        <v>-9.1822302000000011</v>
      </c>
      <c r="BH7" s="25">
        <f t="shared" si="11"/>
        <v>336.44</v>
      </c>
      <c r="BI7" s="25">
        <f t="shared" si="8"/>
        <v>873.33999999999992</v>
      </c>
      <c r="BJ7" s="25">
        <f t="shared" si="9"/>
        <v>-122.2676</v>
      </c>
      <c r="BK7" s="25">
        <f t="shared" si="10"/>
        <v>-8.7333999999999996</v>
      </c>
      <c r="BL7" s="25">
        <f>(0)</f>
        <v>0</v>
      </c>
      <c r="BM7" s="37">
        <f ca="1">COUNTIF(O26,"Yok")*(0)
+COUNTIF(O26,"Bayram Yardımı (Kurban)")*($DN$2/DK7)
+COUNTIF(O26,"Bayram Yardımı (Ramazan)")*($DN$3/DK7)
+COUNTIF(O26,"Cenaze Yardımı (Anne-Baba)")*($DN$4)
+COUNTIF(O26,"Cenaze Yardımı (Eş-Çocuk)")*($DN$5)
+COUNTIF(O26,"Cenaze Yardımı (İşçi-İş Kazası Sonucu)")*($DN$6)
+COUNTIF(O26,"Cenaze Yardımı (İşçi-Tabii Sebepler Sonucu)")*($DN$7)
+COUNTIF(O26,"Doğal Afet Yardımı")*($DN$8)
+COUNTIF(O26,"Doğum Yardımı (İşveren)")*($DN$9)
+COUNTIF(O26,"Eğitim Yardımı (Çocuk-Zorunlu Anaokulu)")*($DN$10)
+COUNTIF(O26,"Eğitim Yardımı (Çocuk-İlköğretim)")*($DN$11)
+COUNTIF(O26,"Eğitim Yardımı (Çocuk-Ortaöğretim)")*($DN$12)
+COUNTIF(O26,"Eğitim Yardımı (Çocuk-Lise)")*($DN$13)
+COUNTIF(O26,"Eğitim Yardımı (Çocuk-Yükseköğretim)")*($DN$14)
+COUNTIF(O26,"Eğitim Yardımı (Çocuk-Engelli)")*($DN$15)
+COUNTIF(O26,"Eğitim Yardımı (İşçi-Lise)")*($DN$16)
+COUNTIF(O26,"Eğitim Yardımı (İşçi-Yükseköğretim)")*($DN$17)
+COUNTIF(O26,"Evlilik Yardımı")*($DN$18)
+COUNTIF(O26,"İş Kazası veya Meslek Hastalığı Tazminatı")*($DN$19)
+COUNTIF(O26,"Sünnet Yardımı")*($DN$20)
+COUNTIF(O26,"Temizlik Yardımı")*($DN$21/DK7)
+COUNTIF(P26,"Yok")*(0)
+COUNTIF(P26,"Bayram Yardımı (Kurban)")*($DN$2/DK7)
+COUNTIF(P26,"Bayram Yardımı (Ramazan)")*($DN$3/DK7)
+COUNTIF(P26,"Cenaze Yardımı (Anne-Baba)")*($DN$4)
+COUNTIF(P26,"Cenaze Yardımı (Eş-Çocuk)")*($DN$5)
+COUNTIF(P26,"Cenaze Yardımı (İşçi-İş Kazası Sonucu)")*($DN$6)
+COUNTIF(P26,"Cenaze Yardımı (İşçi-Tabii Sebepler Sonucu)")*($DN$7)
+COUNTIF(P26,"Doğal Afet Yardımı")*($DN$8)
+COUNTIF(P26,"Doğum Yardımı (İşveren)")*($DN$9)
+COUNTIF(P26,"Eğitim Yardımı (Çocuk-Zorunlu Anaokulu)")*($DN$10)
+COUNTIF(P26,"Eğitim Yardımı (Çocuk-İlköğretim)")*($DN$11)
+COUNTIF(P26,"Eğitim Yardımı (Çocuk-Ortaöğretim)")*($DN$12)
+COUNTIF(P26,"Eğitim Yardımı (Çocuk-Lise)")*($DN$13)
+COUNTIF(P26,"Eğitim Yardımı (Çocuk-Yükseköğretim)")*($DN$14)
+COUNTIF(P26,"Eğitim Yardımı (Çocuk-Engelli)")*($DN$15)
+COUNTIF(P26,"Eğitim Yardımı (İşçi-Lise)")*($DN$16)
+COUNTIF(P26,"Eğitim Yardımı (İşçi-Yükseköğretim)")*($DN$17)
+COUNTIF(P26,"Evlilik Yardımı")*($DN$18)
+COUNTIF(P26,"İş Kazası veya Meslek Hastalığı Tazminatı")*($DN$19)
+COUNTIF(P26,"Sünnet Yardımı")*($DN$20)
+COUNTIF(P26,"Temizlik Yardımı")*($DN$21/DK7)
+COUNTIF(Q26,"Yok")*(0)
+COUNTIF(Q26,"Bayram Yardımı (Kurban)")*($DN$2/DK7)
+COUNTIF(Q26,"Bayram Yardımı (Ramazan)")*($DN$3/DK7)
+COUNTIF(Q26,"Cenaze Yardımı (Anne-Baba)")*($DN$4)
+COUNTIF(Q26,"Cenaze Yardımı (Eş-Çocuk)")*($DN$5)
+COUNTIF(Q26,"Cenaze Yardımı (İşçi-İş Kazası Sonucu)")*($DN$6)
+COUNTIF(Q26,"Cenaze Yardımı (İşçi-Tabii Sebepler Sonucu)")*($DN$7)
+COUNTIF(Q26,"Doğal Afet Yardımı")*($DN$8)
+COUNTIF(Q26,"Doğum Yardımı (İşveren)")*($DN$9)
+COUNTIF(Q26,"Eğitim Yardımı (Çocuk-Zorunlu Anaokulu)")*($DN$10)
+COUNTIF(Q26,"Eğitim Yardımı (Çocuk-İlköğretim)")*($DN$11)
+COUNTIF(Q26,"Eğitim Yardımı (Çocuk-Ortaöğretim)")*($DN$12)
+COUNTIF(Q26,"Eğitim Yardımı (Çocuk-Lise)")*($DN$13)
+COUNTIF(Q26,"Eğitim Yardımı (Çocuk-Yükseköğretim)")*($DN$14)
+COUNTIF(Q26,"Eğitim Yardımı (Çocuk-Engelli)")*($DN$15)
+COUNTIF(Q26,"Eğitim Yardımı (İşçi-Lise)")*($DN$16)
+COUNTIF(Q26,"Eğitim Yardımı (İşçi-Yükseköğretim)")*($DN$17)
+COUNTIF(Q26,"Evlilik Yardımı")*($DN$18)
+COUNTIF(Q26,"İş Kazası veya Meslek Hastalığı Tazminatı")*($DN$19)
+COUNTIF(Q26,"Sünnet Yardımı")*($DN$20)
+COUNTIF(Q26,"Temizlik Yardımı")*($DN$21/DK7)</f>
        <v>0</v>
      </c>
      <c r="BN7" s="37">
        <f>COUNTIF(O26,"Yok")*(0)
+COUNTIF(O26,"Bayram Yardımı (Kurban)")*(0)
+COUNTIF(O26,"Bayram Yardımı (Ramazan)")*(0)
+COUNTIF(O26,"Cenaze Yardımı (Anne-Baba)")*($DN$4)
+COUNTIF(O26,"Cenaze Yardımı (Eş-Çocuk)")*($DN$5)
+COUNTIF(O26,"Cenaze Yardımı (İşçi-İş Kazası Sonucu)")*($DN$6)
+COUNTIF(O26,"Cenaze Yardımı (İşçi-Tabii Sebepler Sonucu)")*($DN$7)
+COUNTIF(O26,"Doğal Afet Yardımı")*($DN$8)
+COUNTIF(O26,"Doğum Yardımı (İşveren)")*($DN$9)
+COUNTIF(O26,"Eğitim Yardımı (Çocuk-Zorunlu Anaokulu)")*(0)
+COUNTIF(O26,"Eğitim Yardımı (Çocuk-İlköğretim)")*(0)
+COUNTIF(O26,"Eğitim Yardımı (Çocuk-Ortaöğretim)")*(0)
+COUNTIF(O26,"Eğitim Yardımı (Çocuk-Lise)")*(0)
+COUNTIF(O26,"Eğitim Yardımı (Çocuk-Yükseköğretim)")*(0)
+COUNTIF(O26,"Eğitim Yardımı (Çocuk-Engelli)")*(0)
+COUNTIF(O26,"Eğitim Yardımı (İşçi-Lise)")*(0)
+COUNTIF(O26,"Eğitim Yardımı (İşçi-Yükseköğretim)")*(0)
+COUNTIF(O26,"Evlilik Yardımı")*($DN$18)
+COUNTIF(O26,"İş Kazası veya Meslek Hastalığı Tazminatı")*($DN$19)
+COUNTIF(O26,"Sünnet Yardımı")*(0)
+COUNTIF(O26,"Temizlik Yardımı")*(0)
+COUNTIF(P26,"Yok")*(0)
+COUNTIF(P26,"Bayram Yardımı (Kurban)")*(0)
+COUNTIF(P26,"Bayram Yardımı (Ramazan)")*(0)
+COUNTIF(P26,"Cenaze Yardımı (Anne-Baba)")*($DN$4)
+COUNTIF(P26,"Cenaze Yardımı (Eş-Çocuk)")*($DN$5)
+COUNTIF(P26,"Cenaze Yardımı (İşçi-İş Kazası Sonucu)")*($DN$6)
+COUNTIF(P26,"Cenaze Yardımı (İşçi-Tabii Sebepler Sonucu)")*($DN$7)
+COUNTIF(P26,"Doğal Afet Yardımı")*($DN$8)
+COUNTIF(P26,"Doğum Yardımı (İşveren)")*($DN$9)
+COUNTIF(P26,"Eğitim Yardımı (Çocuk-Zorunlu Anaokulu)")*(0)
+COUNTIF(P26,"Eğitim Yardımı (Çocuk-İlköğretim)")*(0)
+COUNTIF(P26,"Eğitim Yardımı (Çocuk-Ortaöğretim)")*(0)
+COUNTIF(P26,"Eğitim Yardımı (Çocuk-Lise)")*(0)
+COUNTIF(P26,"Eğitim Yardımı (Çocuk-Yükseköğretim)")*(0)
+COUNTIF(P26,"Eğitim Yardımı (Çocuk-Engelli)")*(0)
+COUNTIF(P26,"Eğitim Yardımı (İşçi-Lise)")*(0)
+COUNTIF(P26,"Eğitim Yardımı (İşçi-Yükseköğretim)")*(0)
+COUNTIF(P26,"Evlilik Yardımı")*($DN$18)
+COUNTIF(P26,"İş Kazası veya Meslek Hastalığı Tazminatı")*($DN$19)
+COUNTIF(P26,"Sünnet Yardımı")*(0)
+COUNTIF(P26,"Temizlik Yardımı")*(0)
+COUNTIF(Q26,"Yok")*(0)
+COUNTIF(Q26,"Bayram Yardımı (Kurban)")*(0)
+COUNTIF(Q26,"Bayram Yardımı (Ramazan)")*(0)
+COUNTIF(Q26,"Cenaze Yardımı (Anne-Baba)")*($DN$4)
+COUNTIF(Q26,"Cenaze Yardımı (Eş-Çocuk)")*($DN$5)
+COUNTIF(Q26,"Cenaze Yardımı (İşçi-İş Kazası Sonucu)")*($DN$6)
+COUNTIF(Q26,"Cenaze Yardımı (İşçi-Tabii Sebepler Sonucu)")*($DN$7)
+COUNTIF(Q26,"Doğal Afet Yardımı")*($DN$8)
+COUNTIF(Q26,"Doğum Yardımı (İşveren)")*($DN$9)
+COUNTIF(Q26,"Eğitim Yardımı (Çocuk-Zorunlu Anaokulu)")*(0)
+COUNTIF(Q26,"Eğitim Yardımı (Çocuk-İlköğretim)")*(0)
+COUNTIF(Q26,"Eğitim Yardımı (Çocuk-Ortaöğretim)")*(0)
+COUNTIF(Q26,"Eğitim Yardımı (Çocuk-Lise)")*(0)
+COUNTIF(Q26,"Eğitim Yardımı (Çocuk-Yükseköğretim)")*(0)
+COUNTIF(Q26,"Eğitim Yardımı (Çocuk-Engelli)")*(0)
+COUNTIF(Q26,"Eğitim Yardımı (İşçi-Lise)")*(0)
+COUNTIF(Q26,"Eğitim Yardımı (İşçi-Yükseköğretim)")*(0)
+COUNTIF(Q26,"Evlilik Yardımı")*($DN$18)
+COUNTIF(Q26,"İş Kazası veya Meslek Hastalığı Tazminatı")*($DN$19)
+COUNTIF(Q26,"Sünnet Yardımı")*(0)
+COUNTIF(Q26,"Temizlik Yardımı")*(0)</f>
        <v>0</v>
      </c>
      <c r="BO7" s="37">
        <f ca="1">COUNTIF(O26,"Yok")*(0)
+COUNTIF(O26,"Bayram Yardımı (Kurban)")*($DN$2)
+COUNTIF(O26,"Bayram Yardımı (Ramazan)")*($DN$3)
+COUNTIF(O26,"Cenaze Yardımı (Anne-Baba)")*($DN$4-$DN$4*0.00759)
+COUNTIF(O26,"Cenaze Yardımı (Eş-Çocuk)")*($DN$5-$DN$5*0.00759)
+COUNTIF(O26,"Cenaze Yardımı (İşçi-İş Kazası Sonucu)")*($DN$6-$DN$6*0.00759)
+COUNTIF(O26,"Cenaze Yardımı (İşçi-Tabii Sebepler Sonucu)")*($DN$7-$DN$7*0.00759)
+COUNTIF(O26,"Doğal Afet Yardımı")*($DN$8-$DN$8*0.00759)
+COUNTIF(O26,"Doğum Yardımı (İşveren)")*($DN$9-$DN$9*0.00759)
+COUNTIF(O26,"Eğitim Yardımı (Çocuk-Zorunlu Anaokulu)")*($DN$10*DK7)
+COUNTIF(O26,"Eğitim Yardımı (Çocuk-İlköğretim)")*($DN$11*DK7)
+COUNTIF(O26,"Eğitim Yardımı (Çocuk-Ortaöğretim)")*($DN$12*DK7)
+COUNTIF(O26,"Eğitim Yardımı (Çocuk-Lise)")*($DN$13*DK7)
+COUNTIF(O26,"Eğitim Yardımı (Çocuk-Yükseköğretim)")*($DN$14*DK7)
+COUNTIF(O26,"Eğitim Yardımı (Çocuk-Engelli)")*($DN$15*DK7)
+COUNTIF(O26,"Eğitim Yardımı (İşçi-Lise)")*($DN$16*DK7)
+COUNTIF(O26,"Eğitim Yardımı (İşçi-Yükseköğretim)")*($DN$17*DK7)
+COUNTIF(O26,"Evlilik Yardımı")*($DN$18-$DN$18*0.00759)
+COUNTIF(O26,"İş Kazası veya Meslek Hastalığı Tazminatı")*($DN$19-$DN$19*0.00759)
+COUNTIF(O26,"Sünnet Yardımı")*($DN$20*DK7)
+COUNTIF(O26,"Temizlik Yardımı")*($DN$21)
+COUNTIF(P26,"Yok")*(0)
+COUNTIF(P26,"Bayram Yardımı (Kurban)")*($DN$2)
+COUNTIF(P26,"Bayram Yardımı (Ramazan)")*($DN$3)
+COUNTIF(P26,"Cenaze Yardımı (Anne-Baba)")*($DN$4-$DN$4*0.00759)
+COUNTIF(P26,"Cenaze Yardımı (Eş-Çocuk)")*($DN$5-$DN$5*0.00759)
+COUNTIF(P26,"Cenaze Yardımı (İşçi-İş Kazası Sonucu)")*($DN$6-$DN$6*0.00759)
+COUNTIF(P26,"Cenaze Yardımı (İşçi-Tabii Sebepler Sonucu)")*($DN$7-$DN$7*0.00759)
+COUNTIF(P26,"Doğal Afet Yardımı")*($DN$8-$DN$8*0.00759)
+COUNTIF(P26,"Doğum Yardımı (İşveren)")*($DN$9-$DN$9*0.00759)
+COUNTIF(P26,"Eğitim Yardımı (Çocuk-Zorunlu Anaokulu)")*($DN$10*DK7)
+COUNTIF(P26,"Eğitim Yardımı (Çocuk-İlköğretim)")*($DN$11*DK7)
+COUNTIF(P26,"Eğitim Yardımı (Çocuk-Ortaöğretim)")*($DN$12*DK7)
+COUNTIF(P26,"Eğitim Yardımı (Çocuk-Lise)")*($DN$13*DK7)
+COUNTIF(P26,"Eğitim Yardımı (Çocuk-Yükseköğretim)")*($DN$14*DK7)
+COUNTIF(P26,"Eğitim Yardımı (Çocuk-Engelli)")*($DN$15*DK7)
+COUNTIF(P26,"Eğitim Yardımı (İşçi-Lise)")*($DN$16*DK7)
+COUNTIF(P26,"Eğitim Yardımı (İşçi-Yükseköğretim)")*($DN$17*DK7)
+COUNTIF(P26,"Evlilik Yardımı")*($DN$18-$DN$18*0.00759)
+COUNTIF(P26,"İş Kazası veya Meslek Hastalığı Tazminatı")*($DN$19-$DN$19*0.00759)
+COUNTIF(P26,"Sünnet Yardımı")*($DN$20*DK7)
+COUNTIF(P26,"Temizlik Yardımı")*($DN$21)
+COUNTIF(Q26,"Yok")*(0)
+COUNTIF(Q26,"Bayram Yardımı (Kurban)")*($DN$2)
+COUNTIF(Q26,"Bayram Yardımı (Ramazan)")*($DN$3)
+COUNTIF(Q26,"Cenaze Yardımı (Anne-Baba)")*($DN$4-$DN$4*0.00759)
+COUNTIF(Q26,"Cenaze Yardımı (Eş-Çocuk)")*($DN$5-$DN$5*0.00759)
+COUNTIF(Q26,"Cenaze Yardımı (İşçi-İş Kazası Sonucu)")*($DN$6-$DN$6*0.00759)
+COUNTIF(Q26,"Cenaze Yardımı (İşçi-Tabii Sebepler Sonucu)")*($DN$7-$DN$7*0.00759)
+COUNTIF(Q26,"Doğal Afet Yardımı")*($DN$8-$DN$8*0.00759)
+COUNTIF(Q26,"Doğum Yardımı (İşveren)")*($DN$9-$DN$9*0.00759)
+COUNTIF(Q26,"Eğitim Yardımı (Çocuk-Zorunlu Anaokulu)")*($DN$10*DK7)
+COUNTIF(Q26,"Eğitim Yardımı (Çocuk-İlköğretim)")*($DN$11*DK7)
+COUNTIF(Q26,"Eğitim Yardımı (Çocuk-Ortaöğretim)")*($DN$12*DK7)
+COUNTIF(Q26,"Eğitim Yardımı (Çocuk-Lise)")*($DN$13*DK7)
+COUNTIF(Q26,"Eğitim Yardımı (Çocuk-Yükseköğretim)")*($DN$14*DK7)
+COUNTIF(Q26,"Eğitim Yardımı (Çocuk-Engelli)")*($DN$15*DK7)
+COUNTIF(Q26,"Eğitim Yardımı (İşçi-Lise)")*($DN$16*DK7)
+COUNTIF(Q26,"Eğitim Yardımı (İşçi-Yükseköğretim)")*($DN$17*DK7)
+COUNTIF(Q26,"Evlilik Yardımı")*($DN$18-$DN$18*0.00759)
+COUNTIF(Q26,"İş Kazası veya Meslek Hastalığı Tazminatı")*($DN$19-$DN$19*0.00759)
+COUNTIF(Q26,"Sünnet Yardımı")*($DN$20*DK7)
+COUNTIF(Q26,"Temizlik Yardımı")*($DN$21)</f>
        <v>0</v>
      </c>
      <c r="BP7" s="33" t="s">
        <v>12</v>
      </c>
      <c r="BQ7" s="25">
        <f>COUNTIF(BP7,"Var")*(AP26*0.9*-1)</f>
        <v>-227.34</v>
      </c>
      <c r="BR7" s="25">
        <f>(BQ7*-1)</f>
        <v>227.34</v>
      </c>
      <c r="BS7" s="37">
        <f ca="1">(DI22*R26+BT7)*-1</f>
        <v>0</v>
      </c>
      <c r="BT7" s="37">
        <f>(AU8+AY11+BA11+BC11-BH11)*(R26*-1)</f>
        <v>0</v>
      </c>
      <c r="BU7" s="37">
        <f ca="1">(BS7+BT7)</f>
        <v>0</v>
      </c>
      <c r="BV7" s="25" t="s">
        <v>0</v>
      </c>
      <c r="BW7" s="25">
        <f>(6471)</f>
        <v>6471</v>
      </c>
      <c r="BX7" s="25">
        <f>(6471)</f>
        <v>6471</v>
      </c>
      <c r="BY7" s="25">
        <f>(BW7-BX7)</f>
        <v>0</v>
      </c>
      <c r="BZ7" s="25">
        <f>(BY7*0.00759*-1)</f>
        <v>0</v>
      </c>
      <c r="CA7" s="25">
        <f>(0)</f>
        <v>0</v>
      </c>
      <c r="CB7" s="25">
        <f>(BW7-CA7)</f>
        <v>6471</v>
      </c>
      <c r="CC7" s="25">
        <f>(CB7*0.14*-1)</f>
        <v>-905.94</v>
      </c>
      <c r="CD7" s="25">
        <f>(CB7*0.01*-1)</f>
        <v>-64.710000000000008</v>
      </c>
      <c r="CE7" s="37">
        <f ca="1">COUNTIF(O22,"Yok")*(0)
+COUNTIF(O22,"Bayram Yardımı (Kurban)")*($DN$2/CI3)
+COUNTIF(O22,"Bayram Yardımı (Ramazan)")*($DN$3/CI3)
+COUNTIF(O22,"Cenaze Yardımı (Anne-Baba)")*($DN$4)
+COUNTIF(O22,"Cenaze Yardımı (Eş-Çocuk)")*($DN$5)
+COUNTIF(O22,"Cenaze Yardımı (İşçi-İş Kazası Sonucu)")*($DN$6)
+COUNTIF(O22,"Cenaze Yardımı (İşçi-Tabii Sebepler Sonucu)")*($DN$7)
+COUNTIF(O22,"Doğal Afet Yardımı")*($DN$8)
+COUNTIF(O22,"Doğum Yardımı (İşveren)")*($DN$9)
+COUNTIF(O22,"Eğitim Yardımı (Çocuk-Zorunlu Anaokulu)")*($DN$10)
+COUNTIF(O22,"Eğitim Yardımı (Çocuk-İlköğretim)")*($DN$11)
+COUNTIF(O22,"Eğitim Yardımı (Çocuk-Ortaöğretim)")*($DN$12)
+COUNTIF(O22,"Eğitim Yardımı (Çocuk-Lise)")*($DN$13)
+COUNTIF(O22,"Eğitim Yardımı (Çocuk-Yükseköğretim)")*($DN$14)
+COUNTIF(O22,"Eğitim Yardımı (Çocuk-Engelli)")*($DN$15)
+COUNTIF(O22,"Eğitim Yardımı (İşçi-Lise)")*($DN$16)
+COUNTIF(O22,"Eğitim Yardımı (İşçi-Yükseköğretim)")*($DN$17)
+COUNTIF(O22,"Evlilik Yardımı")*($DN$18)
+COUNTIF(O22,"İş Kazası veya Meslek Hastalığı Tazminatı")*($DN$19)
+COUNTIF(O22,"Sünnet Yardımı")*($DN$20)
+COUNTIF(O22,"Temizlik Yardımı")*($DN$21/CI3)
+COUNTIF(P22,"Yok")*(0)
+COUNTIF(P22,"Bayram Yardımı (Kurban)")*($DN$2/CI3)
+COUNTIF(P22,"Bayram Yardımı (Ramazan)")*($DN$3/CI3)
+COUNTIF(P22,"Cenaze Yardımı (Anne-Baba)")*($DN$4)
+COUNTIF(P22,"Cenaze Yardımı (Eş-Çocuk)")*($DN$5)
+COUNTIF(P22,"Cenaze Yardımı (İşçi-İş Kazası Sonucu)")*($DN$6)
+COUNTIF(P22,"Cenaze Yardımı (İşçi-Tabii Sebepler Sonucu)")*($DN$7)
+COUNTIF(P22,"Doğal Afet Yardımı")*($DN$8)
+COUNTIF(P22,"Doğum Yardımı (İşveren)")*($DN$9)
+COUNTIF(P22,"Eğitim Yardımı (Çocuk-Zorunlu Anaokulu)")*($DN$10)
+COUNTIF(P22,"Eğitim Yardımı (Çocuk-İlköğretim)")*($DN$11)
+COUNTIF(P22,"Eğitim Yardımı (Çocuk-Ortaöğretim)")*($DN$12)
+COUNTIF(P22,"Eğitim Yardımı (Çocuk-Lise)")*($DN$13)
+COUNTIF(P22,"Eğitim Yardımı (Çocuk-Yükseköğretim)")*($DN$14)
+COUNTIF(P22,"Eğitim Yardımı (Çocuk-Engelli)")*($DN$15)
+COUNTIF(P22,"Eğitim Yardımı (İşçi-Lise)")*($DN$16)
+COUNTIF(P22,"Eğitim Yardımı (İşçi-Yükseköğretim)")*($DN$17)
+COUNTIF(P22,"Evlilik Yardımı")*($DN$18)
+COUNTIF(P22,"İş Kazası veya Meslek Hastalığı Tazminatı")*($DN$19)
+COUNTIF(P22,"Sünnet Yardımı")*($DN$20)
+COUNTIF(P22,"Temizlik Yardımı")*($DN$21/CI3)
+COUNTIF(Q22,"Yok")*(0)
+COUNTIF(Q22,"Bayram Yardımı (Kurban)")*($DN$2/CI3)
+COUNTIF(Q22,"Bayram Yardımı (Ramazan)")*($DN$3/CI3)
+COUNTIF(Q22,"Cenaze Yardımı (Anne-Baba)")*($DN$4)
+COUNTIF(Q22,"Cenaze Yardımı (Eş-Çocuk)")*($DN$5)
+COUNTIF(Q22,"Cenaze Yardımı (İşçi-İş Kazası Sonucu)")*($DN$6)
+COUNTIF(Q22,"Cenaze Yardımı (İşçi-Tabii Sebepler Sonucu)")*($DN$7)
+COUNTIF(Q22,"Doğal Afet Yardımı")*($DN$8)
+COUNTIF(Q22,"Doğum Yardımı (İşveren)")*($DN$9)
+COUNTIF(Q22,"Eğitim Yardımı (Çocuk-Zorunlu Anaokulu)")*($DN$10)
+COUNTIF(Q22,"Eğitim Yardımı (Çocuk-İlköğretim)")*($DN$11)
+COUNTIF(Q22,"Eğitim Yardımı (Çocuk-Ortaöğretim)")*($DN$12)
+COUNTIF(Q22,"Eğitim Yardımı (Çocuk-Lise)")*($DN$13)
+COUNTIF(Q22,"Eğitim Yardımı (Çocuk-Yükseköğretim)")*($DN$14)
+COUNTIF(Q22,"Eğitim Yardımı (Çocuk-Engelli)")*($DN$15)
+COUNTIF(Q22,"Eğitim Yardımı (İşçi-Lise)")*($DN$16)
+COUNTIF(Q22,"Eğitim Yardımı (İşçi-Yükseköğretim)")*($DN$17)
+COUNTIF(Q22,"Evlilik Yardımı")*($DN$18)
+COUNTIF(Q22,"İş Kazası veya Meslek Hastalığı Tazminatı")*($DN$19)
+COUNTIF(Q22,"Sünnet Yardımı")*($DN$20)
+COUNTIF(Q22,"Temizlik Yardımı")*($DN$21/CI3)</f>
        <v>0</v>
      </c>
      <c r="CF7" s="37">
        <f>COUNTIF(O22,"Yok")*(0)
+COUNTIF(O22,"Bayram Yardımı (Kurban)")*(0)
+COUNTIF(O22,"Bayram Yardımı (Ramazan)")*(0)
+COUNTIF(O22,"Cenaze Yardımı (Anne-Baba)")*($DN$4)
+COUNTIF(O22,"Cenaze Yardımı (Eş-Çocuk)")*($DN$5)
+COUNTIF(O22,"Cenaze Yardımı (İşçi-İş Kazası Sonucu)")*($DN$6)
+COUNTIF(O22,"Cenaze Yardımı (İşçi-Tabii Sebepler Sonucu)")*($DN$7)
+COUNTIF(O22,"Doğal Afet Yardımı")*($DN$8)
+COUNTIF(O22,"Doğum Yardımı (İşveren)")*($DN$9)
+COUNTIF(O22,"Eğitim Yardımı (Çocuk-Zorunlu Anaokulu)")*(0)
+COUNTIF(O22,"Eğitim Yardımı (Çocuk-İlköğretim)")*(0)
+COUNTIF(O22,"Eğitim Yardımı (Çocuk-Ortaöğretim)")*(0)
+COUNTIF(O22,"Eğitim Yardımı (Çocuk-Lise)")*(0)
+COUNTIF(O22,"Eğitim Yardımı (Çocuk-Yükseköğretim)")*(0)
+COUNTIF(O22,"Eğitim Yardımı (Çocuk-Engelli)")*(0)
+COUNTIF(O22,"Eğitim Yardımı (İşçi-Lise)")*(0)
+COUNTIF(O22,"Eğitim Yardımı (İşçi-Yükseköğretim)")*(0)
+COUNTIF(O22,"Evlilik Yardımı")*($DN$18)
+COUNTIF(O22,"İş Kazası veya Meslek Hastalığı Tazminatı")*($DN$19)
+COUNTIF(O22,"Sünnet Yardımı")*(0)
+COUNTIF(O22,"Temizlik Yardımı")*(0)
+COUNTIF(P22,"Yok")*(0)
+COUNTIF(P22,"Bayram Yardımı (Kurban)")*(0)
+COUNTIF(P22,"Bayram Yardımı (Ramazan)")*(0)
+COUNTIF(P22,"Cenaze Yardımı (Anne-Baba)")*($DN$4)
+COUNTIF(P22,"Cenaze Yardımı (Eş-Çocuk)")*($DN$5)
+COUNTIF(P22,"Cenaze Yardımı (İşçi-İş Kazası Sonucu)")*($DN$6)
+COUNTIF(P22,"Cenaze Yardımı (İşçi-Tabii Sebepler Sonucu)")*($DN$7)
+COUNTIF(P22,"Doğal Afet Yardımı")*($DN$8)
+COUNTIF(P22,"Doğum Yardımı (İşveren)")*($DN$9)
+COUNTIF(P22,"Eğitim Yardımı (Çocuk-Zorunlu Anaokulu)")*(0)
+COUNTIF(P22,"Eğitim Yardımı (Çocuk-İlköğretim)")*(0)
+COUNTIF(P22,"Eğitim Yardımı (Çocuk-Ortaöğretim)")*(0)
+COUNTIF(P22,"Eğitim Yardımı (Çocuk-Lise)")*(0)
+COUNTIF(P22,"Eğitim Yardımı (Çocuk-Yükseköğretim)")*(0)
+COUNTIF(P22,"Eğitim Yardımı (Çocuk-Engelli)")*(0)
+COUNTIF(P22,"Eğitim Yardımı (İşçi-Lise)")*(0)
+COUNTIF(P22,"Eğitim Yardımı (İşçi-Yükseköğretim)")*(0)
+COUNTIF(P22,"Evlilik Yardımı")*($DN$18)
+COUNTIF(P22,"İş Kazası veya Meslek Hastalığı Tazminatı")*($DN$19)
+COUNTIF(P22,"Sünnet Yardımı")*(0)
+COUNTIF(P22,"Temizlik Yardımı")*(0)
+COUNTIF(Q22,"Yok")*(0)
+COUNTIF(Q22,"Bayram Yardımı (Kurban)")*(0)
+COUNTIF(Q22,"Bayram Yardımı (Ramazan)")*(0)
+COUNTIF(Q22,"Cenaze Yardımı (Anne-Baba)")*($DN$4)
+COUNTIF(Q22,"Cenaze Yardımı (Eş-Çocuk)")*($DN$5)
+COUNTIF(Q22,"Cenaze Yardımı (İşçi-İş Kazası Sonucu)")*($DN$6)
+COUNTIF(Q22,"Cenaze Yardımı (İşçi-Tabii Sebepler Sonucu)")*($DN$7)
+COUNTIF(Q22,"Doğal Afet Yardımı")*($DN$8)
+COUNTIF(Q22,"Doğum Yardımı (İşveren)")*($DN$9)
+COUNTIF(Q22,"Eğitim Yardımı (Çocuk-Zorunlu Anaokulu)")*(0)
+COUNTIF(Q22,"Eğitim Yardımı (Çocuk-İlköğretim)")*(0)
+COUNTIF(Q22,"Eğitim Yardımı (Çocuk-Ortaöğretim)")*(0)
+COUNTIF(Q22,"Eğitim Yardımı (Çocuk-Lise)")*(0)
+COUNTIF(Q22,"Eğitim Yardımı (Çocuk-Yükseköğretim)")*(0)
+COUNTIF(Q22,"Eğitim Yardımı (Çocuk-Engelli)")*(0)
+COUNTIF(Q22,"Eğitim Yardımı (İşçi-Lise)")*(0)
+COUNTIF(Q22,"Eğitim Yardımı (İşçi-Yükseköğretim)")*(0)
+COUNTIF(Q22,"Evlilik Yardımı")*($DN$18)
+COUNTIF(Q22,"İş Kazası veya Meslek Hastalığı Tazminatı")*($DN$19)
+COUNTIF(Q22,"Sünnet Yardımı")*(0)
+COUNTIF(Q22,"Temizlik Yardımı")*(0)</f>
        <v>0</v>
      </c>
      <c r="CG7" s="37">
        <f ca="1">COUNTIF(O22,"Yok")*(0)
+COUNTIF(O22,"Bayram Yardımı (Kurban)")*($DN$2)
+COUNTIF(O22,"Bayram Yardımı (Ramazan)")*($DN$3)
+COUNTIF(O22,"Cenaze Yardımı (Anne-Baba)")*($DN$4-$DN$4*0.00759)
+COUNTIF(O22,"Cenaze Yardımı (Eş-Çocuk)")*($DN$5-$DN$5*0.00759)
+COUNTIF(O22,"Cenaze Yardımı (İşçi-İş Kazası Sonucu)")*($DN$6-$DN$6*0.00759)
+COUNTIF(O22,"Cenaze Yardımı (İşçi-Tabii Sebepler Sonucu)")*($DN$7-$DN$7*0.00759)
+COUNTIF(O22,"Doğal Afet Yardımı")*($DN$8-$DN$8*0.00759)
+COUNTIF(O22,"Doğum Yardımı (İşveren)")*($DN$9-$DN$9*0.00759)
+COUNTIF(O22,"Eğitim Yardımı (Çocuk-Zorunlu Anaokulu)")*($DN$10*CI3)
+COUNTIF(O22,"Eğitim Yardımı (Çocuk-İlköğretim)")*($DN$11*CI3)
+COUNTIF(O22,"Eğitim Yardımı (Çocuk-Ortaöğretim)")*($DN$12*CI3)
+COUNTIF(O22,"Eğitim Yardımı (Çocuk-Lise)")*($DN$13*CI3)
+COUNTIF(O22,"Eğitim Yardımı (Çocuk-Yükseköğretim)")*($DN$14*CI3)
+COUNTIF(O22,"Eğitim Yardımı (Çocuk-Engelli)")*($DN$15*CI3)
+COUNTIF(O22,"Eğitim Yardımı (İşçi-Lise)")*($DN$16*CI3)
+COUNTIF(O22,"Eğitim Yardımı (İşçi-Yükseköğretim)")*($DN$17*CI3)
+COUNTIF(O22,"Evlilik Yardımı")*($DN$18-$DN$18*0.00759)
+COUNTIF(O22,"İş Kazası veya Meslek Hastalığı Tazminatı")*($DN$19-$DN$19*0.00759)
+COUNTIF(O22,"Sünnet Yardımı")*($DN$20*CI3)
+COUNTIF(O22,"Temizlik Yardımı")*($DN$21)
+COUNTIF(P22,"Yok")*(0)
+COUNTIF(P22,"Bayram Yardımı (Kurban)")*($DN$2)
+COUNTIF(P22,"Bayram Yardımı (Ramazan)")*($DN$3)
+COUNTIF(P22,"Cenaze Yardımı (Anne-Baba)")*($DN$4-$DN$4*0.00759)
+COUNTIF(P22,"Cenaze Yardımı (Eş-Çocuk)")*($DN$5-$DN$5*0.00759)
+COUNTIF(P22,"Cenaze Yardımı (İşçi-İş Kazası Sonucu)")*($DN$6-$DN$6*0.00759)
+COUNTIF(P22,"Cenaze Yardımı (İşçi-Tabii Sebepler Sonucu)")*($DN$7-$DN$7*0.00759)
+COUNTIF(P22,"Doğal Afet Yardımı")*($DN$8-$DN$8*0.00759)
+COUNTIF(P22,"Doğum Yardımı (İşveren)")*($DN$9-$DN$9*0.00759)
+COUNTIF(P22,"Eğitim Yardımı (Çocuk-Zorunlu Anaokulu)")*($DN$10*CI3)
+COUNTIF(P22,"Eğitim Yardımı (Çocuk-İlköğretim)")*($DN$11*CI3)
+COUNTIF(P22,"Eğitim Yardımı (Çocuk-Ortaöğretim)")*($DN$12*CI3)
+COUNTIF(P22,"Eğitim Yardımı (Çocuk-Lise)")*($DN$13*CI3)
+COUNTIF(P22,"Eğitim Yardımı (Çocuk-Yükseköğretim)")*($DN$14*CI3)
+COUNTIF(P22,"Eğitim Yardımı (Çocuk-Engelli)")*($DN$15*CI3)
+COUNTIF(P22,"Eğitim Yardımı (İşçi-Lise)")*($DN$16*CI3)
+COUNTIF(P22,"Eğitim Yardımı (İşçi-Yükseköğretim)")*($DN$17*CI3)
+COUNTIF(P22,"Evlilik Yardımı")*($DN$18-$DN$18*0.00759)
+COUNTIF(P22,"İş Kazası veya Meslek Hastalığı Tazminatı")*($DN$19-$DN$19*0.00759)
+COUNTIF(P22,"Sünnet Yardımı")*($DN$20*CI3)
+COUNTIF(P22,"Temizlik Yardımı")*($DN$21)
+COUNTIF(Q22,"Yok")*(0)
+COUNTIF(Q22,"Bayram Yardımı (Kurban)")*($DN$2)
+COUNTIF(Q22,"Bayram Yardımı (Ramazan)")*($DN$3)
+COUNTIF(Q22,"Cenaze Yardımı (Anne-Baba)")*($DN$4-$DN$4*0.00759)
+COUNTIF(Q22,"Cenaze Yardımı (Eş-Çocuk)")*($DN$5-$DN$5*0.00759)
+COUNTIF(Q22,"Cenaze Yardımı (İşçi-İş Kazası Sonucu)")*($DN$6-$DN$6*0.00759)
+COUNTIF(Q22,"Cenaze Yardımı (İşçi-Tabii Sebepler Sonucu)")*($DN$7-$DN$7*0.00759)
+COUNTIF(Q22,"Doğal Afet Yardımı")*($DN$8-$DN$8*0.00759)
+COUNTIF(Q22,"Doğum Yardımı (İşveren)")*($DN$9-$DN$9*0.00759)
+COUNTIF(Q22,"Eğitim Yardımı (Çocuk-Zorunlu Anaokulu)")*($DN$10*CI3)
+COUNTIF(Q22,"Eğitim Yardımı (Çocuk-İlköğretim)")*($DN$11*CI3)
+COUNTIF(Q22,"Eğitim Yardımı (Çocuk-Ortaöğretim)")*($DN$12*CI3)
+COUNTIF(Q22,"Eğitim Yardımı (Çocuk-Lise)")*($DN$13*CI3)
+COUNTIF(Q22,"Eğitim Yardımı (Çocuk-Yükseköğretim)")*($DN$14*CI3)
+COUNTIF(Q22,"Eğitim Yardımı (Çocuk-Engelli)")*($DN$15*CI3)
+COUNTIF(Q22,"Eğitim Yardımı (İşçi-Lise)")*($DN$16*CI3)
+COUNTIF(Q22,"Eğitim Yardımı (İşçi-Yükseköğretim)")*($DN$17*CI3)
+COUNTIF(Q22,"Evlilik Yardımı")*($DN$18-$DN$18*0.00759)
+COUNTIF(Q22,"İş Kazası veya Meslek Hastalığı Tazminatı")*($DN$19-$DN$19*0.00759)
+COUNTIF(Q22,"Sünnet Yardımı")*($DN$20*CI3)
+COUNTIF(Q22,"Temizlik Yardımı")*($DN$21)</f>
        <v>0</v>
      </c>
      <c r="CH7" s="33" t="s">
        <v>12</v>
      </c>
      <c r="CI7" s="25">
        <f>COUNTIF(CH7,"Var")*(AP11*0.9*-1)</f>
        <v>-227.34</v>
      </c>
      <c r="CJ7" s="25">
        <f>(CI7*-1)</f>
        <v>227.34</v>
      </c>
      <c r="CK7" s="37">
        <f ca="1">(DI18*R22+CE11)*-1</f>
        <v>0</v>
      </c>
      <c r="CL7" s="25">
        <f t="shared" ref="CL7" ca="1" si="12">(CL6/12)</f>
        <v>12241.830000000002</v>
      </c>
      <c r="CM7" s="25">
        <f t="shared" ref="CM7" ca="1" si="13">(CM6/12)</f>
        <v>2509.5751500000001</v>
      </c>
      <c r="CN7" s="25">
        <f t="shared" ref="CN7" ca="1" si="14">(CN6/12)</f>
        <v>122.4183</v>
      </c>
      <c r="CO7" s="25">
        <f t="shared" ref="CO7" ca="1" si="15">(CO6/12)</f>
        <v>-612.0915</v>
      </c>
      <c r="CP7" s="25">
        <f t="shared" ref="CP7" ca="1" si="16">(CP6/12)</f>
        <v>14261.731950000001</v>
      </c>
      <c r="CQ7" s="25">
        <f ca="1">(DG12*0.05*-1)</f>
        <v>-635.35550000000012</v>
      </c>
      <c r="CR7" s="25">
        <f ca="1">(DG12+DH12+DI12+CQ7)</f>
        <v>14803.783149999999</v>
      </c>
      <c r="CS7" s="25" t="s">
        <v>0</v>
      </c>
      <c r="CT7" s="25" t="s">
        <v>0</v>
      </c>
      <c r="CU7" s="25" t="s">
        <v>0</v>
      </c>
      <c r="CV7" s="25" t="s">
        <v>0</v>
      </c>
      <c r="CW7" s="25">
        <f>(0)</f>
        <v>0</v>
      </c>
      <c r="CX7" s="25">
        <f>(CH9+CN9+CO9-CW7)</f>
        <v>4253.3999999999996</v>
      </c>
      <c r="CY7" s="25">
        <f>SUM(CX$2:$CX7)</f>
        <v>25520.400000000001</v>
      </c>
      <c r="CZ7" s="29">
        <f t="shared" si="2"/>
        <v>0.15</v>
      </c>
      <c r="DA7" s="33">
        <f t="shared" si="3"/>
        <v>0</v>
      </c>
      <c r="DB7" s="25">
        <f ca="1">(DI2-DK2)</f>
        <v>7703.1100000000006</v>
      </c>
      <c r="DC7" s="25">
        <f ca="1">(DB7*0.00759*-1)</f>
        <v>-58.466604900000007</v>
      </c>
      <c r="DD7" s="25">
        <f ca="1">(DC7)</f>
        <v>-58.466604900000007</v>
      </c>
      <c r="DE7" s="25">
        <f ca="1">(AT23+BE2+BX2+BG27+BN11)</f>
        <v>752.8</v>
      </c>
      <c r="DF7" s="25">
        <f ca="1">(DI2-DE7)</f>
        <v>11954.310000000001</v>
      </c>
      <c r="DG7" s="25">
        <f ca="1">IF(DF7&gt;=BW11*7.5,BW11*7.5,DF7)</f>
        <v>11954.310000000001</v>
      </c>
      <c r="DH7" s="25">
        <f>(CT22)</f>
        <v>1100.07</v>
      </c>
      <c r="DI7" s="25">
        <f ca="1">(DW26+DH7)</f>
        <v>-2468.5100000000002</v>
      </c>
      <c r="DJ7" s="28">
        <f t="shared" si="1"/>
        <v>0.84240999999999999</v>
      </c>
      <c r="DK7" s="28">
        <f ca="1">(100+(100*0.00759*-1)+(100*0.14*-1)+(100*0.01*-1)+(100+100*0.14*-1+100*0.01*-1)*DV26*-1)/100</f>
        <v>0.61290999999999995</v>
      </c>
      <c r="DL7" s="28">
        <f ca="1">(100+(100*0.00759*-1)+(100)*DV26*-1)/100</f>
        <v>0.72241</v>
      </c>
      <c r="DM7" s="34" t="s">
        <v>64</v>
      </c>
      <c r="DN7" s="25">
        <v>0</v>
      </c>
      <c r="DX7" s="24">
        <v>5</v>
      </c>
      <c r="DY7" s="35">
        <v>2.5</v>
      </c>
      <c r="DZ7" s="36">
        <v>7.0000000000000007E-2</v>
      </c>
      <c r="EA7" s="49"/>
    </row>
    <row r="8" spans="1:131" ht="39.950000000000003" customHeight="1" x14ac:dyDescent="0.25">
      <c r="A8" s="70"/>
      <c r="B8" s="71"/>
      <c r="C8" s="57"/>
      <c r="D8" s="57"/>
      <c r="E8" s="72"/>
      <c r="F8" s="72"/>
      <c r="G8" s="57"/>
      <c r="H8" s="57"/>
      <c r="I8" s="57"/>
      <c r="J8" s="74"/>
      <c r="K8" s="57"/>
      <c r="L8" s="57"/>
      <c r="M8" s="57"/>
      <c r="N8" s="57"/>
      <c r="O8" s="57"/>
      <c r="P8" s="57"/>
      <c r="Q8" s="57"/>
      <c r="R8" s="57"/>
      <c r="S8" s="57"/>
      <c r="T8" s="57"/>
      <c r="U8" s="73"/>
      <c r="V8" s="15" t="s">
        <v>37</v>
      </c>
      <c r="W8" s="16">
        <f t="shared" ca="1" si="0"/>
        <v>17185.308451470555</v>
      </c>
      <c r="X8" s="16">
        <f ca="1">COUNTIF(Y1,"Ocak")*(BI1)
+COUNTIF(Y1,"Şubat")*(BI2)
+COUNTIF(Y1,"Mart")*(BI3)
+COUNTIF(Y1,"Nisan")*(BK14)
+COUNTIF(Y1,"Mayıs")*(BK15)
+COUNTIF(Y1,"Haziran")*(BK16)
+COUNTIF(Y1,"Temmuz")*(BH22)
+COUNTIF(Y1,"Ağustos")*(BH23)
+COUNTIF(Y1,"Eylül")*(BH24)
+COUNTIF(Y1,"Ekim")*(BH25)
+COUNTIF(Y1,"Kasım")*(BK17)
+COUNTIF(Y1,"Aralık")*(BK18)
+COUNTIF(Y1,"Yıllık Toplam")*(BK19)
+COUNTIF(Y1,"Yıllık Ortalama")*(BK20)</f>
        <v>17185.308451470555</v>
      </c>
      <c r="Y8" s="64"/>
      <c r="Z8" s="68"/>
      <c r="AA8" s="77" t="s">
        <v>30</v>
      </c>
      <c r="AB8" s="78" t="s">
        <v>131</v>
      </c>
      <c r="AC8" s="56"/>
      <c r="AD8" s="58"/>
      <c r="AE8" s="60"/>
      <c r="AF8" s="59"/>
      <c r="AG8" s="34" t="s">
        <v>83</v>
      </c>
      <c r="AH8" s="40">
        <v>276.16000000000003</v>
      </c>
      <c r="AI8" s="22">
        <v>325.89999999999998</v>
      </c>
      <c r="AJ8" s="25" t="s">
        <v>0</v>
      </c>
      <c r="AK8" s="24" t="s">
        <v>0</v>
      </c>
      <c r="AL8" s="25">
        <f>(17)</f>
        <v>17</v>
      </c>
      <c r="AM8" s="25">
        <f>(25.5)</f>
        <v>25.5</v>
      </c>
      <c r="AN8" s="38">
        <f>(0.074667)</f>
        <v>7.4666999999999997E-2</v>
      </c>
      <c r="AO8" s="38">
        <f>(0.105796)</f>
        <v>0.105796</v>
      </c>
      <c r="AP8" s="24" t="s">
        <v>0</v>
      </c>
      <c r="AQ8" s="34" t="s">
        <v>0</v>
      </c>
      <c r="AR8" s="25">
        <f ca="1">(AW26*DK7)</f>
        <v>4799.4530459999996</v>
      </c>
      <c r="AS8" s="25">
        <f>(0.58*C26)</f>
        <v>0</v>
      </c>
      <c r="AT8" s="25">
        <f ca="1">(AS8*DK7)</f>
        <v>0</v>
      </c>
      <c r="AU8" s="25">
        <f>(AT26/7.5*1.6*D26)</f>
        <v>0</v>
      </c>
      <c r="AX8" s="25">
        <f ca="1">(AY2*CH12)</f>
        <v>0</v>
      </c>
      <c r="AY8" s="25">
        <f>(AR12*E23)</f>
        <v>0</v>
      </c>
      <c r="AZ8" s="25">
        <f ca="1">(AY8*CH12)</f>
        <v>0</v>
      </c>
      <c r="BA8" s="25">
        <f>(AT12/7.5*0.3*F23)</f>
        <v>0</v>
      </c>
      <c r="BB8" s="25">
        <f ca="1">(BA8*CH12)</f>
        <v>0</v>
      </c>
      <c r="BC8" s="25">
        <f t="shared" si="4"/>
        <v>1209.78</v>
      </c>
      <c r="BD8" s="25">
        <f ca="1">(BF8+BG8+BJ8+BK8+AZ24)</f>
        <v>778.32643979999989</v>
      </c>
      <c r="BE8" s="25">
        <f t="shared" si="5"/>
        <v>1209.78</v>
      </c>
      <c r="BF8" s="25">
        <f t="shared" si="6"/>
        <v>1209.78</v>
      </c>
      <c r="BG8" s="25">
        <f t="shared" si="7"/>
        <v>-9.1822302000000011</v>
      </c>
      <c r="BH8" s="25">
        <f t="shared" si="11"/>
        <v>336.44</v>
      </c>
      <c r="BI8" s="25">
        <f t="shared" si="8"/>
        <v>873.33999999999992</v>
      </c>
      <c r="BJ8" s="25">
        <f t="shared" si="9"/>
        <v>-122.2676</v>
      </c>
      <c r="BK8" s="25">
        <f t="shared" si="10"/>
        <v>-8.7333999999999996</v>
      </c>
      <c r="BL8" s="25">
        <f>(0)</f>
        <v>0</v>
      </c>
      <c r="BM8" s="25">
        <f ca="1">(BM10+BM11+BM12+BM13+CE4+CE5+CE6+CE7+BM4+BM5+BM6+BM7)</f>
        <v>0</v>
      </c>
      <c r="BN8" s="25">
        <f>(BN10+BN11+BN12+BN13+CF4+CF5+CF6+CF7+BN4+BN5+BN6+BN7)</f>
        <v>0</v>
      </c>
      <c r="BO8" s="25">
        <f ca="1">(BO10+BO11+BO12+BO13+CG4+CG5+CG6+CG7+BO4+BO5+BO6+BO7)</f>
        <v>0</v>
      </c>
      <c r="BP8" s="41" t="s">
        <v>0</v>
      </c>
      <c r="BQ8" s="25">
        <f>(BQ10+BQ11+BQ12+BQ13+CI4+CI5+CI6+CI7+BQ4+BQ5+BQ6+BQ7)</f>
        <v>-2519.748</v>
      </c>
      <c r="BR8" s="25">
        <f>(BR10+BR11+BR12+BR13+CJ4+CJ5+CJ6+CJ7+BR4+BR5+BR6+BR7)</f>
        <v>2519.748</v>
      </c>
      <c r="BS8" s="25">
        <f ca="1">(BS10+BS11+BS12+BS13+CK4+CK5+CK6+CK7+BS4+BS5+BS6+BS7)</f>
        <v>0</v>
      </c>
      <c r="BT8" s="25">
        <f>(BT10+BT11+BT12+BT13+CE8+CE9+CE10+CE11+BT4+BT5+BT6+BT7)</f>
        <v>0</v>
      </c>
      <c r="BU8" s="25">
        <f ca="1">(BU10+BU11+BU12+BU13+CF8+CF9+CF10+CF11+BU4+BU5+BU6+BU7)</f>
        <v>0</v>
      </c>
      <c r="BV8" s="37" t="s">
        <v>0</v>
      </c>
      <c r="BW8" s="25">
        <f t="shared" ref="BW8:CD8" si="17">(BW10+BW11+BW12+BW13+CH8+CH9+CH10+CH11+BW4+BW5+BW6+BW7)</f>
        <v>68850</v>
      </c>
      <c r="BX8" s="25">
        <f t="shared" si="17"/>
        <v>68850</v>
      </c>
      <c r="BY8" s="25">
        <f t="shared" si="17"/>
        <v>0</v>
      </c>
      <c r="BZ8" s="25">
        <f t="shared" si="17"/>
        <v>0</v>
      </c>
      <c r="CA8" s="25">
        <f t="shared" si="17"/>
        <v>0</v>
      </c>
      <c r="CB8" s="25">
        <f t="shared" si="17"/>
        <v>68850</v>
      </c>
      <c r="CC8" s="25">
        <f t="shared" si="17"/>
        <v>-9639.0000000000036</v>
      </c>
      <c r="CD8" s="25">
        <f t="shared" si="17"/>
        <v>-688.50000000000023</v>
      </c>
      <c r="CE8" s="37">
        <f>(AN19+AY4+BA4+BC4-BH4)*(R19*-1)</f>
        <v>0</v>
      </c>
      <c r="CF8" s="37">
        <f ca="1">(CK4+CE8)</f>
        <v>0</v>
      </c>
      <c r="CG8" s="25" t="s">
        <v>0</v>
      </c>
      <c r="CH8" s="25">
        <f>(5004)</f>
        <v>5004</v>
      </c>
      <c r="CI8" s="25">
        <f>(5004)</f>
        <v>5004</v>
      </c>
      <c r="CJ8" s="25">
        <f>(CH8-CI8)</f>
        <v>0</v>
      </c>
      <c r="CK8" s="25">
        <f>(CJ8*0.00759*-1)</f>
        <v>0</v>
      </c>
      <c r="CL8" s="25">
        <f>(0)</f>
        <v>0</v>
      </c>
      <c r="CM8" s="25">
        <f>(CH8-CL8)</f>
        <v>5004</v>
      </c>
      <c r="CN8" s="25">
        <f>(CM8*0.14*-1)</f>
        <v>-700.56000000000006</v>
      </c>
      <c r="CO8" s="25">
        <f>(CM8*0.01*-1)</f>
        <v>-50.04</v>
      </c>
      <c r="CQ8" s="25">
        <f ca="1">(DG13*0.05*-1)</f>
        <v>-474.84050000000008</v>
      </c>
      <c r="CR8" s="25">
        <f ca="1">(DG13+DH13+DI13+CQ8)</f>
        <v>11063.783650000001</v>
      </c>
      <c r="CS8" s="25" t="s">
        <v>0</v>
      </c>
      <c r="CT8" s="25" t="s">
        <v>0</v>
      </c>
      <c r="CU8" s="25" t="s">
        <v>0</v>
      </c>
      <c r="CV8" s="25" t="s">
        <v>0</v>
      </c>
      <c r="CW8" s="25">
        <f>(0)</f>
        <v>0</v>
      </c>
      <c r="CX8" s="25">
        <f>(CH10+CN10+CO10-CW8)</f>
        <v>5500.3499999999995</v>
      </c>
      <c r="CY8" s="25">
        <f>SUM(CX$2:$CX8)</f>
        <v>31020.75</v>
      </c>
      <c r="CZ8" s="29">
        <f t="shared" si="2"/>
        <v>0.15</v>
      </c>
      <c r="DA8" s="33">
        <f t="shared" si="3"/>
        <v>0</v>
      </c>
      <c r="DB8" s="25">
        <f ca="1">(DI3-DK3)</f>
        <v>4492.8100000000013</v>
      </c>
      <c r="DC8" s="25">
        <f ca="1">(DB8*0.00759*-1)</f>
        <v>-34.100427900000014</v>
      </c>
      <c r="DD8" s="25">
        <f ca="1">(DC8)</f>
        <v>-34.100427900000014</v>
      </c>
      <c r="DE8" s="25">
        <f ca="1">(AT24+BE3+BX3+BG28+BN12)</f>
        <v>752.8</v>
      </c>
      <c r="DF8" s="25">
        <f ca="1">(DI3-DE8)</f>
        <v>8744.010000000002</v>
      </c>
      <c r="DG8" s="25">
        <f ca="1">IF(DF8&gt;=BW12*7.5,BW12*7.5,DF8)</f>
        <v>8744.010000000002</v>
      </c>
      <c r="DH8" s="25">
        <f>(DB11+DB12+DB13+DB14+DB15+CF1+CF2+CF3+CE12+CE13+DH6+DH7)</f>
        <v>10104.5</v>
      </c>
      <c r="DI8" s="25">
        <f ca="1">(DC11+DC12+DC13+DC14+DC15+CG1+CG2+CG3+CF12+CF13+DI6+DI7)</f>
        <v>-14957.97</v>
      </c>
      <c r="DJ8" s="24" t="s">
        <v>0</v>
      </c>
      <c r="DK8" s="24" t="s">
        <v>0</v>
      </c>
      <c r="DL8" s="24" t="s">
        <v>0</v>
      </c>
      <c r="DM8" s="34" t="s">
        <v>3</v>
      </c>
      <c r="DN8" s="25">
        <v>7594.4</v>
      </c>
      <c r="DX8" s="24">
        <v>6</v>
      </c>
      <c r="DY8" s="35">
        <v>3</v>
      </c>
      <c r="DZ8" s="36">
        <v>0.08</v>
      </c>
      <c r="EA8" s="49"/>
    </row>
    <row r="9" spans="1:131" ht="39.950000000000003" customHeight="1" x14ac:dyDescent="0.25">
      <c r="A9" s="70"/>
      <c r="B9" s="71"/>
      <c r="C9" s="57"/>
      <c r="D9" s="57"/>
      <c r="E9" s="72"/>
      <c r="F9" s="72"/>
      <c r="G9" s="57"/>
      <c r="H9" s="57"/>
      <c r="I9" s="57"/>
      <c r="J9" s="74"/>
      <c r="K9" s="57"/>
      <c r="L9" s="57"/>
      <c r="M9" s="57"/>
      <c r="N9" s="57"/>
      <c r="O9" s="57"/>
      <c r="P9" s="57"/>
      <c r="Q9" s="57"/>
      <c r="R9" s="57"/>
      <c r="S9" s="57"/>
      <c r="T9" s="57"/>
      <c r="U9" s="73"/>
      <c r="V9" s="15" t="s">
        <v>9</v>
      </c>
      <c r="W9" s="16">
        <f t="shared" ca="1" si="0"/>
        <v>6157.1129101076149</v>
      </c>
      <c r="X9" s="16">
        <f ca="1">COUNTIF(Y1,"Ocak")*(BL1)
+COUNTIF(Y1,"Şubat")*(BL2)
+COUNTIF(Y1,"Mart")*(BL3)
+COUNTIF(Y1,"Nisan")*(BN14)
+COUNTIF(Y1,"Mayıs")*(BN15)
+COUNTIF(Y1,"Haziran")*(BN16)
+COUNTIF(Y1,"Temmuz")*(BK22)
+COUNTIF(Y1,"Ağustos")*(BK23)
+COUNTIF(Y1,"Eylül")*(BK24)
+COUNTIF(Y1,"Ekim")*(BK25)
+COUNTIF(Y1,"Kasım")*(BN17)
+COUNTIF(Y1,"Aralık")*(BN18)
+COUNTIF(Y1,"Yıllık Toplam")*(BN19)
+COUNTIF(Y1,"Yıllık Ortalama")*(BN20)</f>
        <v>6157.1129101076149</v>
      </c>
      <c r="Y9" s="64"/>
      <c r="Z9" s="68"/>
      <c r="AA9" s="77" t="s">
        <v>47</v>
      </c>
      <c r="AB9" s="79" t="s">
        <v>137</v>
      </c>
      <c r="AC9" s="56"/>
      <c r="AD9" s="58"/>
      <c r="AE9" s="60"/>
      <c r="AF9" s="59"/>
      <c r="AG9" s="34" t="s">
        <v>84</v>
      </c>
      <c r="AH9" s="40">
        <v>276.16000000000003</v>
      </c>
      <c r="AI9" s="22">
        <v>325.89999999999998</v>
      </c>
      <c r="AJ9" s="23">
        <f>(6%)</f>
        <v>0.06</v>
      </c>
      <c r="AK9" s="24" t="s">
        <v>0</v>
      </c>
      <c r="AL9" s="32">
        <f>(10.01)</f>
        <v>10.01</v>
      </c>
      <c r="AM9" s="32">
        <f>(12.94)</f>
        <v>12.94</v>
      </c>
      <c r="AN9" s="41">
        <f>($AN$10*2)</f>
        <v>19000</v>
      </c>
      <c r="AO9" s="24" t="s">
        <v>0</v>
      </c>
      <c r="AP9" s="25">
        <f>($AN$6*$AN$9)</f>
        <v>4473.4549999999999</v>
      </c>
      <c r="AQ9" s="25">
        <f>($AO$6*$AN$9)</f>
        <v>6338.4569999999994</v>
      </c>
      <c r="AR9" s="25">
        <f ca="1">(AK15+AK16+AK17+AK18+AK19+AK20+AK21+AV1+AV2+AV3+AR7+AR8)</f>
        <v>56279.862100810584</v>
      </c>
      <c r="AS9" s="25">
        <f>(AL15+AL16+AL17+AL18+AL19+AL20+AL21+AW1+AW2+AW3+AS7+AS8)</f>
        <v>0</v>
      </c>
      <c r="AT9" s="25">
        <f ca="1">(AM15+AM16+AM17+AM18+AM19+AM20+AM21+AX1+AX2+AX3+AT7+AT8)</f>
        <v>0</v>
      </c>
      <c r="AU9" s="25">
        <f>(AN15+AN16+AN17+AN18+AN19+AN20+AN21+AY1+AY2+AY3+AU7+AU8)</f>
        <v>0</v>
      </c>
      <c r="AX9" s="25">
        <f ca="1">(AY3*CH13)</f>
        <v>0</v>
      </c>
      <c r="AY9" s="25">
        <f>(AR13*E24)</f>
        <v>0</v>
      </c>
      <c r="AZ9" s="25">
        <f ca="1">(AY9*CH13)</f>
        <v>0</v>
      </c>
      <c r="BA9" s="25">
        <f>(AT13/7.5*0.3*F24)</f>
        <v>0</v>
      </c>
      <c r="BB9" s="25">
        <f ca="1">(BA9*CH13)</f>
        <v>0</v>
      </c>
      <c r="BC9" s="25">
        <f t="shared" si="4"/>
        <v>1209.78</v>
      </c>
      <c r="BD9" s="25">
        <f ca="1">(BF9+BG9+BJ9+BK9+AZ25)</f>
        <v>778.32643979999989</v>
      </c>
      <c r="BE9" s="25">
        <f t="shared" si="5"/>
        <v>1209.78</v>
      </c>
      <c r="BF9" s="25">
        <f t="shared" si="6"/>
        <v>1209.78</v>
      </c>
      <c r="BG9" s="25">
        <f t="shared" si="7"/>
        <v>-9.1822302000000011</v>
      </c>
      <c r="BH9" s="25">
        <f t="shared" si="11"/>
        <v>336.44</v>
      </c>
      <c r="BI9" s="25">
        <f t="shared" si="8"/>
        <v>873.33999999999992</v>
      </c>
      <c r="BJ9" s="25">
        <f t="shared" si="9"/>
        <v>-122.2676</v>
      </c>
      <c r="BK9" s="25">
        <f t="shared" si="10"/>
        <v>-8.7333999999999996</v>
      </c>
      <c r="BL9" s="25">
        <f>(0)</f>
        <v>0</v>
      </c>
      <c r="BM9" s="25">
        <f t="shared" ref="BM9" ca="1" si="18">BM8/12</f>
        <v>0</v>
      </c>
      <c r="BN9" s="25">
        <f t="shared" ref="BN9" si="19">BN8/12</f>
        <v>0</v>
      </c>
      <c r="BO9" s="25">
        <f t="shared" ref="BO9" ca="1" si="20">BO8/12</f>
        <v>0</v>
      </c>
      <c r="BP9" s="41" t="s">
        <v>0</v>
      </c>
      <c r="BQ9" s="25">
        <f t="shared" ref="BQ9:BR9" si="21">(BQ8/12)</f>
        <v>-209.97900000000001</v>
      </c>
      <c r="BR9" s="25">
        <f t="shared" si="21"/>
        <v>209.97900000000001</v>
      </c>
      <c r="BS9" s="25">
        <f t="shared" ref="BS9:BU9" ca="1" si="22">(BS8/12)</f>
        <v>0</v>
      </c>
      <c r="BT9" s="25">
        <f t="shared" si="22"/>
        <v>0</v>
      </c>
      <c r="BU9" s="25">
        <f t="shared" ca="1" si="22"/>
        <v>0</v>
      </c>
      <c r="BV9" s="25" t="s">
        <v>0</v>
      </c>
      <c r="BW9" s="25">
        <f t="shared" ref="BW9" si="23">(BW8/12)</f>
        <v>5737.5</v>
      </c>
      <c r="BX9" s="25">
        <f t="shared" ref="BX9" si="24">(BX8/12)</f>
        <v>5737.5</v>
      </c>
      <c r="BY9" s="25">
        <f t="shared" ref="BY9" si="25">(BY8/12)</f>
        <v>0</v>
      </c>
      <c r="BZ9" s="25">
        <f t="shared" ref="BZ9" si="26">(BZ8/12)</f>
        <v>0</v>
      </c>
      <c r="CA9" s="25">
        <f t="shared" ref="CA9" si="27">(CA8/12)</f>
        <v>0</v>
      </c>
      <c r="CB9" s="25">
        <f t="shared" ref="CB9" si="28">(CB8/12)</f>
        <v>5737.5</v>
      </c>
      <c r="CC9" s="25">
        <f t="shared" ref="CC9" si="29">(CC8/12)</f>
        <v>-803.25000000000034</v>
      </c>
      <c r="CD9" s="25">
        <f t="shared" ref="CD9" si="30">(CD8/12)</f>
        <v>-57.375000000000021</v>
      </c>
      <c r="CE9" s="37">
        <f>(AN20+AY5+BA5+BC5-BH5)*(R20*-1)</f>
        <v>0</v>
      </c>
      <c r="CF9" s="37">
        <f ca="1">(CK5+CE9)</f>
        <v>0</v>
      </c>
      <c r="CG9" s="25" t="s">
        <v>0</v>
      </c>
      <c r="CH9" s="25">
        <f>(5004)</f>
        <v>5004</v>
      </c>
      <c r="CI9" s="25">
        <f>(5004)</f>
        <v>5004</v>
      </c>
      <c r="CJ9" s="25">
        <f>(CH9-CI9)</f>
        <v>0</v>
      </c>
      <c r="CK9" s="25">
        <f>(CJ9*0.00759*-1)</f>
        <v>0</v>
      </c>
      <c r="CL9" s="25">
        <f>(0)</f>
        <v>0</v>
      </c>
      <c r="CM9" s="25">
        <f>(CH9-CL9)</f>
        <v>5004</v>
      </c>
      <c r="CN9" s="25">
        <f>(CM9*0.14*-1)</f>
        <v>-700.56000000000006</v>
      </c>
      <c r="CO9" s="25">
        <f>(CM9*0.01*-1)</f>
        <v>-50.04</v>
      </c>
      <c r="CQ9" s="25">
        <f ca="1">(DG14*0.05*-1)</f>
        <v>-656.75750000000016</v>
      </c>
      <c r="CR9" s="25">
        <f ca="1">(DG14+DH14+DI14+CQ9)</f>
        <v>15302.449750000003</v>
      </c>
      <c r="CS9" s="25" t="s">
        <v>0</v>
      </c>
      <c r="CT9" s="25" t="s">
        <v>0</v>
      </c>
      <c r="CU9" s="25" t="s">
        <v>0</v>
      </c>
      <c r="CV9" s="25" t="s">
        <v>0</v>
      </c>
      <c r="CW9" s="25">
        <f>(0)</f>
        <v>0</v>
      </c>
      <c r="CX9" s="25">
        <f>(CH11+CN11+CO11-CW9)</f>
        <v>5500.3499999999995</v>
      </c>
      <c r="CY9" s="25">
        <f>SUM(CX$2:$CX9)</f>
        <v>36521.1</v>
      </c>
      <c r="CZ9" s="29">
        <f t="shared" si="2"/>
        <v>0.2</v>
      </c>
      <c r="DA9" s="33">
        <f t="shared" si="3"/>
        <v>1</v>
      </c>
      <c r="DB9" s="25">
        <f ca="1">(DI4-DK4)</f>
        <v>8131.1500000000015</v>
      </c>
      <c r="DC9" s="25">
        <f ca="1">(DB9*0.00759*-1)</f>
        <v>-61.715428500000016</v>
      </c>
      <c r="DD9" s="25">
        <f ca="1">(DC9)</f>
        <v>-61.715428500000016</v>
      </c>
      <c r="DE9" s="25">
        <f ca="1">(AT25+BG14+BZ14+CQ14+BN13)</f>
        <v>752.8</v>
      </c>
      <c r="DF9" s="25">
        <f ca="1">(DI4-DE9)</f>
        <v>12382.350000000002</v>
      </c>
      <c r="DG9" s="25">
        <f ca="1">IF(DF9&gt;=BW13*7.5,BW13*7.5,DF9)</f>
        <v>12382.350000000002</v>
      </c>
      <c r="DH9" s="25">
        <f t="shared" ref="DH9" si="31">(DH8/12)</f>
        <v>842.04166666666663</v>
      </c>
      <c r="DI9" s="25">
        <f t="shared" ref="DI9" ca="1" si="32">(DI8/12)</f>
        <v>-1246.4974999999999</v>
      </c>
      <c r="DJ9" s="41" t="s">
        <v>0</v>
      </c>
      <c r="DK9" s="41" t="s">
        <v>0</v>
      </c>
      <c r="DL9" s="41" t="s">
        <v>0</v>
      </c>
      <c r="DM9" s="34" t="s">
        <v>114</v>
      </c>
      <c r="DN9" s="25">
        <v>1312.64</v>
      </c>
      <c r="DX9" s="24">
        <v>7</v>
      </c>
      <c r="DY9" s="35">
        <v>3.5</v>
      </c>
      <c r="DZ9" s="36">
        <v>0.09</v>
      </c>
      <c r="EA9" s="49"/>
    </row>
    <row r="10" spans="1:131" ht="39.950000000000003" customHeight="1" x14ac:dyDescent="0.25">
      <c r="A10" s="70"/>
      <c r="B10" s="71"/>
      <c r="C10" s="57"/>
      <c r="D10" s="57"/>
      <c r="E10" s="72"/>
      <c r="F10" s="72"/>
      <c r="G10" s="57"/>
      <c r="H10" s="57"/>
      <c r="I10" s="57"/>
      <c r="J10" s="74"/>
      <c r="K10" s="57"/>
      <c r="L10" s="57"/>
      <c r="M10" s="57"/>
      <c r="N10" s="57"/>
      <c r="O10" s="57"/>
      <c r="P10" s="57"/>
      <c r="Q10" s="57"/>
      <c r="R10" s="57"/>
      <c r="S10" s="57"/>
      <c r="T10" s="57"/>
      <c r="U10" s="73"/>
      <c r="V10" s="15" t="s">
        <v>123</v>
      </c>
      <c r="W10" s="16">
        <f t="shared" ref="W10" ca="1" si="33">IF(X10&gt;0,X10,X10*-1)</f>
        <v>3078.5166418439153</v>
      </c>
      <c r="X10" s="16">
        <f ca="1">COUNTIF(Y1,"Ocak")*(BO1)
+COUNTIF(Y1,"Şubat")*(BO2)
+COUNTIF(Y1,"Mart")*(BO3)
+COUNTIF(Y1,"Nisan")*(BQ14)
+COUNTIF(Y1,"Mayıs")*(BQ15)
+COUNTIF(Y1,"Haziran")*(BQ16)
+COUNTIF(Y1,"Temmuz")*(BN22)
+COUNTIF(Y1,"Ağustos")*(BN23)
+COUNTIF(Y1,"Eylül")*(BN24)
+COUNTIF(Y1,"Ekim")*(BN25)
+COUNTIF(Y1,"Kasım")*(BQ17)
+COUNTIF(Y1,"Aralık")*(BQ18)
+COUNTIF(Y1,"Yıllık Toplam")*(BQ19)
+COUNTIF(Y1,"Yıllık Ortalama")*(BQ20)</f>
        <v>3078.5166418439153</v>
      </c>
      <c r="Y10" s="64"/>
      <c r="Z10" s="68"/>
      <c r="AA10" s="77" t="s">
        <v>42</v>
      </c>
      <c r="AB10" s="78" t="s">
        <v>138</v>
      </c>
      <c r="AC10" s="56"/>
      <c r="AD10" s="58"/>
      <c r="AE10" s="60"/>
      <c r="AF10" s="59"/>
      <c r="AG10" s="34" t="s">
        <v>85</v>
      </c>
      <c r="AH10" s="40">
        <v>276.16000000000003</v>
      </c>
      <c r="AI10" s="22">
        <v>325.89999999999998</v>
      </c>
      <c r="AJ10" s="25" t="s">
        <v>0</v>
      </c>
      <c r="AK10" s="24" t="s">
        <v>0</v>
      </c>
      <c r="AL10" s="25">
        <f>(34)</f>
        <v>34</v>
      </c>
      <c r="AM10" s="25">
        <f>(51)</f>
        <v>51</v>
      </c>
      <c r="AN10" s="41">
        <f>(9500)</f>
        <v>9500</v>
      </c>
      <c r="AO10" s="24" t="s">
        <v>0</v>
      </c>
      <c r="AP10" s="25">
        <f>($AN$6*$AN$10)</f>
        <v>2236.7275</v>
      </c>
      <c r="AQ10" s="25">
        <f>($AO$6*$AN$10)</f>
        <v>3169.2284999999997</v>
      </c>
      <c r="AR10" s="25">
        <f ca="1">(AR9/12)</f>
        <v>4689.988508400882</v>
      </c>
      <c r="AS10" s="25">
        <f t="shared" ref="AS10:AT10" si="34">(AS9/12)</f>
        <v>0</v>
      </c>
      <c r="AT10" s="25">
        <f t="shared" ca="1" si="34"/>
        <v>0</v>
      </c>
      <c r="AU10" s="25">
        <f>(AU9/12)</f>
        <v>0</v>
      </c>
      <c r="AX10" s="25">
        <f ca="1">(AU7*DK6)</f>
        <v>0</v>
      </c>
      <c r="AY10" s="25">
        <f>(AR14*E25)</f>
        <v>0</v>
      </c>
      <c r="AZ10" s="25">
        <f ca="1">(AY10*DK6)</f>
        <v>0</v>
      </c>
      <c r="BA10" s="25">
        <f>(AT14/7.5*0.3*F25)</f>
        <v>0</v>
      </c>
      <c r="BB10" s="25">
        <f ca="1">(BA10*DK6)</f>
        <v>0</v>
      </c>
      <c r="BC10" s="25">
        <f t="shared" si="4"/>
        <v>1209.78</v>
      </c>
      <c r="BD10" s="25">
        <f ca="1">(BF10+BG10+BJ10+BK10+BC17)</f>
        <v>778.32643979999989</v>
      </c>
      <c r="BE10" s="25">
        <f t="shared" si="5"/>
        <v>1209.78</v>
      </c>
      <c r="BF10" s="25">
        <f t="shared" si="6"/>
        <v>1209.78</v>
      </c>
      <c r="BG10" s="25">
        <f t="shared" si="7"/>
        <v>-9.1822302000000011</v>
      </c>
      <c r="BH10" s="25">
        <f t="shared" si="11"/>
        <v>336.44</v>
      </c>
      <c r="BI10" s="25">
        <f t="shared" si="8"/>
        <v>873.33999999999992</v>
      </c>
      <c r="BJ10" s="25">
        <f t="shared" si="9"/>
        <v>-122.2676</v>
      </c>
      <c r="BK10" s="25">
        <f t="shared" si="10"/>
        <v>-8.7333999999999996</v>
      </c>
      <c r="BL10" s="25">
        <f>(0)</f>
        <v>0</v>
      </c>
      <c r="BM10" s="37">
        <f ca="1">COUNTIF(O15,"Yok")*(0)
+COUNTIF(O15,"Bayram Yardımı (Kurban)")*($DN$2/DE11)
+COUNTIF(O15,"Bayram Yardımı (Ramazan)")*($DN$3/DE11)
+COUNTIF(O15,"Cenaze Yardımı (Anne-Baba)")*($DN$4)
+COUNTIF(O15,"Cenaze Yardımı (Eş-Çocuk)")*($DN$5)
+COUNTIF(O15,"Cenaze Yardımı (İşçi-İş Kazası Sonucu)")*($DN$6)
+COUNTIF(O15,"Cenaze Yardımı (İşçi-Tabii Sebepler Sonucu)")*($DN$7)
+COUNTIF(O15,"Doğal Afet Yardımı")*($DN$8)
+COUNTIF(O15,"Doğum Yardımı (İşveren)")*($DN$9)
+COUNTIF(O15,"Eğitim Yardımı (Çocuk-Zorunlu Anaokulu)")*($DN$10)
+COUNTIF(O15,"Eğitim Yardımı (Çocuk-İlköğretim)")*($DN$11)
+COUNTIF(O15,"Eğitim Yardımı (Çocuk-Ortaöğretim)")*($DN$12)
+COUNTIF(O15,"Eğitim Yardımı (Çocuk-Lise)")*($DN$13)
+COUNTIF(O15,"Eğitim Yardımı (Çocuk-Yükseköğretim)")*($DN$14)
+COUNTIF(O15,"Eğitim Yardımı (Çocuk-Engelli)")*($DN$15)
+COUNTIF(O15,"Eğitim Yardımı (İşçi-Lise)")*($DN$16)
+COUNTIF(O15,"Eğitim Yardımı (İşçi-Yükseköğretim)")*($DN$17)
+COUNTIF(O15,"Evlilik Yardımı")*($DN$18)
+COUNTIF(O15,"İş Kazası veya Meslek Hastalığı Tazminatı")*($DN$19)
+COUNTIF(O15,"Sünnet Yardımı")*($DN$20)
+COUNTIF(O15,"Temizlik Yardımı")*($DN$21/DE11)
+COUNTIF(P15,"Yok")*(0)
+COUNTIF(P15,"Bayram Yardımı (Kurban)")*($DN$2/DE11)
+COUNTIF(P15,"Bayram Yardımı (Ramazan)")*($DN$3/DE11)
+COUNTIF(P15,"Cenaze Yardımı (Anne-Baba)")*($DN$4)
+COUNTIF(P15,"Cenaze Yardımı (Eş-Çocuk)")*($DN$5)
+COUNTIF(P15,"Cenaze Yardımı (İşçi-İş Kazası Sonucu)")*($DN$6)
+COUNTIF(P15,"Cenaze Yardımı (İşçi-Tabii Sebepler Sonucu)")*($DN$7)
+COUNTIF(P15,"Doğal Afet Yardımı")*($DN$8)
+COUNTIF(P15,"Doğum Yardımı (İşveren)")*($DN$9)
+COUNTIF(P15,"Eğitim Yardımı (Çocuk-Zorunlu Anaokulu)")*($DN$10)
+COUNTIF(P15,"Eğitim Yardımı (Çocuk-İlköğretim)")*($DN$11)
+COUNTIF(P15,"Eğitim Yardımı (Çocuk-Ortaöğretim)")*($DN$12)
+COUNTIF(P15,"Eğitim Yardımı (Çocuk-Lise)")*($DN$13)
+COUNTIF(P15,"Eğitim Yardımı (Çocuk-Yükseköğretim)")*($DN$14)
+COUNTIF(P15,"Eğitim Yardımı (Çocuk-Engelli)")*($DN$15)
+COUNTIF(P15,"Eğitim Yardımı (İşçi-Lise)")*($DN$16)
+COUNTIF(P15,"Eğitim Yardımı (İşçi-Yükseköğretim)")*($DN$17)
+COUNTIF(P15,"Evlilik Yardımı")*($DN$18)
+COUNTIF(P15,"İş Kazası veya Meslek Hastalığı Tazminatı")*($DN$19)
+COUNTIF(P15,"Sünnet Yardımı")*($DN$20)
+COUNTIF(P15,"Temizlik Yardımı")*($DN$21/DE11)
+COUNTIF(Q15,"Yok")*(0)
+COUNTIF(Q15,"Bayram Yardımı (Kurban)")*($DN$2/DE11)
+COUNTIF(Q15,"Bayram Yardımı (Ramazan)")*($DN$3/DE11)
+COUNTIF(Q15,"Cenaze Yardımı (Anne-Baba)")*($DN$4)
+COUNTIF(Q15,"Cenaze Yardımı (Eş-Çocuk)")*($DN$5)
+COUNTIF(Q15,"Cenaze Yardımı (İşçi-İş Kazası Sonucu)")*($DN$6)
+COUNTIF(Q15,"Cenaze Yardımı (İşçi-Tabii Sebepler Sonucu)")*($DN$7)
+COUNTIF(Q15,"Doğal Afet Yardımı")*($DN$8)
+COUNTIF(Q15,"Doğum Yardımı (İşveren)")*($DN$9)
+COUNTIF(Q15,"Eğitim Yardımı (Çocuk-Zorunlu Anaokulu)")*($DN$10)
+COUNTIF(Q15,"Eğitim Yardımı (Çocuk-İlköğretim)")*($DN$11)
+COUNTIF(Q15,"Eğitim Yardımı (Çocuk-Ortaöğretim)")*($DN$12)
+COUNTIF(Q15,"Eğitim Yardımı (Çocuk-Lise)")*($DN$13)
+COUNTIF(Q15,"Eğitim Yardımı (Çocuk-Yükseköğretim)")*($DN$14)
+COUNTIF(Q15,"Eğitim Yardımı (Çocuk-Engelli)")*($DN$15)
+COUNTIF(Q15,"Eğitim Yardımı (İşçi-Lise)")*($DN$16)
+COUNTIF(Q15,"Eğitim Yardımı (İşçi-Yükseköğretim)")*($DN$17)
+COUNTIF(Q15,"Evlilik Yardımı")*($DN$18)
+COUNTIF(Q15,"İş Kazası veya Meslek Hastalığı Tazminatı")*($DN$19)
+COUNTIF(Q15,"Sünnet Yardımı")*($DN$20)
+COUNTIF(Q15,"Temizlik Yardımı")*($DN$21/DE11)</f>
        <v>0</v>
      </c>
      <c r="BN10" s="37">
        <f>COUNTIF(O15,"Yok")*(0)
+COUNTIF(O15,"Bayram Yardımı (Kurban)")*(0)
+COUNTIF(O15,"Bayram Yardımı (Ramazan)")*(0)
+COUNTIF(O15,"Cenaze Yardımı (Anne-Baba)")*($DN$4)
+COUNTIF(O15,"Cenaze Yardımı (Eş-Çocuk)")*($DN$5)
+COUNTIF(O15,"Cenaze Yardımı (İşçi-İş Kazası Sonucu)")*($DN$6)
+COUNTIF(O15,"Cenaze Yardımı (İşçi-Tabii Sebepler Sonucu)")*($DN$7)
+COUNTIF(O15,"Doğal Afet Yardımı")*($DN$8)
+COUNTIF(O15,"Doğum Yardımı (İşveren)")*($DN$9)
+COUNTIF(O15,"Eğitim Yardımı (Çocuk-Zorunlu Anaokulu)")*(0)
+COUNTIF(O15,"Eğitim Yardımı (Çocuk-İlköğretim)")*(0)
+COUNTIF(O15,"Eğitim Yardımı (Çocuk-Ortaöğretim)")*(0)
+COUNTIF(O15,"Eğitim Yardımı (Çocuk-Lise)")*(0)
+COUNTIF(O15,"Eğitim Yardımı (Çocuk-Yükseköğretim)")*(0)
+COUNTIF(O15,"Eğitim Yardımı (Çocuk-Engelli)")*(0)
+COUNTIF(O15,"Eğitim Yardımı (İşçi-Lise)")*(0)
+COUNTIF(O15,"Eğitim Yardımı (İşçi-Yükseköğretim)")*(0)
+COUNTIF(O15,"Evlilik Yardımı")*($DN$18)
+COUNTIF(O15,"İş Kazası veya Meslek Hastalığı Tazminatı")*($DN$19)
+COUNTIF(O15,"Sünnet Yardımı")*(0)
+COUNTIF(O15,"Temizlik Yardımı")*(0)
+COUNTIF(P15,"Yok")*(0)
+COUNTIF(P15,"Bayram Yardımı (Kurban)")*(0)
+COUNTIF(P15,"Bayram Yardımı (Ramazan)")*(0)
+COUNTIF(P15,"Cenaze Yardımı (Anne-Baba)")*($DN$4)
+COUNTIF(P15,"Cenaze Yardımı (Eş-Çocuk)")*($DN$5)
+COUNTIF(P15,"Cenaze Yardımı (İşçi-İş Kazası Sonucu)")*($DN$6)
+COUNTIF(P15,"Cenaze Yardımı (İşçi-Tabii Sebepler Sonucu)")*($DN$7)
+COUNTIF(P15,"Doğal Afet Yardımı")*($DN$8)
+COUNTIF(P15,"Doğum Yardımı (İşveren)")*($DN$9)
+COUNTIF(P15,"Eğitim Yardımı (Çocuk-Zorunlu Anaokulu)")*(0)
+COUNTIF(P15,"Eğitim Yardımı (Çocuk-İlköğretim)")*(0)
+COUNTIF(P15,"Eğitim Yardımı (Çocuk-Ortaöğretim)")*(0)
+COUNTIF(P15,"Eğitim Yardımı (Çocuk-Lise)")*(0)
+COUNTIF(P15,"Eğitim Yardımı (Çocuk-Yükseköğretim)")*(0)
+COUNTIF(P15,"Eğitim Yardımı (Çocuk-Engelli)")*(0)
+COUNTIF(P15,"Eğitim Yardımı (İşçi-Lise)")*(0)
+COUNTIF(P15,"Eğitim Yardımı (İşçi-Yükseköğretim)")*(0)
+COUNTIF(P15,"Evlilik Yardımı")*($DN$18)
+COUNTIF(P15,"İş Kazası veya Meslek Hastalığı Tazminatı")*($DN$19)
+COUNTIF(P15,"Sünnet Yardımı")*(0)
+COUNTIF(P15,"Temizlik Yardımı")*(0)
+COUNTIF(Q15,"Yok")*(0)
+COUNTIF(Q15,"Bayram Yardımı (Kurban)")*(0)
+COUNTIF(Q15,"Bayram Yardımı (Ramazan)")*(0)
+COUNTIF(Q15,"Cenaze Yardımı (Anne-Baba)")*($DN$4)
+COUNTIF(Q15,"Cenaze Yardımı (Eş-Çocuk)")*($DN$5)
+COUNTIF(Q15,"Cenaze Yardımı (İşçi-İş Kazası Sonucu)")*($DN$6)
+COUNTIF(Q15,"Cenaze Yardımı (İşçi-Tabii Sebepler Sonucu)")*($DN$7)
+COUNTIF(Q15,"Doğal Afet Yardımı")*($DN$8)
+COUNTIF(Q15,"Doğum Yardımı (İşveren)")*($DN$9)
+COUNTIF(Q15,"Eğitim Yardımı (Çocuk-Zorunlu Anaokulu)")*(0)
+COUNTIF(Q15,"Eğitim Yardımı (Çocuk-İlköğretim)")*(0)
+COUNTIF(Q15,"Eğitim Yardımı (Çocuk-Ortaöğretim)")*(0)
+COUNTIF(Q15,"Eğitim Yardımı (Çocuk-Lise)")*(0)
+COUNTIF(Q15,"Eğitim Yardımı (Çocuk-Yükseköğretim)")*(0)
+COUNTIF(Q15,"Eğitim Yardımı (Çocuk-Engelli)")*(0)
+COUNTIF(Q15,"Eğitim Yardımı (İşçi-Lise)")*(0)
+COUNTIF(Q15,"Eğitim Yardımı (İşçi-Yükseköğretim)")*(0)
+COUNTIF(Q15,"Evlilik Yardımı")*($DN$18)
+COUNTIF(Q15,"İş Kazası veya Meslek Hastalığı Tazminatı")*($DN$19)
+COUNTIF(Q15,"Sünnet Yardımı")*(0)
+COUNTIF(Q15,"Temizlik Yardımı")*(0)</f>
        <v>0</v>
      </c>
      <c r="BO10" s="37">
        <f ca="1">COUNTIF(O15,"Yok")*(0)
+COUNTIF(O15,"Bayram Yardımı (Kurban)")*($DN$2)
+COUNTIF(O15,"Bayram Yardımı (Ramazan)")*($DN$3)
+COUNTIF(O15,"Cenaze Yardımı (Anne-Baba)")*($DN$4-$DN$4*0.00759)
+COUNTIF(O15,"Cenaze Yardımı (Eş-Çocuk)")*($DN$5-$DN$5*0.00759)
+COUNTIF(O15,"Cenaze Yardımı (İşçi-İş Kazası Sonucu)")*($DN$6-$DN$6*0.00759)
+COUNTIF(O15,"Cenaze Yardımı (İşçi-Tabii Sebepler Sonucu)")*($DN$7-$DN$7*0.00759)
+COUNTIF(O15,"Doğal Afet Yardımı")*($DN$8-$DN$8*0.00759)
+COUNTIF(O15,"Doğum Yardımı (İşveren)")*($DN$9-$DN$9*0.00759)
+COUNTIF(O15,"Eğitim Yardımı (Çocuk-Zorunlu Anaokulu)")*($DN$10*DE11)
+COUNTIF(O15,"Eğitim Yardımı (Çocuk-İlköğretim)")*($DN$11*DE11)
+COUNTIF(O15,"Eğitim Yardımı (Çocuk-Ortaöğretim)")*($DN$12*DE11)
+COUNTIF(O15,"Eğitim Yardımı (Çocuk-Lise)")*($DN$13*DE11)
+COUNTIF(O15,"Eğitim Yardımı (Çocuk-Yükseköğretim)")*($DN$14*DE11)
+COUNTIF(O15,"Eğitim Yardımı (Çocuk-Engelli)")*($DN$15*DE11)
+COUNTIF(O15,"Eğitim Yardımı (İşçi-Lise)")*($DN$16*DE11)
+COUNTIF(O15,"Eğitim Yardımı (İşçi-Yükseköğretim)")*($DN$17*DE11)
+COUNTIF(O15,"Evlilik Yardımı")*($DN$18-$DN$18*0.00759)
+COUNTIF(O15,"İş Kazası veya Meslek Hastalığı Tazminatı")*($DN$19-$DN$19*0.00759)
+COUNTIF(O15,"Sünnet Yardımı")*($DN$20*DE11)
+COUNTIF(O15,"Temizlik Yardımı")*($DN$21)
+COUNTIF(P15,"Yok")*(0)
+COUNTIF(P15,"Bayram Yardımı (Kurban)")*($DN$2)
+COUNTIF(P15,"Bayram Yardımı (Ramazan)")*($DN$3)
+COUNTIF(P15,"Cenaze Yardımı (Anne-Baba)")*($DN$4-$DN$4*0.00759)
+COUNTIF(P15,"Cenaze Yardımı (Eş-Çocuk)")*($DN$5-$DN$5*0.00759)
+COUNTIF(P15,"Cenaze Yardımı (İşçi-İş Kazası Sonucu)")*($DN$6-$DN$6*0.00759)
+COUNTIF(P15,"Cenaze Yardımı (İşçi-Tabii Sebepler Sonucu)")*($DN$7-$DN$7*0.00759)
+COUNTIF(P15,"Doğal Afet Yardımı")*($DN$8-$DN$8*0.00759)
+COUNTIF(P15,"Doğum Yardımı (İşveren)")*($DN$9-$DN$9*0.00759)
+COUNTIF(P15,"Eğitim Yardımı (Çocuk-Zorunlu Anaokulu)")*($DN$10*DE11)
+COUNTIF(P15,"Eğitim Yardımı (Çocuk-İlköğretim)")*($DN$11*DE11)
+COUNTIF(P15,"Eğitim Yardımı (Çocuk-Ortaöğretim)")*($DN$12*DE11)
+COUNTIF(P15,"Eğitim Yardımı (Çocuk-Lise)")*($DN$13*DE11)
+COUNTIF(P15,"Eğitim Yardımı (Çocuk-Yükseköğretim)")*($DN$14*DE11)
+COUNTIF(P15,"Eğitim Yardımı (Çocuk-Engelli)")*($DN$15*DE11)
+COUNTIF(P15,"Eğitim Yardımı (İşçi-Lise)")*($DN$16*DE11)
+COUNTIF(P15,"Eğitim Yardımı (İşçi-Yükseköğretim)")*($DN$17*DE11)
+COUNTIF(P15,"Evlilik Yardımı")*($DN$18-$DN$18*0.00759)
+COUNTIF(P15,"İş Kazası veya Meslek Hastalığı Tazminatı")*($DN$19-$DN$19*0.00759)
+COUNTIF(P15,"Sünnet Yardımı")*($DN$20*DE11)
+COUNTIF(P15,"Temizlik Yardımı")*($DN$21)
+COUNTIF(Q15,"Yok")*(0)
+COUNTIF(Q15,"Bayram Yardımı (Kurban)")*($DN$2)
+COUNTIF(Q15,"Bayram Yardımı (Ramazan)")*($DN$3)
+COUNTIF(Q15,"Cenaze Yardımı (Anne-Baba)")*($DN$4-$DN$4*0.00759)
+COUNTIF(Q15,"Cenaze Yardımı (Eş-Çocuk)")*($DN$5-$DN$5*0.00759)
+COUNTIF(Q15,"Cenaze Yardımı (İşçi-İş Kazası Sonucu)")*($DN$6-$DN$6*0.00759)
+COUNTIF(Q15,"Cenaze Yardımı (İşçi-Tabii Sebepler Sonucu)")*($DN$7-$DN$7*0.00759)
+COUNTIF(Q15,"Doğal Afet Yardımı")*($DN$8-$DN$8*0.00759)
+COUNTIF(Q15,"Doğum Yardımı (İşveren)")*($DN$9-$DN$9*0.00759)
+COUNTIF(Q15,"Eğitim Yardımı (Çocuk-Zorunlu Anaokulu)")*($DN$10*DE11)
+COUNTIF(Q15,"Eğitim Yardımı (Çocuk-İlköğretim)")*($DN$11*DE11)
+COUNTIF(Q15,"Eğitim Yardımı (Çocuk-Ortaöğretim)")*($DN$12*DE11)
+COUNTIF(Q15,"Eğitim Yardımı (Çocuk-Lise)")*($DN$13*DE11)
+COUNTIF(Q15,"Eğitim Yardımı (Çocuk-Yükseköğretim)")*($DN$14*DE11)
+COUNTIF(Q15,"Eğitim Yardımı (Çocuk-Engelli)")*($DN$15*DE11)
+COUNTIF(Q15,"Eğitim Yardımı (İşçi-Lise)")*($DN$16*DE11)
+COUNTIF(Q15,"Eğitim Yardımı (İşçi-Yükseköğretim)")*($DN$17*DE11)
+COUNTIF(Q15,"Evlilik Yardımı")*($DN$18-$DN$18*0.00759)
+COUNTIF(Q15,"İş Kazası veya Meslek Hastalığı Tazminatı")*($DN$19-$DN$19*0.00759)
+COUNTIF(Q15,"Sünnet Yardımı")*($DN$20*DE11)
+COUNTIF(Q15,"Temizlik Yardımı")*($DN$21)</f>
        <v>0</v>
      </c>
      <c r="BP10" s="33" t="s">
        <v>12</v>
      </c>
      <c r="BQ10" s="25">
        <f>COUNTIF(BP10,"Var")*(AU15*0.9*-1)</f>
        <v>-192.61800000000002</v>
      </c>
      <c r="BR10" s="25">
        <f>(BQ10*-1)</f>
        <v>192.61800000000002</v>
      </c>
      <c r="BS10" s="37">
        <f ca="1">(DG6*R15+BT10)*-1</f>
        <v>0</v>
      </c>
      <c r="BT10" s="37">
        <f>(AN15+AK22+AM22+AO22-AT22)*(R15*-1)</f>
        <v>0</v>
      </c>
      <c r="BU10" s="37">
        <f ca="1">(BS10+BT10)</f>
        <v>0</v>
      </c>
      <c r="BV10" s="25" t="s">
        <v>0</v>
      </c>
      <c r="BW10" s="25">
        <f>(5004)</f>
        <v>5004</v>
      </c>
      <c r="BX10" s="25">
        <f>(5004)</f>
        <v>5004</v>
      </c>
      <c r="BY10" s="25">
        <f>(BW10-BX10)</f>
        <v>0</v>
      </c>
      <c r="BZ10" s="25">
        <f>(BY10*0.00759*-1)</f>
        <v>0</v>
      </c>
      <c r="CA10" s="25">
        <f>(0)</f>
        <v>0</v>
      </c>
      <c r="CB10" s="25">
        <f>(BW10-CA10)</f>
        <v>5004</v>
      </c>
      <c r="CC10" s="25">
        <f>(CB10*0.14*-1)</f>
        <v>-700.56000000000006</v>
      </c>
      <c r="CD10" s="25">
        <f>(CB10*0.01*-1)</f>
        <v>-50.04</v>
      </c>
      <c r="CE10" s="37">
        <f>(AN21+AY6+BA6+BC6-BH6)*(R21*-1)</f>
        <v>0</v>
      </c>
      <c r="CF10" s="37">
        <f ca="1">(CK6+CE10)</f>
        <v>0</v>
      </c>
      <c r="CG10" s="25" t="s">
        <v>0</v>
      </c>
      <c r="CH10" s="25">
        <f>(6471)</f>
        <v>6471</v>
      </c>
      <c r="CI10" s="25">
        <f>(6471)</f>
        <v>6471</v>
      </c>
      <c r="CJ10" s="25">
        <f>(CH10-CI10)</f>
        <v>0</v>
      </c>
      <c r="CK10" s="25">
        <f>(CJ10*0.00759*-1)</f>
        <v>0</v>
      </c>
      <c r="CL10" s="25">
        <f>(0)</f>
        <v>0</v>
      </c>
      <c r="CM10" s="25">
        <f>(CH10-CL10)</f>
        <v>6471</v>
      </c>
      <c r="CN10" s="25">
        <f>(CM10*0.14*-1)</f>
        <v>-905.94</v>
      </c>
      <c r="CO10" s="25">
        <f>(CM10*0.01*-1)</f>
        <v>-64.710000000000008</v>
      </c>
      <c r="CQ10" s="25">
        <f ca="1">(DG15*0.05*-1)</f>
        <v>-474.84050000000008</v>
      </c>
      <c r="CR10" s="25">
        <f ca="1">(DG15+DH15+DI15+CQ10)</f>
        <v>11063.783650000001</v>
      </c>
      <c r="CS10" s="25" t="s">
        <v>0</v>
      </c>
      <c r="CT10" s="25" t="s">
        <v>0</v>
      </c>
      <c r="CU10" s="25" t="s">
        <v>0</v>
      </c>
      <c r="CV10" s="25" t="s">
        <v>0</v>
      </c>
      <c r="CW10" s="25">
        <f>(0)</f>
        <v>0</v>
      </c>
      <c r="CX10" s="25">
        <f>(BW4+CC4+CD4-CW10)</f>
        <v>5500.3499999999995</v>
      </c>
      <c r="CY10" s="25">
        <f>SUM(CX$2:$CX10)</f>
        <v>42021.45</v>
      </c>
      <c r="CZ10" s="29">
        <f t="shared" si="2"/>
        <v>0.2</v>
      </c>
      <c r="DA10" s="33">
        <f t="shared" si="3"/>
        <v>0</v>
      </c>
      <c r="DB10" s="25">
        <f ca="1">(DI5-DK5)</f>
        <v>4492.8100000000013</v>
      </c>
      <c r="DC10" s="25">
        <f ca="1">(DB10*0.00759*-1)</f>
        <v>-34.100427900000014</v>
      </c>
      <c r="DD10" s="25">
        <f ca="1">(DC10)</f>
        <v>-34.100427900000014</v>
      </c>
      <c r="DE10" s="25">
        <f ca="1">(BH4+BG15+BZ15+CQ15+CF4)</f>
        <v>752.8</v>
      </c>
      <c r="DF10" s="25">
        <f ca="1">(DI5-DE10)</f>
        <v>8744.010000000002</v>
      </c>
      <c r="DG10" s="25">
        <f ca="1">IF(DF10&gt;=CH8*7.5,CH8*7.5,DF10)</f>
        <v>8744.010000000002</v>
      </c>
      <c r="DM10" s="34" t="s">
        <v>115</v>
      </c>
      <c r="DN10" s="25">
        <v>2071.1999999999998</v>
      </c>
      <c r="DX10" s="24">
        <v>8</v>
      </c>
      <c r="DY10" s="35">
        <v>4</v>
      </c>
      <c r="DZ10" s="36">
        <v>0.1</v>
      </c>
      <c r="EA10" s="49"/>
    </row>
    <row r="11" spans="1:131" ht="39.950000000000003" customHeight="1" x14ac:dyDescent="0.25">
      <c r="A11" s="70"/>
      <c r="B11" s="71"/>
      <c r="C11" s="57"/>
      <c r="D11" s="57"/>
      <c r="E11" s="72"/>
      <c r="F11" s="72"/>
      <c r="G11" s="57"/>
      <c r="H11" s="57"/>
      <c r="I11" s="57"/>
      <c r="J11" s="74"/>
      <c r="K11" s="57"/>
      <c r="L11" s="57"/>
      <c r="M11" s="57"/>
      <c r="N11" s="57"/>
      <c r="O11" s="57"/>
      <c r="P11" s="57"/>
      <c r="Q11" s="57"/>
      <c r="R11" s="57"/>
      <c r="S11" s="57"/>
      <c r="T11" s="57"/>
      <c r="U11" s="73"/>
      <c r="V11" s="15" t="s">
        <v>124</v>
      </c>
      <c r="W11" s="16">
        <f t="shared" ref="W11:W13" ca="1" si="35">IF(X11&gt;0,X11,X11*-1)</f>
        <v>0</v>
      </c>
      <c r="X11" s="16">
        <f ca="1">COUNTIF(Y1,"Ocak")*(BQ1)
+COUNTIF(Y1,"Şubat")*(BQ2)
+COUNTIF(Y1,"Mart")*(BQ3)
+COUNTIF(Y1,"Nisan")*(BS14)
+COUNTIF(Y1,"Mayıs")*(BS15)
+COUNTIF(Y1,"Haziran")*(BS16)
+COUNTIF(Y1,"Temmuz")*(BP22)
+COUNTIF(Y1,"Ağustos")*(BP23)
+COUNTIF(Y1,"Eylül")*(BP24)
+COUNTIF(Y1,"Ekim")*(BP25)
+COUNTIF(Y1,"Kasım")*(BS17)
+COUNTIF(Y1,"Aralık")*(BS18)
+COUNTIF(Y1,"Yıllık Toplam")*(BS19)
+COUNTIF(Y1,"Yıllık Ortalama")*(BS20)</f>
        <v>0</v>
      </c>
      <c r="Y11" s="64"/>
      <c r="Z11" s="68"/>
      <c r="AA11" s="77" t="s">
        <v>139</v>
      </c>
      <c r="AB11" s="78" t="s">
        <v>140</v>
      </c>
      <c r="AC11" s="56"/>
      <c r="AD11" s="58"/>
      <c r="AE11" s="60"/>
      <c r="AF11" s="59"/>
      <c r="AG11" s="34" t="s">
        <v>86</v>
      </c>
      <c r="AH11" s="40">
        <v>276.16000000000003</v>
      </c>
      <c r="AI11" s="22">
        <v>325.89999999999998</v>
      </c>
      <c r="AJ11" s="42">
        <f>(AP21+1)</f>
        <v>44774</v>
      </c>
      <c r="AK11" s="42">
        <f>EOMONTH(AJ11,0)</f>
        <v>44804</v>
      </c>
      <c r="AL11" s="43">
        <f>DAY(AK11)</f>
        <v>31</v>
      </c>
      <c r="AM11" s="43">
        <f>NETWORKDAYS.INTL(AJ11,AK11,11)</f>
        <v>27</v>
      </c>
      <c r="AN11" s="43">
        <f>(AL11-AM11)</f>
        <v>4</v>
      </c>
      <c r="AO11" s="41" t="s">
        <v>0</v>
      </c>
      <c r="AP11"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Q11" s="32">
        <f ca="1">(AP11*CI3)</f>
        <v>164.05482415965432</v>
      </c>
      <c r="AR11"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S11" s="25">
        <f ca="1">(AR11*CI3+DC18/30*-1+CF3/30)</f>
        <v>200.72898715965431</v>
      </c>
      <c r="AT11" s="32">
        <f>COUNTIF($A$1,"Mekanik / Teknik Sorumlusu")*($AI$1+AW1)
+COUNTIF($A$1,"Elektrik Sorumlusu")*($AI$2+AW1)
+COUNTIF($A$1,"Otomasyon Sistem Sorumlusu")*($AI$3+AW1)
+COUNTIF($A$1,"Bilgi İşlem Sorumlusu")*($AI$4+AW1)
+COUNTIF($A$1,"Bakım Onarım Sorumlusu")*($AI$5+AW1)
+COUNTIF($A$1,"İskeleler Sorumlusu")*($AI$6+AW1)
+COUNTIF($A$1,"Ambar ve Stok Kontrol Sorumlusu")*($AI$7+AW1)
+COUNTIF($A$1,"Akaryakıt Sorumlusu")*($AI$8+AW1)
+COUNTIF($A$1,"İnsan Kaynakları ve Eğitim Sorumlusu")*($AI$9+AW1)
+COUNTIF($A$1,"Muhasebe ve Finansman Sorumlusu")*($AI$10+AW1)
+COUNTIF($A$1,"İhale ve Satınalma Sorumlusu")*($AI$11+AW1)
+COUNTIF($A$1,"Halkla İlişkiler Sorumlusu")*($AI$12+AW1)
+COUNTIF($A$1,"Yazı İşleri Sorumlusu")*($AI$13+AW1)
+COUNTIF($A$1,"Gişeler Sorumlusu")*($AI$14+AW1)
+COUNTIF($A$1,"Temizlik / Güvenlik Sorumlusu")*($AI$15+AW1)
+COUNTIF($A$1,"İskele Sorumlusu")*($AI$16+AW1)
+COUNTIF($A$1,"1S-Atölye Personeli")*($AI$17+AW1)
+COUNTIF($A$1,"1S-Bilgi İşlem Büro Personeli")*($AI$18+AW1)
+COUNTIF($A$1,"1S-Şoför")*($AI$19+AW1)
+COUNTIF($A$1,"1S-Büro Personeli")*($AI$20+AW1)
+COUNTIF($A$1,"1S-Yönetim / Genel Müdür Sekreteri")*($AI$21+AW1)
+COUNTIF($A$1,"1S-İskele Personeli")*($AI$22+AW1)
+COUNTIF($A$1,"1S-Gişe Personeli")*($AI$23+AW1)
+COUNTIF($A$1,"1S-Çımacı / Palamarcı")*($AI$24+AW1)
+COUNTIF($A$1,"1S-Temizlik Personeli")*($AI$25+AW1)
+COUNTIF($A$1,"2S-Atölye Personeli")*($AI$26+AW1)
+COUNTIF($A$1,"2S-Bilgi İşlem Büro Personeli")*($AI$27+AW1)
+COUNTIF($A$1,"2S-Şoför")*($AI$28+AW1)
+COUNTIF($A$1,"2S-Büro Personeli")*($AI$29+AW1)
+COUNTIF($A$1,"2S-Yönetim / Genel Müdür Sekreteri")*($AI$30+AW1)
+COUNTIF($A$1,"2S-İskele Personeli")*($AI$31+AW1)
+COUNTIF($A$1,"2S-Gişe Personeli")*($AI$32+AW1)
+COUNTIF($A$1,"2S-Çımacı / Palamarcı")*($AI$33+AW1)
+COUNTIF($A$1,"2S-Temizlik Personeli")*($AI$34+AW1)</f>
        <v>252.6</v>
      </c>
      <c r="AU11" s="25">
        <f ca="1">(AT11*CI3)</f>
        <v>164.05482415965432</v>
      </c>
      <c r="AV11" s="41" t="s">
        <v>0</v>
      </c>
      <c r="AW11" s="40">
        <f>(AT11*AL11)</f>
        <v>7830.5999999999995</v>
      </c>
      <c r="AX11" s="25">
        <f ca="1">(AU8*DK7)</f>
        <v>0</v>
      </c>
      <c r="AY11" s="25">
        <f>(AR26*E26)</f>
        <v>0</v>
      </c>
      <c r="AZ11" s="25">
        <f ca="1">(AY11*DK7)</f>
        <v>0</v>
      </c>
      <c r="BA11" s="25">
        <f>(AT26/7.5*0.3*F26)</f>
        <v>0</v>
      </c>
      <c r="BB11" s="25">
        <f ca="1">(BA11*DK7)</f>
        <v>0</v>
      </c>
      <c r="BC11" s="25">
        <f t="shared" si="4"/>
        <v>1209.78</v>
      </c>
      <c r="BD11" s="25">
        <f ca="1">(BF11+BG11+BJ11+BK11+BC18)</f>
        <v>778.32643979999989</v>
      </c>
      <c r="BE11" s="25">
        <f t="shared" si="5"/>
        <v>1209.78</v>
      </c>
      <c r="BF11" s="25">
        <f t="shared" si="6"/>
        <v>1209.78</v>
      </c>
      <c r="BG11" s="25">
        <f t="shared" si="7"/>
        <v>-9.1822302000000011</v>
      </c>
      <c r="BH11" s="25">
        <f t="shared" si="11"/>
        <v>336.44</v>
      </c>
      <c r="BI11" s="25">
        <f t="shared" si="8"/>
        <v>873.33999999999992</v>
      </c>
      <c r="BJ11" s="25">
        <f t="shared" si="9"/>
        <v>-122.2676</v>
      </c>
      <c r="BK11" s="25">
        <f t="shared" si="10"/>
        <v>-8.7333999999999996</v>
      </c>
      <c r="BL11" s="25">
        <f>(0)</f>
        <v>0</v>
      </c>
      <c r="BM11" s="37">
        <f ca="1">COUNTIF(O16,"Yok")*(0)
+COUNTIF(O16,"Bayram Yardımı (Kurban)")*($DN$2/DE12)
+COUNTIF(O16,"Bayram Yardımı (Ramazan)")*($DN$3/DE12)
+COUNTIF(O16,"Cenaze Yardımı (Anne-Baba)")*($DN$4)
+COUNTIF(O16,"Cenaze Yardımı (Eş-Çocuk)")*($DN$5)
+COUNTIF(O16,"Cenaze Yardımı (İşçi-İş Kazası Sonucu)")*($DN$6)
+COUNTIF(O16,"Cenaze Yardımı (İşçi-Tabii Sebepler Sonucu)")*($DN$7)
+COUNTIF(O16,"Doğal Afet Yardımı")*($DN$8)
+COUNTIF(O16,"Doğum Yardımı (İşveren)")*($DN$9)
+COUNTIF(O16,"Eğitim Yardımı (Çocuk-Zorunlu Anaokulu)")*($DN$10)
+COUNTIF(O16,"Eğitim Yardımı (Çocuk-İlköğretim)")*($DN$11)
+COUNTIF(O16,"Eğitim Yardımı (Çocuk-Ortaöğretim)")*($DN$12)
+COUNTIF(O16,"Eğitim Yardımı (Çocuk-Lise)")*($DN$13)
+COUNTIF(O16,"Eğitim Yardımı (Çocuk-Yükseköğretim)")*($DN$14)
+COUNTIF(O16,"Eğitim Yardımı (Çocuk-Engelli)")*($DN$15)
+COUNTIF(O16,"Eğitim Yardımı (İşçi-Lise)")*($DN$16)
+COUNTIF(O16,"Eğitim Yardımı (İşçi-Yükseköğretim)")*($DN$17)
+COUNTIF(O16,"Evlilik Yardımı")*($DN$18)
+COUNTIF(O16,"İş Kazası veya Meslek Hastalığı Tazminatı")*($DN$19)
+COUNTIF(O16,"Sünnet Yardımı")*($DN$20)
+COUNTIF(O16,"Temizlik Yardımı")*($DN$21/DE12)
+COUNTIF(P16,"Yok")*(0)
+COUNTIF(P16,"Bayram Yardımı (Kurban)")*($DN$2/DE12)
+COUNTIF(P16,"Bayram Yardımı (Ramazan)")*($DN$3/DE12)
+COUNTIF(P16,"Cenaze Yardımı (Anne-Baba)")*($DN$4)
+COUNTIF(P16,"Cenaze Yardımı (Eş-Çocuk)")*($DN$5)
+COUNTIF(P16,"Cenaze Yardımı (İşçi-İş Kazası Sonucu)")*($DN$6)
+COUNTIF(P16,"Cenaze Yardımı (İşçi-Tabii Sebepler Sonucu)")*($DN$7)
+COUNTIF(P16,"Doğal Afet Yardımı")*($DN$8)
+COUNTIF(P16,"Doğum Yardımı (İşveren)")*($DN$9)
+COUNTIF(P16,"Eğitim Yardımı (Çocuk-Zorunlu Anaokulu)")*($DN$10)
+COUNTIF(P16,"Eğitim Yardımı (Çocuk-İlköğretim)")*($DN$11)
+COUNTIF(P16,"Eğitim Yardımı (Çocuk-Ortaöğretim)")*($DN$12)
+COUNTIF(P16,"Eğitim Yardımı (Çocuk-Lise)")*($DN$13)
+COUNTIF(P16,"Eğitim Yardımı (Çocuk-Yükseköğretim)")*($DN$14)
+COUNTIF(P16,"Eğitim Yardımı (Çocuk-Engelli)")*($DN$15)
+COUNTIF(P16,"Eğitim Yardımı (İşçi-Lise)")*($DN$16)
+COUNTIF(P16,"Eğitim Yardımı (İşçi-Yükseköğretim)")*($DN$17)
+COUNTIF(P16,"Evlilik Yardımı")*($DN$18)
+COUNTIF(P16,"İş Kazası veya Meslek Hastalığı Tazminatı")*($DN$19)
+COUNTIF(P16,"Sünnet Yardımı")*($DN$20)
+COUNTIF(P16,"Temizlik Yardımı")*($DN$21/DE12)
+COUNTIF(Q16,"Yok")*(0)
+COUNTIF(Q16,"Bayram Yardımı (Kurban)")*($DN$2/DE12)
+COUNTIF(Q16,"Bayram Yardımı (Ramazan)")*($DN$3/DE12)
+COUNTIF(Q16,"Cenaze Yardımı (Anne-Baba)")*($DN$4)
+COUNTIF(Q16,"Cenaze Yardımı (Eş-Çocuk)")*($DN$5)
+COUNTIF(Q16,"Cenaze Yardımı (İşçi-İş Kazası Sonucu)")*($DN$6)
+COUNTIF(Q16,"Cenaze Yardımı (İşçi-Tabii Sebepler Sonucu)")*($DN$7)
+COUNTIF(Q16,"Doğal Afet Yardımı")*($DN$8)
+COUNTIF(Q16,"Doğum Yardımı (İşveren)")*($DN$9)
+COUNTIF(Q16,"Eğitim Yardımı (Çocuk-Zorunlu Anaokulu)")*($DN$10)
+COUNTIF(Q16,"Eğitim Yardımı (Çocuk-İlköğretim)")*($DN$11)
+COUNTIF(Q16,"Eğitim Yardımı (Çocuk-Ortaöğretim)")*($DN$12)
+COUNTIF(Q16,"Eğitim Yardımı (Çocuk-Lise)")*($DN$13)
+COUNTIF(Q16,"Eğitim Yardımı (Çocuk-Yükseköğretim)")*($DN$14)
+COUNTIF(Q16,"Eğitim Yardımı (Çocuk-Engelli)")*($DN$15)
+COUNTIF(Q16,"Eğitim Yardımı (İşçi-Lise)")*($DN$16)
+COUNTIF(Q16,"Eğitim Yardımı (İşçi-Yükseköğretim)")*($DN$17)
+COUNTIF(Q16,"Evlilik Yardımı")*($DN$18)
+COUNTIF(Q16,"İş Kazası veya Meslek Hastalığı Tazminatı")*($DN$19)
+COUNTIF(Q16,"Sünnet Yardımı")*($DN$20)
+COUNTIF(Q16,"Temizlik Yardımı")*($DN$21/DE12)</f>
        <v>0</v>
      </c>
      <c r="BN11" s="37">
        <f>COUNTIF(O16,"Yok")*(0)
+COUNTIF(O16,"Bayram Yardımı (Kurban)")*(0)
+COUNTIF(O16,"Bayram Yardımı (Ramazan)")*(0)
+COUNTIF(O16,"Cenaze Yardımı (Anne-Baba)")*($DN$4)
+COUNTIF(O16,"Cenaze Yardımı (Eş-Çocuk)")*($DN$5)
+COUNTIF(O16,"Cenaze Yardımı (İşçi-İş Kazası Sonucu)")*($DN$6)
+COUNTIF(O16,"Cenaze Yardımı (İşçi-Tabii Sebepler Sonucu)")*($DN$7)
+COUNTIF(O16,"Doğal Afet Yardımı")*($DN$8)
+COUNTIF(O16,"Doğum Yardımı (İşveren)")*($DN$9)
+COUNTIF(O16,"Eğitim Yardımı (Çocuk-Zorunlu Anaokulu)")*(0)
+COUNTIF(O16,"Eğitim Yardımı (Çocuk-İlköğretim)")*(0)
+COUNTIF(O16,"Eğitim Yardımı (Çocuk-Ortaöğretim)")*(0)
+COUNTIF(O16,"Eğitim Yardımı (Çocuk-Lise)")*(0)
+COUNTIF(O16,"Eğitim Yardımı (Çocuk-Yükseköğretim)")*(0)
+COUNTIF(O16,"Eğitim Yardımı (Çocuk-Engelli)")*(0)
+COUNTIF(O16,"Eğitim Yardımı (İşçi-Lise)")*(0)
+COUNTIF(O16,"Eğitim Yardımı (İşçi-Yükseköğretim)")*(0)
+COUNTIF(O16,"Evlilik Yardımı")*($DN$18)
+COUNTIF(O16,"İş Kazası veya Meslek Hastalığı Tazminatı")*($DN$19)
+COUNTIF(O16,"Sünnet Yardımı")*(0)
+COUNTIF(O16,"Temizlik Yardımı")*(0)
+COUNTIF(P16,"Yok")*(0)
+COUNTIF(P16,"Bayram Yardımı (Kurban)")*(0)
+COUNTIF(P16,"Bayram Yardımı (Ramazan)")*(0)
+COUNTIF(P16,"Cenaze Yardımı (Anne-Baba)")*($DN$4)
+COUNTIF(P16,"Cenaze Yardımı (Eş-Çocuk)")*($DN$5)
+COUNTIF(P16,"Cenaze Yardımı (İşçi-İş Kazası Sonucu)")*($DN$6)
+COUNTIF(P16,"Cenaze Yardımı (İşçi-Tabii Sebepler Sonucu)")*($DN$7)
+COUNTIF(P16,"Doğal Afet Yardımı")*($DN$8)
+COUNTIF(P16,"Doğum Yardımı (İşveren)")*($DN$9)
+COUNTIF(P16,"Eğitim Yardımı (Çocuk-Zorunlu Anaokulu)")*(0)
+COUNTIF(P16,"Eğitim Yardımı (Çocuk-İlköğretim)")*(0)
+COUNTIF(P16,"Eğitim Yardımı (Çocuk-Ortaöğretim)")*(0)
+COUNTIF(P16,"Eğitim Yardımı (Çocuk-Lise)")*(0)
+COUNTIF(P16,"Eğitim Yardımı (Çocuk-Yükseköğretim)")*(0)
+COUNTIF(P16,"Eğitim Yardımı (Çocuk-Engelli)")*(0)
+COUNTIF(P16,"Eğitim Yardımı (İşçi-Lise)")*(0)
+COUNTIF(P16,"Eğitim Yardımı (İşçi-Yükseköğretim)")*(0)
+COUNTIF(P16,"Evlilik Yardımı")*($DN$18)
+COUNTIF(P16,"İş Kazası veya Meslek Hastalığı Tazminatı")*($DN$19)
+COUNTIF(P16,"Sünnet Yardımı")*(0)
+COUNTIF(P16,"Temizlik Yardımı")*(0)
+COUNTIF(Q16,"Yok")*(0)
+COUNTIF(Q16,"Bayram Yardımı (Kurban)")*(0)
+COUNTIF(Q16,"Bayram Yardımı (Ramazan)")*(0)
+COUNTIF(Q16,"Cenaze Yardımı (Anne-Baba)")*($DN$4)
+COUNTIF(Q16,"Cenaze Yardımı (Eş-Çocuk)")*($DN$5)
+COUNTIF(Q16,"Cenaze Yardımı (İşçi-İş Kazası Sonucu)")*($DN$6)
+COUNTIF(Q16,"Cenaze Yardımı (İşçi-Tabii Sebepler Sonucu)")*($DN$7)
+COUNTIF(Q16,"Doğal Afet Yardımı")*($DN$8)
+COUNTIF(Q16,"Doğum Yardımı (İşveren)")*($DN$9)
+COUNTIF(Q16,"Eğitim Yardımı (Çocuk-Zorunlu Anaokulu)")*(0)
+COUNTIF(Q16,"Eğitim Yardımı (Çocuk-İlköğretim)")*(0)
+COUNTIF(Q16,"Eğitim Yardımı (Çocuk-Ortaöğretim)")*(0)
+COUNTIF(Q16,"Eğitim Yardımı (Çocuk-Lise)")*(0)
+COUNTIF(Q16,"Eğitim Yardımı (Çocuk-Yükseköğretim)")*(0)
+COUNTIF(Q16,"Eğitim Yardımı (Çocuk-Engelli)")*(0)
+COUNTIF(Q16,"Eğitim Yardımı (İşçi-Lise)")*(0)
+COUNTIF(Q16,"Eğitim Yardımı (İşçi-Yükseköğretim)")*(0)
+COUNTIF(Q16,"Evlilik Yardımı")*($DN$18)
+COUNTIF(Q16,"İş Kazası veya Meslek Hastalığı Tazminatı")*($DN$19)
+COUNTIF(Q16,"Sünnet Yardımı")*(0)
+COUNTIF(Q16,"Temizlik Yardımı")*(0)</f>
        <v>0</v>
      </c>
      <c r="BO11" s="37">
        <f ca="1">COUNTIF(O16,"Yok")*(0)
+COUNTIF(O16,"Bayram Yardımı (Kurban)")*($DN$2)
+COUNTIF(O16,"Bayram Yardımı (Ramazan)")*($DN$3)
+COUNTIF(O16,"Cenaze Yardımı (Anne-Baba)")*($DN$4-$DN$4*0.00759)
+COUNTIF(O16,"Cenaze Yardımı (Eş-Çocuk)")*($DN$5-$DN$5*0.00759)
+COUNTIF(O16,"Cenaze Yardımı (İşçi-İş Kazası Sonucu)")*($DN$6-$DN$6*0.00759)
+COUNTIF(O16,"Cenaze Yardımı (İşçi-Tabii Sebepler Sonucu)")*($DN$7-$DN$7*0.00759)
+COUNTIF(O16,"Doğal Afet Yardımı")*($DN$8-$DN$8*0.00759)
+COUNTIF(O16,"Doğum Yardımı (İşveren)")*($DN$9-$DN$9*0.00759)
+COUNTIF(O16,"Eğitim Yardımı (Çocuk-Zorunlu Anaokulu)")*($DN$10*DE12)
+COUNTIF(O16,"Eğitim Yardımı (Çocuk-İlköğretim)")*($DN$11*DE12)
+COUNTIF(O16,"Eğitim Yardımı (Çocuk-Ortaöğretim)")*($DN$12*DE12)
+COUNTIF(O16,"Eğitim Yardımı (Çocuk-Lise)")*($DN$13*DE12)
+COUNTIF(O16,"Eğitim Yardımı (Çocuk-Yükseköğretim)")*($DN$14*DE12)
+COUNTIF(O16,"Eğitim Yardımı (Çocuk-Engelli)")*($DN$15*DE12)
+COUNTIF(O16,"Eğitim Yardımı (İşçi-Lise)")*($DN$16*DE12)
+COUNTIF(O16,"Eğitim Yardımı (İşçi-Yükseköğretim)")*($DN$17*DE12)
+COUNTIF(O16,"Evlilik Yardımı")*($DN$18-$DN$18*0.00759)
+COUNTIF(O16,"İş Kazası veya Meslek Hastalığı Tazminatı")*($DN$19-$DN$19*0.00759)
+COUNTIF(O16,"Sünnet Yardımı")*($DN$20*DE12)
+COUNTIF(O16,"Temizlik Yardımı")*($DN$21)
+COUNTIF(P16,"Yok")*(0)
+COUNTIF(P16,"Bayram Yardımı (Kurban)")*($DN$2)
+COUNTIF(P16,"Bayram Yardımı (Ramazan)")*($DN$3)
+COUNTIF(P16,"Cenaze Yardımı (Anne-Baba)")*($DN$4-$DN$4*0.00759)
+COUNTIF(P16,"Cenaze Yardımı (Eş-Çocuk)")*($DN$5-$DN$5*0.00759)
+COUNTIF(P16,"Cenaze Yardımı (İşçi-İş Kazası Sonucu)")*($DN$6-$DN$6*0.00759)
+COUNTIF(P16,"Cenaze Yardımı (İşçi-Tabii Sebepler Sonucu)")*($DN$7-$DN$7*0.00759)
+COUNTIF(P16,"Doğal Afet Yardımı")*($DN$8-$DN$8*0.00759)
+COUNTIF(P16,"Doğum Yardımı (İşveren)")*($DN$9-$DN$9*0.00759)
+COUNTIF(P16,"Eğitim Yardımı (Çocuk-Zorunlu Anaokulu)")*($DN$10*DE12)
+COUNTIF(P16,"Eğitim Yardımı (Çocuk-İlköğretim)")*($DN$11*DE12)
+COUNTIF(P16,"Eğitim Yardımı (Çocuk-Ortaöğretim)")*($DN$12*DE12)
+COUNTIF(P16,"Eğitim Yardımı (Çocuk-Lise)")*($DN$13*DE12)
+COUNTIF(P16,"Eğitim Yardımı (Çocuk-Yükseköğretim)")*($DN$14*DE12)
+COUNTIF(P16,"Eğitim Yardımı (Çocuk-Engelli)")*($DN$15*DE12)
+COUNTIF(P16,"Eğitim Yardımı (İşçi-Lise)")*($DN$16*DE12)
+COUNTIF(P16,"Eğitim Yardımı (İşçi-Yükseköğretim)")*($DN$17*DE12)
+COUNTIF(P16,"Evlilik Yardımı")*($DN$18-$DN$18*0.00759)
+COUNTIF(P16,"İş Kazası veya Meslek Hastalığı Tazminatı")*($DN$19-$DN$19*0.00759)
+COUNTIF(P16,"Sünnet Yardımı")*($DN$20*DE12)
+COUNTIF(P16,"Temizlik Yardımı")*($DN$21)
+COUNTIF(Q16,"Yok")*(0)
+COUNTIF(Q16,"Bayram Yardımı (Kurban)")*($DN$2)
+COUNTIF(Q16,"Bayram Yardımı (Ramazan)")*($DN$3)
+COUNTIF(Q16,"Cenaze Yardımı (Anne-Baba)")*($DN$4-$DN$4*0.00759)
+COUNTIF(Q16,"Cenaze Yardımı (Eş-Çocuk)")*($DN$5-$DN$5*0.00759)
+COUNTIF(Q16,"Cenaze Yardımı (İşçi-İş Kazası Sonucu)")*($DN$6-$DN$6*0.00759)
+COUNTIF(Q16,"Cenaze Yardımı (İşçi-Tabii Sebepler Sonucu)")*($DN$7-$DN$7*0.00759)
+COUNTIF(Q16,"Doğal Afet Yardımı")*($DN$8-$DN$8*0.00759)
+COUNTIF(Q16,"Doğum Yardımı (İşveren)")*($DN$9-$DN$9*0.00759)
+COUNTIF(Q16,"Eğitim Yardımı (Çocuk-Zorunlu Anaokulu)")*($DN$10*DE12)
+COUNTIF(Q16,"Eğitim Yardımı (Çocuk-İlköğretim)")*($DN$11*DE12)
+COUNTIF(Q16,"Eğitim Yardımı (Çocuk-Ortaöğretim)")*($DN$12*DE12)
+COUNTIF(Q16,"Eğitim Yardımı (Çocuk-Lise)")*($DN$13*DE12)
+COUNTIF(Q16,"Eğitim Yardımı (Çocuk-Yükseköğretim)")*($DN$14*DE12)
+COUNTIF(Q16,"Eğitim Yardımı (Çocuk-Engelli)")*($DN$15*DE12)
+COUNTIF(Q16,"Eğitim Yardımı (İşçi-Lise)")*($DN$16*DE12)
+COUNTIF(Q16,"Eğitim Yardımı (İşçi-Yükseköğretim)")*($DN$17*DE12)
+COUNTIF(Q16,"Evlilik Yardımı")*($DN$18-$DN$18*0.00759)
+COUNTIF(Q16,"İş Kazası veya Meslek Hastalığı Tazminatı")*($DN$19-$DN$19*0.00759)
+COUNTIF(Q16,"Sünnet Yardımı")*($DN$20*DE12)
+COUNTIF(Q16,"Temizlik Yardımı")*($DN$21)</f>
        <v>0</v>
      </c>
      <c r="BP11" s="33" t="s">
        <v>12</v>
      </c>
      <c r="BQ11" s="25">
        <f>COUNTIF(BP11,"Var")*(AU16*0.9*-1)</f>
        <v>-192.61800000000002</v>
      </c>
      <c r="BR11" s="25">
        <f>(BQ11*-1)</f>
        <v>192.61800000000002</v>
      </c>
      <c r="BS11" s="37">
        <f ca="1">(DG7*R16+BT11)*-1</f>
        <v>0</v>
      </c>
      <c r="BT11" s="37">
        <f>(AN16+AK23+AM23+AO23-AT23)*(R16*-1)</f>
        <v>0</v>
      </c>
      <c r="BU11" s="37">
        <f ca="1">(BS11+BT11)</f>
        <v>0</v>
      </c>
      <c r="BV11" s="25" t="s">
        <v>0</v>
      </c>
      <c r="BW11" s="25">
        <f>(5004)</f>
        <v>5004</v>
      </c>
      <c r="BX11" s="25">
        <f>(5004)</f>
        <v>5004</v>
      </c>
      <c r="BY11" s="25">
        <f>(BW11-BX11)</f>
        <v>0</v>
      </c>
      <c r="BZ11" s="25">
        <f>(BY11*0.00759*-1)</f>
        <v>0</v>
      </c>
      <c r="CA11" s="25">
        <f>(0)</f>
        <v>0</v>
      </c>
      <c r="CB11" s="25">
        <f>(BW11-CA11)</f>
        <v>5004</v>
      </c>
      <c r="CC11" s="25">
        <f>(CB11*0.14*-1)</f>
        <v>-700.56000000000006</v>
      </c>
      <c r="CD11" s="25">
        <f>(CB11*0.01*-1)</f>
        <v>-50.04</v>
      </c>
      <c r="CE11" s="37">
        <f>(AY1+AY7+BA7+BC7-BH7)*(R22*-1)</f>
        <v>0</v>
      </c>
      <c r="CF11" s="37">
        <f ca="1">(CK7+CE11)</f>
        <v>0</v>
      </c>
      <c r="CG11" s="25" t="s">
        <v>0</v>
      </c>
      <c r="CH11" s="25">
        <f>(6471)</f>
        <v>6471</v>
      </c>
      <c r="CI11" s="25">
        <f>(6471)</f>
        <v>6471</v>
      </c>
      <c r="CJ11" s="25">
        <f>(CH11-CI11)</f>
        <v>0</v>
      </c>
      <c r="CK11" s="25">
        <f>(CJ11*0.00759*-1)</f>
        <v>0</v>
      </c>
      <c r="CL11" s="25">
        <f>(0)</f>
        <v>0</v>
      </c>
      <c r="CM11" s="25">
        <f>(CH11-CL11)</f>
        <v>6471</v>
      </c>
      <c r="CN11" s="25">
        <f>(CM11*0.14*-1)</f>
        <v>-905.94</v>
      </c>
      <c r="CO11" s="25">
        <f>(CM11*0.01*-1)</f>
        <v>-64.710000000000008</v>
      </c>
      <c r="CQ11" s="25">
        <f ca="1">(CK1*0.05*-1)</f>
        <v>-656.75750000000016</v>
      </c>
      <c r="CR11" s="25">
        <f ca="1">(CK1+CL1+CM1+CQ11)</f>
        <v>15302.449750000003</v>
      </c>
      <c r="CS11" s="25" t="s">
        <v>0</v>
      </c>
      <c r="CT11" s="25" t="s">
        <v>0</v>
      </c>
      <c r="CU11" s="25" t="s">
        <v>0</v>
      </c>
      <c r="CV11" s="25" t="s">
        <v>0</v>
      </c>
      <c r="CW11" s="25">
        <f>(0)</f>
        <v>0</v>
      </c>
      <c r="CX11" s="25">
        <f>(BW5+CC5+CD5-CW11)</f>
        <v>5500.3499999999995</v>
      </c>
      <c r="CY11" s="25">
        <f>SUM(CX$2:$CX11)</f>
        <v>47521.799999999996</v>
      </c>
      <c r="CZ11" s="29">
        <f t="shared" si="2"/>
        <v>0.2</v>
      </c>
      <c r="DA11" s="33">
        <f t="shared" si="3"/>
        <v>0</v>
      </c>
      <c r="DB11" s="25">
        <f>(DC1)</f>
        <v>638.01</v>
      </c>
      <c r="DC11" s="25">
        <f ca="1">(DW15+DB11)</f>
        <v>-487</v>
      </c>
      <c r="DD11" s="28">
        <f>(100+(100*0.00759*-1)+(100*0.14*-1)+(100*0.01*-1))/100</f>
        <v>0.84240999999999999</v>
      </c>
      <c r="DE11" s="28">
        <f ca="1">(100+(100*0.00759*-1)+(100*0.14*-1)+(100*0.01*-1)+(100+100*0.14*-1+100*0.01*-1)*DV15*-1)/100</f>
        <v>0.71491000000000005</v>
      </c>
      <c r="DF11" s="28">
        <f ca="1">(100+(100*0.00759*-1)+(100)*DV15*-1)/100</f>
        <v>0.84240999999999999</v>
      </c>
      <c r="DG11" s="25">
        <f ca="1">(DI1)</f>
        <v>9496.8100000000013</v>
      </c>
      <c r="DH11" s="25">
        <f ca="1">(DG11*0.205)</f>
        <v>1946.8460500000001</v>
      </c>
      <c r="DI11" s="25">
        <f ca="1">(DG11*0.01)</f>
        <v>94.968100000000021</v>
      </c>
      <c r="DM11" s="34" t="s">
        <v>67</v>
      </c>
      <c r="DN11" s="25">
        <v>2071.1999999999998</v>
      </c>
      <c r="DX11" s="24">
        <v>9</v>
      </c>
      <c r="DY11" s="35">
        <v>4.5</v>
      </c>
      <c r="DZ11" s="36">
        <v>0.11</v>
      </c>
      <c r="EA11" s="49"/>
    </row>
    <row r="12" spans="1:131" ht="39.950000000000003" customHeight="1" x14ac:dyDescent="0.25">
      <c r="A12" s="70"/>
      <c r="B12" s="71"/>
      <c r="C12" s="57"/>
      <c r="D12" s="57"/>
      <c r="E12" s="72"/>
      <c r="F12" s="72"/>
      <c r="G12" s="57"/>
      <c r="H12" s="57"/>
      <c r="I12" s="57"/>
      <c r="J12" s="74"/>
      <c r="K12" s="57"/>
      <c r="L12" s="57"/>
      <c r="M12" s="57"/>
      <c r="N12" s="57"/>
      <c r="O12" s="57"/>
      <c r="P12" s="57"/>
      <c r="Q12" s="57"/>
      <c r="R12" s="57"/>
      <c r="S12" s="57"/>
      <c r="T12" s="57"/>
      <c r="U12" s="73"/>
      <c r="V12" s="15" t="s">
        <v>125</v>
      </c>
      <c r="W12" s="16">
        <f t="shared" ca="1" si="35"/>
        <v>0</v>
      </c>
      <c r="X12" s="16">
        <f ca="1">COUNTIF(Y1,"Ocak")*(BS1)
+COUNTIF(Y1,"Şubat")*(BS2)
+COUNTIF(Y1,"Mart")*(BS3)
+COUNTIF(Y1,"Nisan")*(BU14)
+COUNTIF(Y1,"Mayıs")*(BU15)
+COUNTIF(Y1,"Haziran")*(BU16)
+COUNTIF(Y1,"Temmuz")*(BR22)
+COUNTIF(Y1,"Ağustos")*(BR23)
+COUNTIF(Y1,"Eylül")*(BR24)
+COUNTIF(Y1,"Ekim")*(BR25)
+COUNTIF(Y1,"Kasım")*(BU17)
+COUNTIF(Y1,"Aralık")*(BU18)
+COUNTIF(Y1,"Yıllık Toplam")*(BU19)
+COUNTIF(Y1,"Yıllık Ortalama")*(BU20)</f>
        <v>0</v>
      </c>
      <c r="Y12" s="64"/>
      <c r="Z12" s="68"/>
      <c r="AA12" s="77" t="s">
        <v>141</v>
      </c>
      <c r="AB12" s="78" t="s">
        <v>142</v>
      </c>
      <c r="AC12" s="56"/>
      <c r="AD12" s="58"/>
      <c r="AE12" s="60"/>
      <c r="AF12" s="59"/>
      <c r="AG12" s="34" t="s">
        <v>87</v>
      </c>
      <c r="AH12" s="40">
        <v>276.16000000000003</v>
      </c>
      <c r="AI12" s="22">
        <v>325.89999999999998</v>
      </c>
      <c r="AJ12" s="42">
        <f>(AK11+1)</f>
        <v>44805</v>
      </c>
      <c r="AK12" s="42">
        <f>EOMONTH(AJ12,0)</f>
        <v>44834</v>
      </c>
      <c r="AL12" s="43">
        <f>DAY(AK12)</f>
        <v>30</v>
      </c>
      <c r="AM12" s="43">
        <f>NETWORKDAYS.INTL(AJ12,AK12,11)</f>
        <v>26</v>
      </c>
      <c r="AN12" s="43">
        <f>(AL12-AM12)</f>
        <v>4</v>
      </c>
      <c r="AO12" s="41" t="s">
        <v>0</v>
      </c>
      <c r="AP12"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Q12" s="32">
        <f ca="1">(AP12*CH12)</f>
        <v>154.82106599999997</v>
      </c>
      <c r="AR12"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S12" s="25">
        <f ca="1">(AR12*CH12+DC19/30*-1+CE12/30)</f>
        <v>193.12722899999994</v>
      </c>
      <c r="AT12" s="32">
        <f>COUNTIF($A$1,"Mekanik / Teknik Sorumlusu")*($AI$1+AW2)
+COUNTIF($A$1,"Elektrik Sorumlusu")*($AI$2+AW2)
+COUNTIF($A$1,"Otomasyon Sistem Sorumlusu")*($AI$3+AW2)
+COUNTIF($A$1,"Bilgi İşlem Sorumlusu")*($AI$4+AW2)
+COUNTIF($A$1,"Bakım Onarım Sorumlusu")*($AI$5+AW2)
+COUNTIF($A$1,"İskeleler Sorumlusu")*($AI$6+AW2)
+COUNTIF($A$1,"Ambar ve Stok Kontrol Sorumlusu")*($AI$7+AW2)
+COUNTIF($A$1,"Akaryakıt Sorumlusu")*($AI$8+AW2)
+COUNTIF($A$1,"İnsan Kaynakları ve Eğitim Sorumlusu")*($AI$9+AW2)
+COUNTIF($A$1,"Muhasebe ve Finansman Sorumlusu")*($AI$10+AW2)
+COUNTIF($A$1,"İhale ve Satınalma Sorumlusu")*($AI$11+AW2)
+COUNTIF($A$1,"Halkla İlişkiler Sorumlusu")*($AI$12+AW2)
+COUNTIF($A$1,"Yazı İşleri Sorumlusu")*($AI$13+AW2)
+COUNTIF($A$1,"Gişeler Sorumlusu")*($AI$14+AW2)
+COUNTIF($A$1,"Temizlik / Güvenlik Sorumlusu")*($AI$15+AW2)
+COUNTIF($A$1,"İskele Sorumlusu")*($AI$16+AW2)
+COUNTIF($A$1,"1S-Atölye Personeli")*($AI$17+AW2)
+COUNTIF($A$1,"1S-Bilgi İşlem Büro Personeli")*($AI$18+AW2)
+COUNTIF($A$1,"1S-Şoför")*($AI$19+AW2)
+COUNTIF($A$1,"1S-Büro Personeli")*($AI$20+AW2)
+COUNTIF($A$1,"1S-Yönetim / Genel Müdür Sekreteri")*($AI$21+AW2)
+COUNTIF($A$1,"1S-İskele Personeli")*($AI$22+AW2)
+COUNTIF($A$1,"1S-Gişe Personeli")*($AI$23+AW2)
+COUNTIF($A$1,"1S-Çımacı / Palamarcı")*($AI$24+AW2)
+COUNTIF($A$1,"1S-Temizlik Personeli")*($AI$25+AW2)
+COUNTIF($A$1,"2S-Atölye Personeli")*($AI$26+AW2)
+COUNTIF($A$1,"2S-Bilgi İşlem Büro Personeli")*($AI$27+AW2)
+COUNTIF($A$1,"2S-Şoför")*($AI$28+AW2)
+COUNTIF($A$1,"2S-Büro Personeli")*($AI$29+AW2)
+COUNTIF($A$1,"2S-Yönetim / Genel Müdür Sekreteri")*($AI$30+AW2)
+COUNTIF($A$1,"2S-İskele Personeli")*($AI$31+AW2)
+COUNTIF($A$1,"2S-Gişe Personeli")*($AI$32+AW2)
+COUNTIF($A$1,"2S-Çımacı / Palamarcı")*($AI$33+AW2)
+COUNTIF($A$1,"2S-Temizlik Personeli")*($AI$34+AW2)</f>
        <v>252.6</v>
      </c>
      <c r="AU12" s="25">
        <f ca="1">(AT12*CH12)</f>
        <v>154.82106599999997</v>
      </c>
      <c r="AV12" s="41" t="s">
        <v>0</v>
      </c>
      <c r="AW12" s="40">
        <f>(AT12*AL12)</f>
        <v>7578</v>
      </c>
      <c r="AX12" s="25">
        <f t="shared" ref="AX12:BL12" ca="1" si="36">(AJ22+AJ23+AJ24+AJ25+AX4+AX5+AX6+AX7+AX8+AX9+AX10+AX11)</f>
        <v>0</v>
      </c>
      <c r="AY12" s="25">
        <f t="shared" si="36"/>
        <v>0</v>
      </c>
      <c r="AZ12" s="25">
        <f t="shared" ca="1" si="36"/>
        <v>0</v>
      </c>
      <c r="BA12" s="25">
        <f t="shared" si="36"/>
        <v>0</v>
      </c>
      <c r="BB12" s="25">
        <f t="shared" ca="1" si="36"/>
        <v>0</v>
      </c>
      <c r="BC12" s="25">
        <f t="shared" si="36"/>
        <v>14517.360000000002</v>
      </c>
      <c r="BD12" s="25">
        <f t="shared" ca="1" si="36"/>
        <v>10054.279827512655</v>
      </c>
      <c r="BE12" s="25">
        <f t="shared" si="36"/>
        <v>14517.360000000002</v>
      </c>
      <c r="BF12" s="25">
        <f t="shared" si="36"/>
        <v>14517.360000000002</v>
      </c>
      <c r="BG12" s="25">
        <f t="shared" si="36"/>
        <v>-110.18676240000003</v>
      </c>
      <c r="BH12" s="25">
        <f t="shared" si="36"/>
        <v>3580.2000000000003</v>
      </c>
      <c r="BI12" s="25">
        <f t="shared" si="36"/>
        <v>10937.160000000002</v>
      </c>
      <c r="BJ12" s="25">
        <f t="shared" si="36"/>
        <v>-1531.2023999999997</v>
      </c>
      <c r="BK12" s="25">
        <f t="shared" si="36"/>
        <v>-109.37160000000002</v>
      </c>
      <c r="BL12" s="25">
        <f t="shared" si="36"/>
        <v>0</v>
      </c>
      <c r="BM12" s="37">
        <f ca="1">COUNTIF(O17,"Yok")*(0)
+COUNTIF(O17,"Bayram Yardımı (Kurban)")*($DN$2/DE13)
+COUNTIF(O17,"Bayram Yardımı (Ramazan)")*($DN$3/DE13)
+COUNTIF(O17,"Cenaze Yardımı (Anne-Baba)")*($DN$4)
+COUNTIF(O17,"Cenaze Yardımı (Eş-Çocuk)")*($DN$5)
+COUNTIF(O17,"Cenaze Yardımı (İşçi-İş Kazası Sonucu)")*($DN$6)
+COUNTIF(O17,"Cenaze Yardımı (İşçi-Tabii Sebepler Sonucu)")*($DN$7)
+COUNTIF(O17,"Doğal Afet Yardımı")*($DN$8)
+COUNTIF(O17,"Doğum Yardımı (İşveren)")*($DN$9)
+COUNTIF(O17,"Eğitim Yardımı (Çocuk-Zorunlu Anaokulu)")*($DN$10)
+COUNTIF(O17,"Eğitim Yardımı (Çocuk-İlköğretim)")*($DN$11)
+COUNTIF(O17,"Eğitim Yardımı (Çocuk-Ortaöğretim)")*($DN$12)
+COUNTIF(O17,"Eğitim Yardımı (Çocuk-Lise)")*($DN$13)
+COUNTIF(O17,"Eğitim Yardımı (Çocuk-Yükseköğretim)")*($DN$14)
+COUNTIF(O17,"Eğitim Yardımı (Çocuk-Engelli)")*($DN$15)
+COUNTIF(O17,"Eğitim Yardımı (İşçi-Lise)")*($DN$16)
+COUNTIF(O17,"Eğitim Yardımı (İşçi-Yükseköğretim)")*($DN$17)
+COUNTIF(O17,"Evlilik Yardımı")*($DN$18)
+COUNTIF(O17,"İş Kazası veya Meslek Hastalığı Tazminatı")*($DN$19)
+COUNTIF(O17,"Sünnet Yardımı")*($DN$20)
+COUNTIF(O17,"Temizlik Yardımı")*($DN$21/DE13)
+COUNTIF(P17,"Yok")*(0)
+COUNTIF(P17,"Bayram Yardımı (Kurban)")*($DN$2/DE13)
+COUNTIF(P17,"Bayram Yardımı (Ramazan)")*($DN$3/DE13)
+COUNTIF(P17,"Cenaze Yardımı (Anne-Baba)")*($DN$4)
+COUNTIF(P17,"Cenaze Yardımı (Eş-Çocuk)")*($DN$5)
+COUNTIF(P17,"Cenaze Yardımı (İşçi-İş Kazası Sonucu)")*($DN$6)
+COUNTIF(P17,"Cenaze Yardımı (İşçi-Tabii Sebepler Sonucu)")*($DN$7)
+COUNTIF(P17,"Doğal Afet Yardımı")*($DN$8)
+COUNTIF(P17,"Doğum Yardımı (İşveren)")*($DN$9)
+COUNTIF(P17,"Eğitim Yardımı (Çocuk-Zorunlu Anaokulu)")*($DN$10)
+COUNTIF(P17,"Eğitim Yardımı (Çocuk-İlköğretim)")*($DN$11)
+COUNTIF(P17,"Eğitim Yardımı (Çocuk-Ortaöğretim)")*($DN$12)
+COUNTIF(P17,"Eğitim Yardımı (Çocuk-Lise)")*($DN$13)
+COUNTIF(P17,"Eğitim Yardımı (Çocuk-Yükseköğretim)")*($DN$14)
+COUNTIF(P17,"Eğitim Yardımı (Çocuk-Engelli)")*($DN$15)
+COUNTIF(P17,"Eğitim Yardımı (İşçi-Lise)")*($DN$16)
+COUNTIF(P17,"Eğitim Yardımı (İşçi-Yükseköğretim)")*($DN$17)
+COUNTIF(P17,"Evlilik Yardımı")*($DN$18)
+COUNTIF(P17,"İş Kazası veya Meslek Hastalığı Tazminatı")*($DN$19)
+COUNTIF(P17,"Sünnet Yardımı")*($DN$20)
+COUNTIF(P17,"Temizlik Yardımı")*($DN$21/DE13)
+COUNTIF(Q17,"Yok")*(0)
+COUNTIF(Q17,"Bayram Yardımı (Kurban)")*($DN$2/DE13)
+COUNTIF(Q17,"Bayram Yardımı (Ramazan)")*($DN$3/DE13)
+COUNTIF(Q17,"Cenaze Yardımı (Anne-Baba)")*($DN$4)
+COUNTIF(Q17,"Cenaze Yardımı (Eş-Çocuk)")*($DN$5)
+COUNTIF(Q17,"Cenaze Yardımı (İşçi-İş Kazası Sonucu)")*($DN$6)
+COUNTIF(Q17,"Cenaze Yardımı (İşçi-Tabii Sebepler Sonucu)")*($DN$7)
+COUNTIF(Q17,"Doğal Afet Yardımı")*($DN$8)
+COUNTIF(Q17,"Doğum Yardımı (İşveren)")*($DN$9)
+COUNTIF(Q17,"Eğitim Yardımı (Çocuk-Zorunlu Anaokulu)")*($DN$10)
+COUNTIF(Q17,"Eğitim Yardımı (Çocuk-İlköğretim)")*($DN$11)
+COUNTIF(Q17,"Eğitim Yardımı (Çocuk-Ortaöğretim)")*($DN$12)
+COUNTIF(Q17,"Eğitim Yardımı (Çocuk-Lise)")*($DN$13)
+COUNTIF(Q17,"Eğitim Yardımı (Çocuk-Yükseköğretim)")*($DN$14)
+COUNTIF(Q17,"Eğitim Yardımı (Çocuk-Engelli)")*($DN$15)
+COUNTIF(Q17,"Eğitim Yardımı (İşçi-Lise)")*($DN$16)
+COUNTIF(Q17,"Eğitim Yardımı (İşçi-Yükseköğretim)")*($DN$17)
+COUNTIF(Q17,"Evlilik Yardımı")*($DN$18)
+COUNTIF(Q17,"İş Kazası veya Meslek Hastalığı Tazminatı")*($DN$19)
+COUNTIF(Q17,"Sünnet Yardımı")*($DN$20)
+COUNTIF(Q17,"Temizlik Yardımı")*($DN$21/DE13)</f>
        <v>0</v>
      </c>
      <c r="BN12" s="37">
        <f>COUNTIF(O17,"Yok")*(0)
+COUNTIF(O17,"Bayram Yardımı (Kurban)")*(0)
+COUNTIF(O17,"Bayram Yardımı (Ramazan)")*(0)
+COUNTIF(O17,"Cenaze Yardımı (Anne-Baba)")*($DN$4)
+COUNTIF(O17,"Cenaze Yardımı (Eş-Çocuk)")*($DN$5)
+COUNTIF(O17,"Cenaze Yardımı (İşçi-İş Kazası Sonucu)")*($DN$6)
+COUNTIF(O17,"Cenaze Yardımı (İşçi-Tabii Sebepler Sonucu)")*($DN$7)
+COUNTIF(O17,"Doğal Afet Yardımı")*($DN$8)
+COUNTIF(O17,"Doğum Yardımı (İşveren)")*($DN$9)
+COUNTIF(O17,"Eğitim Yardımı (Çocuk-Zorunlu Anaokulu)")*(0)
+COUNTIF(O17,"Eğitim Yardımı (Çocuk-İlköğretim)")*(0)
+COUNTIF(O17,"Eğitim Yardımı (Çocuk-Ortaöğretim)")*(0)
+COUNTIF(O17,"Eğitim Yardımı (Çocuk-Lise)")*(0)
+COUNTIF(O17,"Eğitim Yardımı (Çocuk-Yükseköğretim)")*(0)
+COUNTIF(O17,"Eğitim Yardımı (Çocuk-Engelli)")*(0)
+COUNTIF(O17,"Eğitim Yardımı (İşçi-Lise)")*(0)
+COUNTIF(O17,"Eğitim Yardımı (İşçi-Yükseköğretim)")*(0)
+COUNTIF(O17,"Evlilik Yardımı")*($DN$18)
+COUNTIF(O17,"İş Kazası veya Meslek Hastalığı Tazminatı")*($DN$19)
+COUNTIF(O17,"Sünnet Yardımı")*(0)
+COUNTIF(O17,"Temizlik Yardımı")*(0)
+COUNTIF(P17,"Yok")*(0)
+COUNTIF(P17,"Bayram Yardımı (Kurban)")*(0)
+COUNTIF(P17,"Bayram Yardımı (Ramazan)")*(0)
+COUNTIF(P17,"Cenaze Yardımı (Anne-Baba)")*($DN$4)
+COUNTIF(P17,"Cenaze Yardımı (Eş-Çocuk)")*($DN$5)
+COUNTIF(P17,"Cenaze Yardımı (İşçi-İş Kazası Sonucu)")*($DN$6)
+COUNTIF(P17,"Cenaze Yardımı (İşçi-Tabii Sebepler Sonucu)")*($DN$7)
+COUNTIF(P17,"Doğal Afet Yardımı")*($DN$8)
+COUNTIF(P17,"Doğum Yardımı (İşveren)")*($DN$9)
+COUNTIF(P17,"Eğitim Yardımı (Çocuk-Zorunlu Anaokulu)")*(0)
+COUNTIF(P17,"Eğitim Yardımı (Çocuk-İlköğretim)")*(0)
+COUNTIF(P17,"Eğitim Yardımı (Çocuk-Ortaöğretim)")*(0)
+COUNTIF(P17,"Eğitim Yardımı (Çocuk-Lise)")*(0)
+COUNTIF(P17,"Eğitim Yardımı (Çocuk-Yükseköğretim)")*(0)
+COUNTIF(P17,"Eğitim Yardımı (Çocuk-Engelli)")*(0)
+COUNTIF(P17,"Eğitim Yardımı (İşçi-Lise)")*(0)
+COUNTIF(P17,"Eğitim Yardımı (İşçi-Yükseköğretim)")*(0)
+COUNTIF(P17,"Evlilik Yardımı")*($DN$18)
+COUNTIF(P17,"İş Kazası veya Meslek Hastalığı Tazminatı")*($DN$19)
+COUNTIF(P17,"Sünnet Yardımı")*(0)
+COUNTIF(P17,"Temizlik Yardımı")*(0)
+COUNTIF(Q17,"Yok")*(0)
+COUNTIF(Q17,"Bayram Yardımı (Kurban)")*(0)
+COUNTIF(Q17,"Bayram Yardımı (Ramazan)")*(0)
+COUNTIF(Q17,"Cenaze Yardımı (Anne-Baba)")*($DN$4)
+COUNTIF(Q17,"Cenaze Yardımı (Eş-Çocuk)")*($DN$5)
+COUNTIF(Q17,"Cenaze Yardımı (İşçi-İş Kazası Sonucu)")*($DN$6)
+COUNTIF(Q17,"Cenaze Yardımı (İşçi-Tabii Sebepler Sonucu)")*($DN$7)
+COUNTIF(Q17,"Doğal Afet Yardımı")*($DN$8)
+COUNTIF(Q17,"Doğum Yardımı (İşveren)")*($DN$9)
+COUNTIF(Q17,"Eğitim Yardımı (Çocuk-Zorunlu Anaokulu)")*(0)
+COUNTIF(Q17,"Eğitim Yardımı (Çocuk-İlköğretim)")*(0)
+COUNTIF(Q17,"Eğitim Yardımı (Çocuk-Ortaöğretim)")*(0)
+COUNTIF(Q17,"Eğitim Yardımı (Çocuk-Lise)")*(0)
+COUNTIF(Q17,"Eğitim Yardımı (Çocuk-Yükseköğretim)")*(0)
+COUNTIF(Q17,"Eğitim Yardımı (Çocuk-Engelli)")*(0)
+COUNTIF(Q17,"Eğitim Yardımı (İşçi-Lise)")*(0)
+COUNTIF(Q17,"Eğitim Yardımı (İşçi-Yükseköğretim)")*(0)
+COUNTIF(Q17,"Evlilik Yardımı")*($DN$18)
+COUNTIF(Q17,"İş Kazası veya Meslek Hastalığı Tazminatı")*($DN$19)
+COUNTIF(Q17,"Sünnet Yardımı")*(0)
+COUNTIF(Q17,"Temizlik Yardımı")*(0)</f>
        <v>0</v>
      </c>
      <c r="BO12" s="37">
        <f ca="1">COUNTIF(O17,"Yok")*(0)
+COUNTIF(O17,"Bayram Yardımı (Kurban)")*($DN$2)
+COUNTIF(O17,"Bayram Yardımı (Ramazan)")*($DN$3)
+COUNTIF(O17,"Cenaze Yardımı (Anne-Baba)")*($DN$4-$DN$4*0.00759)
+COUNTIF(O17,"Cenaze Yardımı (Eş-Çocuk)")*($DN$5-$DN$5*0.00759)
+COUNTIF(O17,"Cenaze Yardımı (İşçi-İş Kazası Sonucu)")*($DN$6-$DN$6*0.00759)
+COUNTIF(O17,"Cenaze Yardımı (İşçi-Tabii Sebepler Sonucu)")*($DN$7-$DN$7*0.00759)
+COUNTIF(O17,"Doğal Afet Yardımı")*($DN$8-$DN$8*0.00759)
+COUNTIF(O17,"Doğum Yardımı (İşveren)")*($DN$9-$DN$9*0.00759)
+COUNTIF(O17,"Eğitim Yardımı (Çocuk-Zorunlu Anaokulu)")*($DN$10*DE13)
+COUNTIF(O17,"Eğitim Yardımı (Çocuk-İlköğretim)")*($DN$11*DE13)
+COUNTIF(O17,"Eğitim Yardımı (Çocuk-Ortaöğretim)")*($DN$12*DE13)
+COUNTIF(O17,"Eğitim Yardımı (Çocuk-Lise)")*($DN$13*DE13)
+COUNTIF(O17,"Eğitim Yardımı (Çocuk-Yükseköğretim)")*($DN$14*DE13)
+COUNTIF(O17,"Eğitim Yardımı (Çocuk-Engelli)")*($DN$15*DE13)
+COUNTIF(O17,"Eğitim Yardımı (İşçi-Lise)")*($DN$16*DE13)
+COUNTIF(O17,"Eğitim Yardımı (İşçi-Yükseköğretim)")*($DN$17*DE13)
+COUNTIF(O17,"Evlilik Yardımı")*($DN$18-$DN$18*0.00759)
+COUNTIF(O17,"İş Kazası veya Meslek Hastalığı Tazminatı")*($DN$19-$DN$19*0.00759)
+COUNTIF(O17,"Sünnet Yardımı")*($DN$20*DE13)
+COUNTIF(O17,"Temizlik Yardımı")*($DN$21)
+COUNTIF(P17,"Yok")*(0)
+COUNTIF(P17,"Bayram Yardımı (Kurban)")*($DN$2)
+COUNTIF(P17,"Bayram Yardımı (Ramazan)")*($DN$3)
+COUNTIF(P17,"Cenaze Yardımı (Anne-Baba)")*($DN$4-$DN$4*0.00759)
+COUNTIF(P17,"Cenaze Yardımı (Eş-Çocuk)")*($DN$5-$DN$5*0.00759)
+COUNTIF(P17,"Cenaze Yardımı (İşçi-İş Kazası Sonucu)")*($DN$6-$DN$6*0.00759)
+COUNTIF(P17,"Cenaze Yardımı (İşçi-Tabii Sebepler Sonucu)")*($DN$7-$DN$7*0.00759)
+COUNTIF(P17,"Doğal Afet Yardımı")*($DN$8-$DN$8*0.00759)
+COUNTIF(P17,"Doğum Yardımı (İşveren)")*($DN$9-$DN$9*0.00759)
+COUNTIF(P17,"Eğitim Yardımı (Çocuk-Zorunlu Anaokulu)")*($DN$10*DE13)
+COUNTIF(P17,"Eğitim Yardımı (Çocuk-İlköğretim)")*($DN$11*DE13)
+COUNTIF(P17,"Eğitim Yardımı (Çocuk-Ortaöğretim)")*($DN$12*DE13)
+COUNTIF(P17,"Eğitim Yardımı (Çocuk-Lise)")*($DN$13*DE13)
+COUNTIF(P17,"Eğitim Yardımı (Çocuk-Yükseköğretim)")*($DN$14*DE13)
+COUNTIF(P17,"Eğitim Yardımı (Çocuk-Engelli)")*($DN$15*DE13)
+COUNTIF(P17,"Eğitim Yardımı (İşçi-Lise)")*($DN$16*DE13)
+COUNTIF(P17,"Eğitim Yardımı (İşçi-Yükseköğretim)")*($DN$17*DE13)
+COUNTIF(P17,"Evlilik Yardımı")*($DN$18-$DN$18*0.00759)
+COUNTIF(P17,"İş Kazası veya Meslek Hastalığı Tazminatı")*($DN$19-$DN$19*0.00759)
+COUNTIF(P17,"Sünnet Yardımı")*($DN$20*DE13)
+COUNTIF(P17,"Temizlik Yardımı")*($DN$21)
+COUNTIF(Q17,"Yok")*(0)
+COUNTIF(Q17,"Bayram Yardımı (Kurban)")*($DN$2)
+COUNTIF(Q17,"Bayram Yardımı (Ramazan)")*($DN$3)
+COUNTIF(Q17,"Cenaze Yardımı (Anne-Baba)")*($DN$4-$DN$4*0.00759)
+COUNTIF(Q17,"Cenaze Yardımı (Eş-Çocuk)")*($DN$5-$DN$5*0.00759)
+COUNTIF(Q17,"Cenaze Yardımı (İşçi-İş Kazası Sonucu)")*($DN$6-$DN$6*0.00759)
+COUNTIF(Q17,"Cenaze Yardımı (İşçi-Tabii Sebepler Sonucu)")*($DN$7-$DN$7*0.00759)
+COUNTIF(Q17,"Doğal Afet Yardımı")*($DN$8-$DN$8*0.00759)
+COUNTIF(Q17,"Doğum Yardımı (İşveren)")*($DN$9-$DN$9*0.00759)
+COUNTIF(Q17,"Eğitim Yardımı (Çocuk-Zorunlu Anaokulu)")*($DN$10*DE13)
+COUNTIF(Q17,"Eğitim Yardımı (Çocuk-İlköğretim)")*($DN$11*DE13)
+COUNTIF(Q17,"Eğitim Yardımı (Çocuk-Ortaöğretim)")*($DN$12*DE13)
+COUNTIF(Q17,"Eğitim Yardımı (Çocuk-Lise)")*($DN$13*DE13)
+COUNTIF(Q17,"Eğitim Yardımı (Çocuk-Yükseköğretim)")*($DN$14*DE13)
+COUNTIF(Q17,"Eğitim Yardımı (Çocuk-Engelli)")*($DN$15*DE13)
+COUNTIF(Q17,"Eğitim Yardımı (İşçi-Lise)")*($DN$16*DE13)
+COUNTIF(Q17,"Eğitim Yardımı (İşçi-Yükseköğretim)")*($DN$17*DE13)
+COUNTIF(Q17,"Evlilik Yardımı")*($DN$18-$DN$18*0.00759)
+COUNTIF(Q17,"İş Kazası veya Meslek Hastalığı Tazminatı")*($DN$19-$DN$19*0.00759)
+COUNTIF(Q17,"Sünnet Yardımı")*($DN$20*DE13)
+COUNTIF(Q17,"Temizlik Yardımı")*($DN$21)</f>
        <v>0</v>
      </c>
      <c r="BP12" s="33" t="s">
        <v>12</v>
      </c>
      <c r="BQ12" s="25">
        <f>COUNTIF(BP12,"Var")*(AU17*0.9*-1)</f>
        <v>-192.61800000000002</v>
      </c>
      <c r="BR12" s="25">
        <f>(BQ12*-1)</f>
        <v>192.61800000000002</v>
      </c>
      <c r="BS12" s="37">
        <f ca="1">(DG8*R17+BT12)*-1</f>
        <v>0</v>
      </c>
      <c r="BT12" s="37">
        <f>(AN17+AK24+AM24+AO24-AT24)*(R17*-1)</f>
        <v>0</v>
      </c>
      <c r="BU12" s="37">
        <f ca="1">(BS12+BT12)</f>
        <v>0</v>
      </c>
      <c r="BV12" s="25" t="s">
        <v>0</v>
      </c>
      <c r="BW12" s="25">
        <f>(5004)</f>
        <v>5004</v>
      </c>
      <c r="BX12" s="25">
        <f>(5004)</f>
        <v>5004</v>
      </c>
      <c r="BY12" s="25">
        <f>(BW12-BX12)</f>
        <v>0</v>
      </c>
      <c r="BZ12" s="25">
        <f>(BY12*0.00759*-1)</f>
        <v>0</v>
      </c>
      <c r="CA12" s="25">
        <f>(0)</f>
        <v>0</v>
      </c>
      <c r="CB12" s="25">
        <f>(BW12-CA12)</f>
        <v>5004</v>
      </c>
      <c r="CC12" s="25">
        <f>(CB12*0.14*-1)</f>
        <v>-700.56000000000006</v>
      </c>
      <c r="CD12" s="25">
        <f>(CB12*0.01*-1)</f>
        <v>-50.04</v>
      </c>
      <c r="CE12" s="25">
        <f>(CT19)</f>
        <v>1100.07</v>
      </c>
      <c r="CF12" s="25">
        <f ca="1">(DW23+CE12)</f>
        <v>-1135.1600000000001</v>
      </c>
      <c r="CG12" s="28">
        <f t="shared" si="1"/>
        <v>0.84240999999999999</v>
      </c>
      <c r="CH12" s="28">
        <f ca="1">(100+(100*0.00759*-1)+(100*0.14*-1)+(100*0.01*-1)+(100+100*0.14*-1+100*0.01*-1)*DV23*-1)/100</f>
        <v>0.61290999999999995</v>
      </c>
      <c r="CI12" s="28">
        <f ca="1">(100+(100*0.00759*-1)+(100)*DV23*-1)/100</f>
        <v>0.72241</v>
      </c>
      <c r="CJ12" s="25">
        <f ca="1">(CZ19)</f>
        <v>10628.820000000002</v>
      </c>
      <c r="CK12" s="25">
        <f ca="1">(CJ12*0.205)</f>
        <v>2178.9081000000001</v>
      </c>
      <c r="CL12" s="25">
        <f ca="1">(CJ12*0.01)</f>
        <v>106.28820000000002</v>
      </c>
      <c r="CM12" s="25">
        <f ca="1">(CJ12*0.05*-1)</f>
        <v>-531.44100000000014</v>
      </c>
      <c r="CN12" s="25">
        <f ca="1">(CJ12+CK12+CL12+CM12)</f>
        <v>12382.575300000002</v>
      </c>
      <c r="CQ12" s="25">
        <f ca="1">(CK2*0.05*-1)</f>
        <v>-544.07100000000003</v>
      </c>
      <c r="CR12" s="25">
        <f ca="1">(CK2+CL2+CM2+CQ12)</f>
        <v>12676.854300000001</v>
      </c>
      <c r="CS12" s="25" t="s">
        <v>0</v>
      </c>
      <c r="CT12" s="25" t="s">
        <v>0</v>
      </c>
      <c r="CU12" s="25" t="s">
        <v>0</v>
      </c>
      <c r="CV12" s="25" t="s">
        <v>0</v>
      </c>
      <c r="CW12" s="25">
        <f>(0)</f>
        <v>0</v>
      </c>
      <c r="CX12" s="25">
        <f>(BW6+CC6+CD6-CW12)</f>
        <v>5500.3499999999995</v>
      </c>
      <c r="CY12" s="25">
        <f>SUM(CX$2:$CX12)</f>
        <v>53022.149999999994</v>
      </c>
      <c r="CZ12" s="29">
        <f t="shared" si="2"/>
        <v>0.2</v>
      </c>
      <c r="DA12" s="33">
        <f t="shared" si="3"/>
        <v>0</v>
      </c>
      <c r="DB12" s="25">
        <f>(DC2)</f>
        <v>638.01</v>
      </c>
      <c r="DC12" s="25">
        <f ca="1">(DW16+DB12)</f>
        <v>-896.31</v>
      </c>
      <c r="DD12" s="28">
        <f t="shared" si="1"/>
        <v>0.84240999999999999</v>
      </c>
      <c r="DE12" s="28">
        <f ca="1">(100+(100*0.00759*-1)+(100*0.14*-1)+(100*0.01*-1)+(100+100*0.14*-1+100*0.01*-1)*DV16*-1)/100</f>
        <v>0.71491000000000005</v>
      </c>
      <c r="DF12" s="28">
        <f ca="1">(100+(100*0.00759*-1)+(100)*DV16*-1)/100</f>
        <v>0.84240999999999999</v>
      </c>
      <c r="DG12" s="25">
        <f ca="1">(DI2)</f>
        <v>12707.11</v>
      </c>
      <c r="DH12" s="25">
        <f ca="1">(DG12*0.205)</f>
        <v>2604.9575500000001</v>
      </c>
      <c r="DI12" s="25">
        <f ca="1">(DG12*0.01)</f>
        <v>127.07110000000002</v>
      </c>
      <c r="DM12" s="34" t="s">
        <v>68</v>
      </c>
      <c r="DN12" s="25">
        <v>2071.1999999999998</v>
      </c>
      <c r="DX12" s="24">
        <v>10</v>
      </c>
      <c r="DY12" s="35">
        <v>5</v>
      </c>
      <c r="DZ12" s="36">
        <v>0.12</v>
      </c>
      <c r="EA12" s="49"/>
    </row>
    <row r="13" spans="1:131" ht="39.950000000000003" customHeight="1" x14ac:dyDescent="0.25">
      <c r="A13" s="70"/>
      <c r="B13" s="71"/>
      <c r="C13" s="57"/>
      <c r="D13" s="57"/>
      <c r="E13" s="72"/>
      <c r="F13" s="72"/>
      <c r="G13" s="57"/>
      <c r="H13" s="57"/>
      <c r="I13" s="57"/>
      <c r="J13" s="74"/>
      <c r="K13" s="57"/>
      <c r="L13" s="57"/>
      <c r="M13" s="57"/>
      <c r="N13" s="57"/>
      <c r="O13" s="57"/>
      <c r="P13" s="57"/>
      <c r="Q13" s="57"/>
      <c r="R13" s="57"/>
      <c r="S13" s="57"/>
      <c r="T13" s="57"/>
      <c r="U13" s="73"/>
      <c r="V13" s="15" t="s">
        <v>126</v>
      </c>
      <c r="W13" s="16">
        <f t="shared" ca="1" si="35"/>
        <v>0</v>
      </c>
      <c r="X13" s="16">
        <f ca="1">COUNTIF(Y1,"Ocak")*(BF26)
+COUNTIF(Y1,"Şubat")*(BF27)
+COUNTIF(Y1,"Mart")*(BF28)
+COUNTIF(Y1,"Nisan")*(CP14)
+COUNTIF(Y1,"Mayıs")*(CP15)
+COUNTIF(Y1,"Haziran")*(CP16)
+COUNTIF(Y1,"Temmuz")*(CM22)
+COUNTIF(Y1,"Ağustos")*(CM23)
+COUNTIF(Y1,"Eylül")*(CM24)
+COUNTIF(Y1,"Ekim")*(CM25)
+COUNTIF(Y1,"Kasım")*(CP17)
+COUNTIF(Y1,"Aralık")*(CP18)
+COUNTIF(Y1,"Yıllık Toplam")*(CP19)
+COUNTIF(Y1,"Yıllık Ortalama")*(CP20)</f>
        <v>0</v>
      </c>
      <c r="Y13" s="64"/>
      <c r="Z13" s="68"/>
      <c r="AA13" s="77" t="s">
        <v>48</v>
      </c>
      <c r="AB13" s="79" t="s">
        <v>143</v>
      </c>
      <c r="AC13" s="56"/>
      <c r="AD13" s="58"/>
      <c r="AE13" s="60"/>
      <c r="AF13" s="59"/>
      <c r="AG13" s="34" t="s">
        <v>88</v>
      </c>
      <c r="AH13" s="40">
        <v>276.16000000000003</v>
      </c>
      <c r="AI13" s="22">
        <v>325.89999999999998</v>
      </c>
      <c r="AJ13" s="42">
        <f>(AK12+1)</f>
        <v>44835</v>
      </c>
      <c r="AK13" s="42">
        <f>EOMONTH(AJ13,0)</f>
        <v>44865</v>
      </c>
      <c r="AL13" s="43">
        <f>DAY(AK13)</f>
        <v>31</v>
      </c>
      <c r="AM13" s="43">
        <f>NETWORKDAYS.INTL(AJ13,AK13,11)</f>
        <v>26</v>
      </c>
      <c r="AN13" s="43">
        <f>(AL13-AM13)</f>
        <v>5</v>
      </c>
      <c r="AO13" s="41" t="s">
        <v>0</v>
      </c>
      <c r="AP13"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Q13" s="32">
        <f ca="1">(AP13*CH13)</f>
        <v>154.82106599999997</v>
      </c>
      <c r="AR13"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S13" s="25">
        <f ca="1">(AR13*CH13+DC20/30*-1+CE13/30)</f>
        <v>193.12722899999994</v>
      </c>
      <c r="AT13" s="32">
        <f>COUNTIF($A$1,"Mekanik / Teknik Sorumlusu")*($AI$1+AW3)
+COUNTIF($A$1,"Elektrik Sorumlusu")*($AI$2+AW3)
+COUNTIF($A$1,"Otomasyon Sistem Sorumlusu")*($AI$3+AW3)
+COUNTIF($A$1,"Bilgi İşlem Sorumlusu")*($AI$4+AW3)
+COUNTIF($A$1,"Bakım Onarım Sorumlusu")*($AI$5+AW3)
+COUNTIF($A$1,"İskeleler Sorumlusu")*($AI$6+AW3)
+COUNTIF($A$1,"Ambar ve Stok Kontrol Sorumlusu")*($AI$7+AW3)
+COUNTIF($A$1,"Akaryakıt Sorumlusu")*($AI$8+AW3)
+COUNTIF($A$1,"İnsan Kaynakları ve Eğitim Sorumlusu")*($AI$9+AW3)
+COUNTIF($A$1,"Muhasebe ve Finansman Sorumlusu")*($AI$10+AW3)
+COUNTIF($A$1,"İhale ve Satınalma Sorumlusu")*($AI$11+AW3)
+COUNTIF($A$1,"Halkla İlişkiler Sorumlusu")*($AI$12+AW3)
+COUNTIF($A$1,"Yazı İşleri Sorumlusu")*($AI$13+AW3)
+COUNTIF($A$1,"Gişeler Sorumlusu")*($AI$14+AW3)
+COUNTIF($A$1,"Temizlik / Güvenlik Sorumlusu")*($AI$15+AW3)
+COUNTIF($A$1,"İskele Sorumlusu")*($AI$16+AW3)
+COUNTIF($A$1,"1S-Atölye Personeli")*($AI$17+AW3)
+COUNTIF($A$1,"1S-Bilgi İşlem Büro Personeli")*($AI$18+AW3)
+COUNTIF($A$1,"1S-Şoför")*($AI$19+AW3)
+COUNTIF($A$1,"1S-Büro Personeli")*($AI$20+AW3)
+COUNTIF($A$1,"1S-Yönetim / Genel Müdür Sekreteri")*($AI$21+AW3)
+COUNTIF($A$1,"1S-İskele Personeli")*($AI$22+AW3)
+COUNTIF($A$1,"1S-Gişe Personeli")*($AI$23+AW3)
+COUNTIF($A$1,"1S-Çımacı / Palamarcı")*($AI$24+AW3)
+COUNTIF($A$1,"1S-Temizlik Personeli")*($AI$25+AW3)
+COUNTIF($A$1,"2S-Atölye Personeli")*($AI$26+AW3)
+COUNTIF($A$1,"2S-Bilgi İşlem Büro Personeli")*($AI$27+AW3)
+COUNTIF($A$1,"2S-Şoför")*($AI$28+AW3)
+COUNTIF($A$1,"2S-Büro Personeli")*($AI$29+AW3)
+COUNTIF($A$1,"2S-Yönetim / Genel Müdür Sekreteri")*($AI$30+AW3)
+COUNTIF($A$1,"2S-İskele Personeli")*($AI$31+AW3)
+COUNTIF($A$1,"2S-Gişe Personeli")*($AI$32+AW3)
+COUNTIF($A$1,"2S-Çımacı / Palamarcı")*($AI$33+AW3)
+COUNTIF($A$1,"2S-Temizlik Personeli")*($AI$34+AW3)</f>
        <v>252.6</v>
      </c>
      <c r="AU13" s="25">
        <f ca="1">(AT13*CH13)</f>
        <v>154.82106599999997</v>
      </c>
      <c r="AV13" s="41" t="s">
        <v>0</v>
      </c>
      <c r="AW13" s="40">
        <f>(AT13*AL13)</f>
        <v>7830.5999999999995</v>
      </c>
      <c r="AX13" s="25">
        <f ca="1">(AX12/12)</f>
        <v>0</v>
      </c>
      <c r="AY13" s="25">
        <f t="shared" ref="AY13:AZ13" si="37">(AY12/12)</f>
        <v>0</v>
      </c>
      <c r="AZ13" s="25">
        <f t="shared" ca="1" si="37"/>
        <v>0</v>
      </c>
      <c r="BA13" s="25">
        <f t="shared" ref="BA13:BB13" si="38">(BA12/12)</f>
        <v>0</v>
      </c>
      <c r="BB13" s="25">
        <f t="shared" ca="1" si="38"/>
        <v>0</v>
      </c>
      <c r="BC13" s="25">
        <f t="shared" ref="BC13:BL13" si="39">(BC12/12)</f>
        <v>1209.7800000000002</v>
      </c>
      <c r="BD13" s="25">
        <f t="shared" ca="1" si="39"/>
        <v>837.85665229272126</v>
      </c>
      <c r="BE13" s="25">
        <f t="shared" si="39"/>
        <v>1209.7800000000002</v>
      </c>
      <c r="BF13" s="25">
        <f t="shared" si="39"/>
        <v>1209.7800000000002</v>
      </c>
      <c r="BG13" s="25">
        <f t="shared" si="39"/>
        <v>-9.1822302000000029</v>
      </c>
      <c r="BH13" s="25">
        <f t="shared" si="39"/>
        <v>298.35000000000002</v>
      </c>
      <c r="BI13" s="25">
        <f t="shared" si="39"/>
        <v>911.43000000000018</v>
      </c>
      <c r="BJ13" s="25">
        <f t="shared" si="39"/>
        <v>-127.60019999999997</v>
      </c>
      <c r="BK13" s="25">
        <f t="shared" si="39"/>
        <v>-9.1143000000000018</v>
      </c>
      <c r="BL13" s="25">
        <f t="shared" si="39"/>
        <v>0</v>
      </c>
      <c r="BM13" s="37">
        <f ca="1">COUNTIF(O18,"Yok")*(0)
+COUNTIF(O18,"Bayram Yardımı (Kurban)")*($DN$2/DE14)
+COUNTIF(O18,"Bayram Yardımı (Ramazan)")*($DN$3/DE14)
+COUNTIF(O18,"Cenaze Yardımı (Anne-Baba)")*($DN$4)
+COUNTIF(O18,"Cenaze Yardımı (Eş-Çocuk)")*($DN$5)
+COUNTIF(O18,"Cenaze Yardımı (İşçi-İş Kazası Sonucu)")*($DN$6)
+COUNTIF(O18,"Cenaze Yardımı (İşçi-Tabii Sebepler Sonucu)")*($DN$7)
+COUNTIF(O18,"Doğal Afet Yardımı")*($DN$8)
+COUNTIF(O18,"Doğum Yardımı (İşveren)")*($DN$9)
+COUNTIF(O18,"Eğitim Yardımı (Çocuk-Zorunlu Anaokulu)")*($DN$10)
+COUNTIF(O18,"Eğitim Yardımı (Çocuk-İlköğretim)")*($DN$11)
+COUNTIF(O18,"Eğitim Yardımı (Çocuk-Ortaöğretim)")*($DN$12)
+COUNTIF(O18,"Eğitim Yardımı (Çocuk-Lise)")*($DN$13)
+COUNTIF(O18,"Eğitim Yardımı (Çocuk-Yükseköğretim)")*($DN$14)
+COUNTIF(O18,"Eğitim Yardımı (Çocuk-Engelli)")*($DN$15)
+COUNTIF(O18,"Eğitim Yardımı (İşçi-Lise)")*($DN$16)
+COUNTIF(O18,"Eğitim Yardımı (İşçi-Yükseköğretim)")*($DN$17)
+COUNTIF(O18,"Evlilik Yardımı")*($DN$18)
+COUNTIF(O18,"İş Kazası veya Meslek Hastalığı Tazminatı")*($DN$19)
+COUNTIF(O18,"Sünnet Yardımı")*($DN$20)
+COUNTIF(O18,"Temizlik Yardımı")*($DN$21/DE14)
+COUNTIF(P18,"Yok")*(0)
+COUNTIF(P18,"Bayram Yardımı (Kurban)")*($DN$2/DE14)
+COUNTIF(P18,"Bayram Yardımı (Ramazan)")*($DN$3/DE14)
+COUNTIF(P18,"Cenaze Yardımı (Anne-Baba)")*($DN$4)
+COUNTIF(P18,"Cenaze Yardımı (Eş-Çocuk)")*($DN$5)
+COUNTIF(P18,"Cenaze Yardımı (İşçi-İş Kazası Sonucu)")*($DN$6)
+COUNTIF(P18,"Cenaze Yardımı (İşçi-Tabii Sebepler Sonucu)")*($DN$7)
+COUNTIF(P18,"Doğal Afet Yardımı")*($DN$8)
+COUNTIF(P18,"Doğum Yardımı (İşveren)")*($DN$9)
+COUNTIF(P18,"Eğitim Yardımı (Çocuk-Zorunlu Anaokulu)")*($DN$10)
+COUNTIF(P18,"Eğitim Yardımı (Çocuk-İlköğretim)")*($DN$11)
+COUNTIF(P18,"Eğitim Yardımı (Çocuk-Ortaöğretim)")*($DN$12)
+COUNTIF(P18,"Eğitim Yardımı (Çocuk-Lise)")*($DN$13)
+COUNTIF(P18,"Eğitim Yardımı (Çocuk-Yükseköğretim)")*($DN$14)
+COUNTIF(P18,"Eğitim Yardımı (Çocuk-Engelli)")*($DN$15)
+COUNTIF(P18,"Eğitim Yardımı (İşçi-Lise)")*($DN$16)
+COUNTIF(P18,"Eğitim Yardımı (İşçi-Yükseköğretim)")*($DN$17)
+COUNTIF(P18,"Evlilik Yardımı")*($DN$18)
+COUNTIF(P18,"İş Kazası veya Meslek Hastalığı Tazminatı")*($DN$19)
+COUNTIF(P18,"Sünnet Yardımı")*($DN$20)
+COUNTIF(P18,"Temizlik Yardımı")*($DN$21/DE14)
+COUNTIF(Q18,"Yok")*(0)
+COUNTIF(Q18,"Bayram Yardımı (Kurban)")*($DN$2/DE14)
+COUNTIF(Q18,"Bayram Yardımı (Ramazan)")*($DN$3/DE14)
+COUNTIF(Q18,"Cenaze Yardımı (Anne-Baba)")*($DN$4)
+COUNTIF(Q18,"Cenaze Yardımı (Eş-Çocuk)")*($DN$5)
+COUNTIF(Q18,"Cenaze Yardımı (İşçi-İş Kazası Sonucu)")*($DN$6)
+COUNTIF(Q18,"Cenaze Yardımı (İşçi-Tabii Sebepler Sonucu)")*($DN$7)
+COUNTIF(Q18,"Doğal Afet Yardımı")*($DN$8)
+COUNTIF(Q18,"Doğum Yardımı (İşveren)")*($DN$9)
+COUNTIF(Q18,"Eğitim Yardımı (Çocuk-Zorunlu Anaokulu)")*($DN$10)
+COUNTIF(Q18,"Eğitim Yardımı (Çocuk-İlköğretim)")*($DN$11)
+COUNTIF(Q18,"Eğitim Yardımı (Çocuk-Ortaöğretim)")*($DN$12)
+COUNTIF(Q18,"Eğitim Yardımı (Çocuk-Lise)")*($DN$13)
+COUNTIF(Q18,"Eğitim Yardımı (Çocuk-Yükseköğretim)")*($DN$14)
+COUNTIF(Q18,"Eğitim Yardımı (Çocuk-Engelli)")*($DN$15)
+COUNTIF(Q18,"Eğitim Yardımı (İşçi-Lise)")*($DN$16)
+COUNTIF(Q18,"Eğitim Yardımı (İşçi-Yükseköğretim)")*($DN$17)
+COUNTIF(Q18,"Evlilik Yardımı")*($DN$18)
+COUNTIF(Q18,"İş Kazası veya Meslek Hastalığı Tazminatı")*($DN$19)
+COUNTIF(Q18,"Sünnet Yardımı")*($DN$20)
+COUNTIF(Q18,"Temizlik Yardımı")*($DN$21/DE14)</f>
        <v>0</v>
      </c>
      <c r="BN13" s="37">
        <f>COUNTIF(O18,"Yok")*(0)
+COUNTIF(O18,"Bayram Yardımı (Kurban)")*(0)
+COUNTIF(O18,"Bayram Yardımı (Ramazan)")*(0)
+COUNTIF(O18,"Cenaze Yardımı (Anne-Baba)")*($DN$4)
+COUNTIF(O18,"Cenaze Yardımı (Eş-Çocuk)")*($DN$5)
+COUNTIF(O18,"Cenaze Yardımı (İşçi-İş Kazası Sonucu)")*($DN$6)
+COUNTIF(O18,"Cenaze Yardımı (İşçi-Tabii Sebepler Sonucu)")*($DN$7)
+COUNTIF(O18,"Doğal Afet Yardımı")*($DN$8)
+COUNTIF(O18,"Doğum Yardımı (İşveren)")*($DN$9)
+COUNTIF(O18,"Eğitim Yardımı (Çocuk-Zorunlu Anaokulu)")*(0)
+COUNTIF(O18,"Eğitim Yardımı (Çocuk-İlköğretim)")*(0)
+COUNTIF(O18,"Eğitim Yardımı (Çocuk-Ortaöğretim)")*(0)
+COUNTIF(O18,"Eğitim Yardımı (Çocuk-Lise)")*(0)
+COUNTIF(O18,"Eğitim Yardımı (Çocuk-Yükseköğretim)")*(0)
+COUNTIF(O18,"Eğitim Yardımı (Çocuk-Engelli)")*(0)
+COUNTIF(O18,"Eğitim Yardımı (İşçi-Lise)")*(0)
+COUNTIF(O18,"Eğitim Yardımı (İşçi-Yükseköğretim)")*(0)
+COUNTIF(O18,"Evlilik Yardımı")*($DN$18)
+COUNTIF(O18,"İş Kazası veya Meslek Hastalığı Tazminatı")*($DN$19)
+COUNTIF(O18,"Sünnet Yardımı")*(0)
+COUNTIF(O18,"Temizlik Yardımı")*(0)
+COUNTIF(P18,"Yok")*(0)
+COUNTIF(P18,"Bayram Yardımı (Kurban)")*(0)
+COUNTIF(P18,"Bayram Yardımı (Ramazan)")*(0)
+COUNTIF(P18,"Cenaze Yardımı (Anne-Baba)")*($DN$4)
+COUNTIF(P18,"Cenaze Yardımı (Eş-Çocuk)")*($DN$5)
+COUNTIF(P18,"Cenaze Yardımı (İşçi-İş Kazası Sonucu)")*($DN$6)
+COUNTIF(P18,"Cenaze Yardımı (İşçi-Tabii Sebepler Sonucu)")*($DN$7)
+COUNTIF(P18,"Doğal Afet Yardımı")*($DN$8)
+COUNTIF(P18,"Doğum Yardımı (İşveren)")*($DN$9)
+COUNTIF(P18,"Eğitim Yardımı (Çocuk-Zorunlu Anaokulu)")*(0)
+COUNTIF(P18,"Eğitim Yardımı (Çocuk-İlköğretim)")*(0)
+COUNTIF(P18,"Eğitim Yardımı (Çocuk-Ortaöğretim)")*(0)
+COUNTIF(P18,"Eğitim Yardımı (Çocuk-Lise)")*(0)
+COUNTIF(P18,"Eğitim Yardımı (Çocuk-Yükseköğretim)")*(0)
+COUNTIF(P18,"Eğitim Yardımı (Çocuk-Engelli)")*(0)
+COUNTIF(P18,"Eğitim Yardımı (İşçi-Lise)")*(0)
+COUNTIF(P18,"Eğitim Yardımı (İşçi-Yükseköğretim)")*(0)
+COUNTIF(P18,"Evlilik Yardımı")*($DN$18)
+COUNTIF(P18,"İş Kazası veya Meslek Hastalığı Tazminatı")*($DN$19)
+COUNTIF(P18,"Sünnet Yardımı")*(0)
+COUNTIF(P18,"Temizlik Yardımı")*(0)
+COUNTIF(Q18,"Yok")*(0)
+COUNTIF(Q18,"Bayram Yardımı (Kurban)")*(0)
+COUNTIF(Q18,"Bayram Yardımı (Ramazan)")*(0)
+COUNTIF(Q18,"Cenaze Yardımı (Anne-Baba)")*($DN$4)
+COUNTIF(Q18,"Cenaze Yardımı (Eş-Çocuk)")*($DN$5)
+COUNTIF(Q18,"Cenaze Yardımı (İşçi-İş Kazası Sonucu)")*($DN$6)
+COUNTIF(Q18,"Cenaze Yardımı (İşçi-Tabii Sebepler Sonucu)")*($DN$7)
+COUNTIF(Q18,"Doğal Afet Yardımı")*($DN$8)
+COUNTIF(Q18,"Doğum Yardımı (İşveren)")*($DN$9)
+COUNTIF(Q18,"Eğitim Yardımı (Çocuk-Zorunlu Anaokulu)")*(0)
+COUNTIF(Q18,"Eğitim Yardımı (Çocuk-İlköğretim)")*(0)
+COUNTIF(Q18,"Eğitim Yardımı (Çocuk-Ortaöğretim)")*(0)
+COUNTIF(Q18,"Eğitim Yardımı (Çocuk-Lise)")*(0)
+COUNTIF(Q18,"Eğitim Yardımı (Çocuk-Yükseköğretim)")*(0)
+COUNTIF(Q18,"Eğitim Yardımı (Çocuk-Engelli)")*(0)
+COUNTIF(Q18,"Eğitim Yardımı (İşçi-Lise)")*(0)
+COUNTIF(Q18,"Eğitim Yardımı (İşçi-Yükseköğretim)")*(0)
+COUNTIF(Q18,"Evlilik Yardımı")*($DN$18)
+COUNTIF(Q18,"İş Kazası veya Meslek Hastalığı Tazminatı")*($DN$19)
+COUNTIF(Q18,"Sünnet Yardımı")*(0)
+COUNTIF(Q18,"Temizlik Yardımı")*(0)</f>
        <v>0</v>
      </c>
      <c r="BO13" s="37">
        <f ca="1">COUNTIF(O18,"Yok")*(0)
+COUNTIF(O18,"Bayram Yardımı (Kurban)")*($DN$2)
+COUNTIF(O18,"Bayram Yardımı (Ramazan)")*($DN$3)
+COUNTIF(O18,"Cenaze Yardımı (Anne-Baba)")*($DN$4-$DN$4*0.00759)
+COUNTIF(O18,"Cenaze Yardımı (Eş-Çocuk)")*($DN$5-$DN$5*0.00759)
+COUNTIF(O18,"Cenaze Yardımı (İşçi-İş Kazası Sonucu)")*($DN$6-$DN$6*0.00759)
+COUNTIF(O18,"Cenaze Yardımı (İşçi-Tabii Sebepler Sonucu)")*($DN$7-$DN$7*0.00759)
+COUNTIF(O18,"Doğal Afet Yardımı")*($DN$8-$DN$8*0.00759)
+COUNTIF(O18,"Doğum Yardımı (İşveren)")*($DN$9-$DN$9*0.00759)
+COUNTIF(O18,"Eğitim Yardımı (Çocuk-Zorunlu Anaokulu)")*($DN$10*DE14)
+COUNTIF(O18,"Eğitim Yardımı (Çocuk-İlköğretim)")*($DN$11*DE14)
+COUNTIF(O18,"Eğitim Yardımı (Çocuk-Ortaöğretim)")*($DN$12*DE14)
+COUNTIF(O18,"Eğitim Yardımı (Çocuk-Lise)")*($DN$13*DE14)
+COUNTIF(O18,"Eğitim Yardımı (Çocuk-Yükseköğretim)")*($DN$14*DE14)
+COUNTIF(O18,"Eğitim Yardımı (Çocuk-Engelli)")*($DN$15*DE14)
+COUNTIF(O18,"Eğitim Yardımı (İşçi-Lise)")*($DN$16*DE14)
+COUNTIF(O18,"Eğitim Yardımı (İşçi-Yükseköğretim)")*($DN$17*DE14)
+COUNTIF(O18,"Evlilik Yardımı")*($DN$18-$DN$18*0.00759)
+COUNTIF(O18,"İş Kazası veya Meslek Hastalığı Tazminatı")*($DN$19-$DN$19*0.00759)
+COUNTIF(O18,"Sünnet Yardımı")*($DN$20*DE14)
+COUNTIF(O18,"Temizlik Yardımı")*($DN$21)
+COUNTIF(P18,"Yok")*(0)
+COUNTIF(P18,"Bayram Yardımı (Kurban)")*($DN$2)
+COUNTIF(P18,"Bayram Yardımı (Ramazan)")*($DN$3)
+COUNTIF(P18,"Cenaze Yardımı (Anne-Baba)")*($DN$4-$DN$4*0.00759)
+COUNTIF(P18,"Cenaze Yardımı (Eş-Çocuk)")*($DN$5-$DN$5*0.00759)
+COUNTIF(P18,"Cenaze Yardımı (İşçi-İş Kazası Sonucu)")*($DN$6-$DN$6*0.00759)
+COUNTIF(P18,"Cenaze Yardımı (İşçi-Tabii Sebepler Sonucu)")*($DN$7-$DN$7*0.00759)
+COUNTIF(P18,"Doğal Afet Yardımı")*($DN$8-$DN$8*0.00759)
+COUNTIF(P18,"Doğum Yardımı (İşveren)")*($DN$9-$DN$9*0.00759)
+COUNTIF(P18,"Eğitim Yardımı (Çocuk-Zorunlu Anaokulu)")*($DN$10*DE14)
+COUNTIF(P18,"Eğitim Yardımı (Çocuk-İlköğretim)")*($DN$11*DE14)
+COUNTIF(P18,"Eğitim Yardımı (Çocuk-Ortaöğretim)")*($DN$12*DE14)
+COUNTIF(P18,"Eğitim Yardımı (Çocuk-Lise)")*($DN$13*DE14)
+COUNTIF(P18,"Eğitim Yardımı (Çocuk-Yükseköğretim)")*($DN$14*DE14)
+COUNTIF(P18,"Eğitim Yardımı (Çocuk-Engelli)")*($DN$15*DE14)
+COUNTIF(P18,"Eğitim Yardımı (İşçi-Lise)")*($DN$16*DE14)
+COUNTIF(P18,"Eğitim Yardımı (İşçi-Yükseköğretim)")*($DN$17*DE14)
+COUNTIF(P18,"Evlilik Yardımı")*($DN$18-$DN$18*0.00759)
+COUNTIF(P18,"İş Kazası veya Meslek Hastalığı Tazminatı")*($DN$19-$DN$19*0.00759)
+COUNTIF(P18,"Sünnet Yardımı")*($DN$20*DE14)
+COUNTIF(P18,"Temizlik Yardımı")*($DN$21)
+COUNTIF(Q18,"Yok")*(0)
+COUNTIF(Q18,"Bayram Yardımı (Kurban)")*($DN$2)
+COUNTIF(Q18,"Bayram Yardımı (Ramazan)")*($DN$3)
+COUNTIF(Q18,"Cenaze Yardımı (Anne-Baba)")*($DN$4-$DN$4*0.00759)
+COUNTIF(Q18,"Cenaze Yardımı (Eş-Çocuk)")*($DN$5-$DN$5*0.00759)
+COUNTIF(Q18,"Cenaze Yardımı (İşçi-İş Kazası Sonucu)")*($DN$6-$DN$6*0.00759)
+COUNTIF(Q18,"Cenaze Yardımı (İşçi-Tabii Sebepler Sonucu)")*($DN$7-$DN$7*0.00759)
+COUNTIF(Q18,"Doğal Afet Yardımı")*($DN$8-$DN$8*0.00759)
+COUNTIF(Q18,"Doğum Yardımı (İşveren)")*($DN$9-$DN$9*0.00759)
+COUNTIF(Q18,"Eğitim Yardımı (Çocuk-Zorunlu Anaokulu)")*($DN$10*DE14)
+COUNTIF(Q18,"Eğitim Yardımı (Çocuk-İlköğretim)")*($DN$11*DE14)
+COUNTIF(Q18,"Eğitim Yardımı (Çocuk-Ortaöğretim)")*($DN$12*DE14)
+COUNTIF(Q18,"Eğitim Yardımı (Çocuk-Lise)")*($DN$13*DE14)
+COUNTIF(Q18,"Eğitim Yardımı (Çocuk-Yükseköğretim)")*($DN$14*DE14)
+COUNTIF(Q18,"Eğitim Yardımı (Çocuk-Engelli)")*($DN$15*DE14)
+COUNTIF(Q18,"Eğitim Yardımı (İşçi-Lise)")*($DN$16*DE14)
+COUNTIF(Q18,"Eğitim Yardımı (İşçi-Yükseköğretim)")*($DN$17*DE14)
+COUNTIF(Q18,"Evlilik Yardımı")*($DN$18-$DN$18*0.00759)
+COUNTIF(Q18,"İş Kazası veya Meslek Hastalığı Tazminatı")*($DN$19-$DN$19*0.00759)
+COUNTIF(Q18,"Sünnet Yardımı")*($DN$20*DE14)
+COUNTIF(Q18,"Temizlik Yardımı")*($DN$21)</f>
        <v>0</v>
      </c>
      <c r="BP13" s="33" t="s">
        <v>12</v>
      </c>
      <c r="BQ13" s="25">
        <f>COUNTIF(BP13,"Var")*(AU18*0.9*-1)</f>
        <v>-192.61800000000002</v>
      </c>
      <c r="BR13" s="25">
        <f>(BQ13*-1)</f>
        <v>192.61800000000002</v>
      </c>
      <c r="BS13" s="37">
        <f ca="1">(DG9*R18+BT13)*-1</f>
        <v>0</v>
      </c>
      <c r="BT13" s="37">
        <f>(AN18+AK25+AM25+AO25-AT25)*(R18*-1)</f>
        <v>0</v>
      </c>
      <c r="BU13" s="37">
        <f ca="1">(BS13+BT13)</f>
        <v>0</v>
      </c>
      <c r="BV13" s="25" t="s">
        <v>0</v>
      </c>
      <c r="BW13" s="25">
        <f>(5004)</f>
        <v>5004</v>
      </c>
      <c r="BX13" s="25">
        <f>(5004)</f>
        <v>5004</v>
      </c>
      <c r="BY13" s="25">
        <f>(BW13-BX13)</f>
        <v>0</v>
      </c>
      <c r="BZ13" s="25">
        <f>(BY13*0.00759*-1)</f>
        <v>0</v>
      </c>
      <c r="CA13" s="25">
        <f>(0)</f>
        <v>0</v>
      </c>
      <c r="CB13" s="25">
        <f>(BW13-CA13)</f>
        <v>5004</v>
      </c>
      <c r="CC13" s="25">
        <f>(CB13*0.14*-1)</f>
        <v>-700.56000000000006</v>
      </c>
      <c r="CD13" s="25">
        <f>(CB13*0.01*-1)</f>
        <v>-50.04</v>
      </c>
      <c r="CE13" s="25">
        <f>(CT20)</f>
        <v>1100.07</v>
      </c>
      <c r="CF13" s="25">
        <f ca="1">(DW24+CE13)</f>
        <v>-2236.62</v>
      </c>
      <c r="CG13" s="28">
        <f t="shared" si="1"/>
        <v>0.84240999999999999</v>
      </c>
      <c r="CH13" s="28">
        <f ca="1">(100+(100*0.00759*-1)+(100*0.14*-1)+(100*0.01*-1)+(100+100*0.14*-1+100*0.01*-1)*DV24*-1)/100</f>
        <v>0.61290999999999995</v>
      </c>
      <c r="CI13" s="28">
        <f ca="1">(100+(100*0.00759*-1)+(100)*DV24*-1)/100</f>
        <v>0.72241</v>
      </c>
      <c r="CJ13" s="25">
        <f ca="1">(CZ20)</f>
        <v>15428.22</v>
      </c>
      <c r="CK13" s="25">
        <f ca="1">(CJ13*0.205)</f>
        <v>3162.7850999999996</v>
      </c>
      <c r="CL13" s="25">
        <f ca="1">(CJ13*0.01)</f>
        <v>154.28219999999999</v>
      </c>
      <c r="CM13" s="25">
        <f ca="1">(CJ13*0.05*-1)</f>
        <v>-771.41100000000006</v>
      </c>
      <c r="CN13" s="25">
        <f ca="1">(CJ13+CK13+CL13+CM13)</f>
        <v>17973.8763</v>
      </c>
      <c r="CQ13" s="25">
        <f ca="1">(CK3*0.05*-1)</f>
        <v>-771.41100000000006</v>
      </c>
      <c r="CR13" s="25">
        <f ca="1">(CK3+CL3+CM3+CQ13)</f>
        <v>17973.8763</v>
      </c>
      <c r="CS13" s="25" t="s">
        <v>0</v>
      </c>
      <c r="CT13" s="25" t="s">
        <v>0</v>
      </c>
      <c r="CU13" s="25" t="s">
        <v>0</v>
      </c>
      <c r="CV13" s="25" t="s">
        <v>0</v>
      </c>
      <c r="CW13" s="25">
        <f>(0)</f>
        <v>0</v>
      </c>
      <c r="CX13" s="25">
        <f>(BW7+CC7+CD7-CW13)</f>
        <v>5500.3499999999995</v>
      </c>
      <c r="CY13" s="25">
        <f>SUM(CX$2:$CX13)</f>
        <v>58522.499999999993</v>
      </c>
      <c r="CZ13" s="29">
        <f t="shared" si="2"/>
        <v>0.2</v>
      </c>
      <c r="DA13" s="33">
        <f t="shared" si="3"/>
        <v>0</v>
      </c>
      <c r="DB13" s="25">
        <f>(DC3)</f>
        <v>638.01</v>
      </c>
      <c r="DC13" s="25">
        <f ca="1">(DW17+DB13)</f>
        <v>-487</v>
      </c>
      <c r="DD13" s="28">
        <f t="shared" si="1"/>
        <v>0.84240999999999999</v>
      </c>
      <c r="DE13" s="28">
        <f ca="1">(100+(100*0.00759*-1)+(100*0.14*-1)+(100*0.01*-1)+(100+100*0.14*-1+100*0.01*-1)*DV17*-1)/100</f>
        <v>0.71491000000000005</v>
      </c>
      <c r="DF13" s="28">
        <f ca="1">(100+(100*0.00759*-1)+(100)*DV17*-1)/100</f>
        <v>0.84240999999999999</v>
      </c>
      <c r="DG13" s="25">
        <f ca="1">(DI3)</f>
        <v>9496.8100000000013</v>
      </c>
      <c r="DH13" s="25">
        <f ca="1">(DG13*0.205)</f>
        <v>1946.8460500000001</v>
      </c>
      <c r="DI13" s="25">
        <f ca="1">(DG13*0.01)</f>
        <v>94.968100000000021</v>
      </c>
      <c r="DM13" s="34" t="s">
        <v>69</v>
      </c>
      <c r="DN13" s="25">
        <v>2416.4</v>
      </c>
      <c r="DX13" s="24">
        <v>11</v>
      </c>
      <c r="DY13" s="35">
        <v>5.5</v>
      </c>
      <c r="DZ13" s="36">
        <v>0.13</v>
      </c>
      <c r="EA13" s="49"/>
    </row>
    <row r="14" spans="1:131" ht="39.950000000000003" customHeight="1" x14ac:dyDescent="0.25">
      <c r="A14" s="70"/>
      <c r="B14" s="71"/>
      <c r="C14" s="57"/>
      <c r="D14" s="57"/>
      <c r="E14" s="72"/>
      <c r="F14" s="72"/>
      <c r="G14" s="57"/>
      <c r="H14" s="57"/>
      <c r="I14" s="57"/>
      <c r="J14" s="74"/>
      <c r="K14" s="57"/>
      <c r="L14" s="57"/>
      <c r="M14" s="57"/>
      <c r="N14" s="57"/>
      <c r="O14" s="57"/>
      <c r="P14" s="57"/>
      <c r="Q14" s="57"/>
      <c r="R14" s="57"/>
      <c r="S14" s="57"/>
      <c r="T14" s="57"/>
      <c r="U14" s="73"/>
      <c r="V14" s="15" t="s">
        <v>39</v>
      </c>
      <c r="W14" s="16">
        <f t="shared" ref="W14:W23" ca="1" si="40">IF(X14&gt;0,X14,X14*-1)</f>
        <v>0</v>
      </c>
      <c r="X14" s="16">
        <f ca="1">COUNTIF(Y1,"Ocak")*(BO10)
+COUNTIF(Y1,"Şubat")*(BO11)
+COUNTIF(Y1,"Mart")*(BO12)
+COUNTIF(Y1,"Nisan")*(BO13)
+COUNTIF(Y1,"Mayıs")*(CG4)
+COUNTIF(Y1,"Haziran")*(CG5)
+COUNTIF(Y1,"Temmuz")*(CG6)
+COUNTIF(Y1,"Ağustos")*(CG7)
+COUNTIF(Y1,"Eylül")*(BO4)
+COUNTIF(Y1,"Ekim")*(BO5)
+COUNTIF(Y1,"Kasım")*(BO6)
+COUNTIF(Y1,"Aralık")*(BO7)
+COUNTIF(Y1,"Yıllık Toplam")*(BO8)
+COUNTIF(Y1,"Yıllık Ortalama")*(BO9)</f>
        <v>0</v>
      </c>
      <c r="Y14" s="64"/>
      <c r="Z14" s="68"/>
      <c r="AA14" s="77" t="s">
        <v>144</v>
      </c>
      <c r="AB14" s="78" t="s">
        <v>145</v>
      </c>
      <c r="AC14" s="56"/>
      <c r="AD14" s="58"/>
      <c r="AE14" s="60"/>
      <c r="AF14" s="59"/>
      <c r="AG14" s="34" t="s">
        <v>89</v>
      </c>
      <c r="AH14" s="40">
        <v>276.16000000000003</v>
      </c>
      <c r="AI14" s="22">
        <v>325.89999999999998</v>
      </c>
      <c r="AJ14" s="42">
        <f>(AK13+1)</f>
        <v>44866</v>
      </c>
      <c r="AK14" s="42">
        <f>EOMONTH(AJ14,0)</f>
        <v>44895</v>
      </c>
      <c r="AL14" s="43">
        <f>DAY(AK14)</f>
        <v>30</v>
      </c>
      <c r="AM14" s="43">
        <f>NETWORKDAYS.INTL(AJ14,AK14,11)</f>
        <v>26</v>
      </c>
      <c r="AN14" s="43">
        <f>(AL14-AM14)</f>
        <v>4</v>
      </c>
      <c r="AO14" s="41" t="s">
        <v>0</v>
      </c>
      <c r="AP14"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Q14" s="32">
        <f ca="1">(AP14*DK6)</f>
        <v>154.82106599999997</v>
      </c>
      <c r="AR14"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S14" s="25">
        <f ca="1">(AR14*DK6+DC21/30*-1+DH6/30)</f>
        <v>193.12722899999994</v>
      </c>
      <c r="AT14" s="32">
        <f>COUNTIF($A$1,"Mekanik / Teknik Sorumlusu")*($AI$1+AS7)
+COUNTIF($A$1,"Elektrik Sorumlusu")*($AI$2+AS7)
+COUNTIF($A$1,"Otomasyon Sistem Sorumlusu")*($AI$3+AS7)
+COUNTIF($A$1,"Bilgi İşlem Sorumlusu")*($AI$4+AS7)
+COUNTIF($A$1,"Bakım Onarım Sorumlusu")*($AI$5+AS7)
+COUNTIF($A$1,"İskeleler Sorumlusu")*($AI$6+AS7)
+COUNTIF($A$1,"Ambar ve Stok Kontrol Sorumlusu")*($AI$7+AS7)
+COUNTIF($A$1,"Akaryakıt Sorumlusu")*($AI$8+AS7)
+COUNTIF($A$1,"İnsan Kaynakları ve Eğitim Sorumlusu")*($AI$9+AS7)
+COUNTIF($A$1,"Muhasebe ve Finansman Sorumlusu")*($AI$10+AS7)
+COUNTIF($A$1,"İhale ve Satınalma Sorumlusu")*($AI$11+AS7)
+COUNTIF($A$1,"Halkla İlişkiler Sorumlusu")*($AI$12+AS7)
+COUNTIF($A$1,"Yazı İşleri Sorumlusu")*($AI$13+AS7)
+COUNTIF($A$1,"Gişeler Sorumlusu")*($AI$14+AS7)
+COUNTIF($A$1,"Temizlik / Güvenlik Sorumlusu")*($AI$15+AS7)
+COUNTIF($A$1,"İskele Sorumlusu")*($AI$16+AS7)
+COUNTIF($A$1,"1S-Atölye Personeli")*($AI$17+AS7)
+COUNTIF($A$1,"1S-Bilgi İşlem Büro Personeli")*($AI$18+AS7)
+COUNTIF($A$1,"1S-Şoför")*($AI$19+AS7)
+COUNTIF($A$1,"1S-Büro Personeli")*($AI$20+AS7)
+COUNTIF($A$1,"1S-Yönetim / Genel Müdür Sekreteri")*($AI$21+AS7)
+COUNTIF($A$1,"1S-İskele Personeli")*($AI$22+AS7)
+COUNTIF($A$1,"1S-Gişe Personeli")*($AI$23+AS7)
+COUNTIF($A$1,"1S-Çımacı / Palamarcı")*($AI$24+AS7)
+COUNTIF($A$1,"1S-Temizlik Personeli")*($AI$25+AS7)
+COUNTIF($A$1,"2S-Atölye Personeli")*($AI$26+AS7)
+COUNTIF($A$1,"2S-Bilgi İşlem Büro Personeli")*($AI$27+AS7)
+COUNTIF($A$1,"2S-Şoför")*($AI$28+AS7)
+COUNTIF($A$1,"2S-Büro Personeli")*($AI$29+AS7)
+COUNTIF($A$1,"2S-Yönetim / Genel Müdür Sekreteri")*($AI$30+AS7)
+COUNTIF($A$1,"2S-İskele Personeli")*($AI$31+AS7)
+COUNTIF($A$1,"2S-Gişe Personeli")*($AI$32+AS7)
+COUNTIF($A$1,"2S-Çımacı / Palamarcı")*($AI$33+AS7)
+COUNTIF($A$1,"2S-Temizlik Personeli")*($AI$34+AS7)</f>
        <v>252.6</v>
      </c>
      <c r="AU14" s="25">
        <f ca="1">(AT14*DK6)</f>
        <v>154.82106599999997</v>
      </c>
      <c r="AV14" s="41" t="s">
        <v>0</v>
      </c>
      <c r="AW14" s="40">
        <f>(AT14*AL14)</f>
        <v>7578</v>
      </c>
      <c r="BB14" s="25">
        <f>(AR25+AV25+AW25-AX25)</f>
        <v>1067.3519999999999</v>
      </c>
      <c r="BC14" s="25">
        <f ca="1">(BB14*DV18*-1)</f>
        <v>-179.35642779594264</v>
      </c>
      <c r="BD14" s="25">
        <f ca="1">(ROUND((BE14+BF14),2))</f>
        <v>492.54</v>
      </c>
      <c r="BE14" s="25">
        <f>(4.7*H18)</f>
        <v>488.8</v>
      </c>
      <c r="BF14" s="25">
        <f ca="1">(BD14*0.00759)</f>
        <v>3.7383786000000003</v>
      </c>
      <c r="BG14" s="25">
        <f ca="1">(ROUND((BE14+BF14),2))</f>
        <v>492.54</v>
      </c>
      <c r="BH14" s="25">
        <f ca="1">(BD14)</f>
        <v>492.54</v>
      </c>
      <c r="BI14" s="27">
        <v>18</v>
      </c>
      <c r="BJ14" s="25">
        <f>(AY18*BI14)</f>
        <v>3852.36</v>
      </c>
      <c r="BK14" s="25">
        <f ca="1">(BJ14*DE14)</f>
        <v>2695.0229013967783</v>
      </c>
      <c r="BL14" s="27">
        <v>30</v>
      </c>
      <c r="BM14" s="25">
        <f>(773.25/30*BL14)</f>
        <v>773.25</v>
      </c>
      <c r="BN14" s="25">
        <f ca="1">(BM14*DE14)</f>
        <v>540.94800550962498</v>
      </c>
      <c r="BO14" s="27">
        <v>30</v>
      </c>
      <c r="BP14" s="25">
        <f>(386.62/30*BO14)</f>
        <v>386.62</v>
      </c>
      <c r="BQ14" s="25">
        <f ca="1">(BP14*DE14)</f>
        <v>270.47050486922888</v>
      </c>
      <c r="BR14" s="25">
        <f>COUNTIF($A$1,"1S-Çımacı / Palamarcı")*(8.28*I18)
+COUNTIF($A$1,"2S-Çımacı / Palamarcı")*(8.28*I18)
+COUNTIF($A$1,"1S-Temizlik Personeli")*(5.52*I18)
+COUNTIF($A$1,"2S-Temizlik Personeli")*(5.52*I18)</f>
        <v>0</v>
      </c>
      <c r="BS14" s="25">
        <f ca="1">(BR14*DE14)</f>
        <v>0</v>
      </c>
      <c r="BT14" s="25">
        <f>COUNTIF(J18,"Var")*($AP$1)</f>
        <v>0</v>
      </c>
      <c r="BU14" s="25">
        <f ca="1">COUNTIF(J18,"Var")*((BT14+(BT14*0.00759*-1)+((BT14-BV14)*0.14*-1)+((BT14-BV14)*0.01*-1)+(BT14+((BT14-BV14)*0.14*-1)+((BT14-BV14)*0.01*-1))*DV18*-1))</f>
        <v>0</v>
      </c>
      <c r="BV14" s="25">
        <f>COUNTIF(J18,"Var")*($AL$1)</f>
        <v>0</v>
      </c>
      <c r="BW14" s="25">
        <f>(0)</f>
        <v>0</v>
      </c>
      <c r="BX14" s="25">
        <f>($AP$2*K18)</f>
        <v>0</v>
      </c>
      <c r="BY14" s="25">
        <f ca="1">(BX14+(BX14*0.00759*-1)+((BX14-BZ14)*0.14*-1)+((BX14-BZ14)*0.01*-1)+(BX14+((BX14-BZ14)*0.14*-1)+((BX14-BZ14)*0.01*-1))*DV18*-1)</f>
        <v>0</v>
      </c>
      <c r="BZ14" s="25">
        <f>($AL$2*K18)</f>
        <v>0</v>
      </c>
      <c r="CA14" s="25">
        <f>($AL$5*K18)</f>
        <v>0</v>
      </c>
      <c r="CB14" s="25">
        <f>($AP$3*L18)</f>
        <v>0</v>
      </c>
      <c r="CC14" s="25">
        <f ca="1">(CB14+(CB14*0.00759*-1)+((CB14-CD14)*0.14*-1)+((CB14-CD14)*0.01*-1)+(CB14+((CB14-CD14)*0.14*-1)+((CB14-CD14)*0.01*-1))*DV18*-1)</f>
        <v>0</v>
      </c>
      <c r="CD14" s="25">
        <f>($AL$3*L18)</f>
        <v>0</v>
      </c>
      <c r="CE14" s="25">
        <f>($AL$6*L18)</f>
        <v>0</v>
      </c>
      <c r="CF14" s="25">
        <f>($AP$4*M18)</f>
        <v>0</v>
      </c>
      <c r="CG14" s="25">
        <f ca="1">(CF14+(CF14*0.00759*-1)+((CF14-CH14)*0.14*-1)+((CF14-CH14)*0.01*-1)+(CF14+((CF14-CH14)*0.14*-1)+((CF14-CH14)*0.01*-1))*DV18*-1)</f>
        <v>0</v>
      </c>
      <c r="CH14" s="25">
        <f>($AL$2*M18)</f>
        <v>0</v>
      </c>
      <c r="CI14" s="25">
        <f>($AL$5*M18)</f>
        <v>0</v>
      </c>
      <c r="CJ14" s="25">
        <f>($AP$5*N18)</f>
        <v>0</v>
      </c>
      <c r="CK14" s="25">
        <f ca="1">(CJ14+(CJ14*0.00759*-1)+((CJ14-CL14)*0.14*-1)+((CJ14-CL14)*0.01*-1)+(CJ14+((CJ14-CL14)*0.14*-1)+((CJ14-CL14)*0.01*-1))*DV18*-1)</f>
        <v>0</v>
      </c>
      <c r="CL14" s="25">
        <f>($AL$3*N18)</f>
        <v>0</v>
      </c>
      <c r="CM14" s="25">
        <f>($AL$6*N18)</f>
        <v>0</v>
      </c>
      <c r="CN14" s="44">
        <f>(K18+L18+M18+N18)</f>
        <v>0</v>
      </c>
      <c r="CO14" s="25">
        <f t="shared" ref="CO14:CP18" si="41">(BX14+CB14+CF14+CJ14)</f>
        <v>0</v>
      </c>
      <c r="CP14" s="25">
        <f t="shared" ca="1" si="41"/>
        <v>0</v>
      </c>
      <c r="CQ14" s="25">
        <f>IF(BZ14+CD14+CH14+CL14&gt;=$AL$5*2,$AL$5*2,BZ14+CD14+CH14+CL14)</f>
        <v>0</v>
      </c>
      <c r="CR14" s="25">
        <f>(CA14+CE14+CI14+CM14)</f>
        <v>0</v>
      </c>
      <c r="CS14" s="41" t="s">
        <v>0</v>
      </c>
      <c r="CT14" s="41" t="s">
        <v>0</v>
      </c>
      <c r="CU14" s="41" t="s">
        <v>0</v>
      </c>
      <c r="CV14" s="41" t="s">
        <v>0</v>
      </c>
      <c r="CW14" s="25">
        <f t="shared" ref="CW14" si="42">(CW2+CW3+CW4+CW5+CW6+CW7+CW8+CW9+CW10+CW11+CW12+CW13)</f>
        <v>0</v>
      </c>
      <c r="CX14" s="25">
        <f t="shared" ref="CX14" si="43">(CX2+CX3+CX4+CX5+CX6+CX7+CX8+CX9+CX10+CX11+CX12+CX13)</f>
        <v>58522.499999999993</v>
      </c>
      <c r="CY14" s="41" t="s">
        <v>0</v>
      </c>
      <c r="CZ14" s="24" t="s">
        <v>0</v>
      </c>
      <c r="DA14" s="24" t="s">
        <v>0</v>
      </c>
      <c r="DB14" s="25">
        <f>(DC4)</f>
        <v>638.01</v>
      </c>
      <c r="DC14" s="25">
        <f ca="1">(DW18+DB14)</f>
        <v>-1141.96</v>
      </c>
      <c r="DD14" s="28">
        <f t="shared" si="1"/>
        <v>0.84240999999999999</v>
      </c>
      <c r="DE14" s="28">
        <f ca="1">(100+(100*0.00759*-1)+(100*0.14*-1)+(100*0.01*-1)+(100+100*0.14*-1+100*0.01*-1)*DV18*-1)/100</f>
        <v>0.69957711672761069</v>
      </c>
      <c r="DF14" s="28">
        <f ca="1">(100+(100*0.00759*-1)+(100)*DV18*-1)/100</f>
        <v>0.82437131379718909</v>
      </c>
      <c r="DG14" s="25">
        <f ca="1">(DI4)</f>
        <v>13135.150000000001</v>
      </c>
      <c r="DH14" s="25">
        <f ca="1">(DG14*0.205)</f>
        <v>2692.7057500000001</v>
      </c>
      <c r="DI14" s="25">
        <f ca="1">(DG14*0.01)</f>
        <v>131.35150000000002</v>
      </c>
      <c r="DM14" s="34" t="s">
        <v>70</v>
      </c>
      <c r="DN14" s="25">
        <v>2761.6</v>
      </c>
      <c r="DS14" s="25">
        <f>(0)</f>
        <v>0</v>
      </c>
      <c r="DT14" s="29">
        <f>(0%)</f>
        <v>0</v>
      </c>
      <c r="DX14" s="24">
        <v>12</v>
      </c>
      <c r="DY14" s="35">
        <v>6</v>
      </c>
      <c r="DZ14" s="36">
        <v>0.14000000000000001</v>
      </c>
      <c r="EA14" s="49"/>
    </row>
    <row r="15" spans="1:131" ht="39.950000000000003" customHeight="1" x14ac:dyDescent="0.25">
      <c r="A15" s="3">
        <f t="shared" ref="A15:A26" ca="1" si="44">(DV15)</f>
        <v>0.15</v>
      </c>
      <c r="B15" s="4" t="s">
        <v>13</v>
      </c>
      <c r="C15" s="51">
        <v>0</v>
      </c>
      <c r="D15" s="52">
        <v>0</v>
      </c>
      <c r="E15" s="52">
        <v>0</v>
      </c>
      <c r="F15" s="52">
        <v>0</v>
      </c>
      <c r="G15" s="51">
        <v>26</v>
      </c>
      <c r="H15" s="51">
        <v>104</v>
      </c>
      <c r="I15" s="51">
        <v>0</v>
      </c>
      <c r="J15" s="53" t="s">
        <v>1</v>
      </c>
      <c r="K15" s="51">
        <v>0</v>
      </c>
      <c r="L15" s="51">
        <v>0</v>
      </c>
      <c r="M15" s="51">
        <v>0</v>
      </c>
      <c r="N15" s="51">
        <v>0</v>
      </c>
      <c r="O15" s="54" t="s">
        <v>1</v>
      </c>
      <c r="P15" s="54" t="s">
        <v>1</v>
      </c>
      <c r="Q15" s="54" t="s">
        <v>1</v>
      </c>
      <c r="R15" s="55">
        <v>0</v>
      </c>
      <c r="S15" s="5">
        <f ca="1">(DI1-BC1+BQ10+BS10+DD6+DO15+DP15+DC11-T15)</f>
        <v>6084.6231023</v>
      </c>
      <c r="T15" s="5">
        <f ca="1">(AJ22+AL22+AN22+AP22+BT10)</f>
        <v>898.06696979999981</v>
      </c>
      <c r="U15" s="6">
        <f ca="1">(S15+T15)</f>
        <v>6982.6900721000002</v>
      </c>
      <c r="V15" s="15" t="s">
        <v>40</v>
      </c>
      <c r="W15" s="16">
        <f t="shared" si="40"/>
        <v>2519.748</v>
      </c>
      <c r="X15" s="16">
        <f>COUNTIF(Y1,"Ocak")*(BQ10)*-1
+COUNTIF(Y1,"Şubat")*(BQ11)*-1
+COUNTIF(Y1,"Mart")*(BQ12)*-1
+COUNTIF(Y1,"Nisan")*(BQ13)*-1
+COUNTIF(Y1,"Mayıs")*(CI4)*-1
+COUNTIF(Y1,"Haziran")*(CI5)*-1
+COUNTIF(Y1,"Temmuz")*(CI6)*-1
+COUNTIF(Y1,"Ağustos")*(CI7)*-1
+COUNTIF(Y1,"Eylül")*(BQ4)*-1
+COUNTIF(Y1,"Ekim")*(BQ5)*-1
+COUNTIF(Y1,"Kasım")*(BQ6)*-1
+COUNTIF(Y1,"Aralık")*(BQ7)*-1
+COUNTIF(Y1,"Yıllık Toplam")*(BQ8)*-1
+COUNTIF(Y1,"Yıllık Ortalama")*(BQ9)*-1</f>
        <v>2519.748</v>
      </c>
      <c r="Y15" s="64"/>
      <c r="Z15" s="68"/>
      <c r="AA15" s="77" t="s">
        <v>28</v>
      </c>
      <c r="AB15" s="78" t="s">
        <v>132</v>
      </c>
      <c r="AC15" s="56"/>
      <c r="AD15" s="58"/>
      <c r="AE15" s="60"/>
      <c r="AF15" s="59"/>
      <c r="AG15" s="34" t="s">
        <v>90</v>
      </c>
      <c r="AH15" s="32">
        <v>276.16000000000003</v>
      </c>
      <c r="AI15" s="22">
        <v>325.89999999999998</v>
      </c>
      <c r="AJ15" s="40">
        <f t="shared" ref="AJ15:AJ21" si="45">(AY15*AQ15)</f>
        <v>6634.62</v>
      </c>
      <c r="AK15" s="25">
        <f ca="1">(AJ15*DE11)</f>
        <v>4743.1561842000001</v>
      </c>
      <c r="AL15" s="25">
        <f t="shared" ref="AL15:AL21" si="46">(0.58*C15)</f>
        <v>0</v>
      </c>
      <c r="AM15" s="25">
        <f ca="1">(AL15*DE11)</f>
        <v>0</v>
      </c>
      <c r="AN15" s="25">
        <f t="shared" ref="AN15:AN21" si="47">(AY15/7.5*1.6*D15)</f>
        <v>0</v>
      </c>
      <c r="AO15" s="45">
        <v>44562</v>
      </c>
      <c r="AP15" s="42">
        <f t="shared" ref="AP15:AP21" si="48">EOMONTH(AO15,0)</f>
        <v>44592</v>
      </c>
      <c r="AQ15" s="43">
        <f>DAY(AP15)</f>
        <v>31</v>
      </c>
      <c r="AR15" s="43">
        <f>NETWORKDAYS.INTL(AO15,AP15,11)</f>
        <v>26</v>
      </c>
      <c r="AS15" s="43">
        <f>(AQ15-AR15)</f>
        <v>5</v>
      </c>
      <c r="AT15" s="41" t="s">
        <v>0</v>
      </c>
      <c r="AU15" s="32">
        <f t="shared" ref="AU15:AU20" si="49">COUNTIF($A$1,"Mekanik / Teknik Sorumlusu")*($AH$1)
+COUNTIF($A$1,"Elektrik Sorumlusu")*($AH$2)
+COUNTIF($A$1,"Otomasyon Sistem Sorumlusu")*($AH$3)
+COUNTIF($A$1,"Bilgi İşlem Sorumlusu")*($AH$4)
+COUNTIF($A$1,"Bakım Onarım Sorumlusu")*($AH$5)
+COUNTIF($A$1,"İskeleler Sorumlusu")*($AH$6)
+COUNTIF($A$1,"Ambar ve Stok Kontrol Sorumlusu")*($AH$7)
+COUNTIF($A$1,"Akaryakıt Sorumlusu")*($AH$8)
+COUNTIF($A$1,"İnsan Kaynakları ve Eğitim Sorumlusu")*($AH$9)
+COUNTIF($A$1,"Muhasebe ve Finansman Sorumlusu")*($AH$10)
+COUNTIF($A$1,"İhale ve Satınalma Sorumlusu")*($AH$11)
+COUNTIF($A$1,"Halkla İlişkiler Sorumlusu")*($AH$12)
+COUNTIF($A$1,"Yazı İşleri Sorumlusu")*($AH$13)
+COUNTIF($A$1,"Gişeler Sorumlusu")*($AH$14)
+COUNTIF($A$1,"Temizlik / Güvenlik Sorumlusu")*($AH$15)
+COUNTIF($A$1,"İskele Sorumlusu")*($AH$16)
+COUNTIF($A$1,"1S-Atölye Personeli")*($AH$17)
+COUNTIF($A$1,"1S-Bilgi İşlem Büro Personeli")*($AH$18)
+COUNTIF($A$1,"1S-Şoför")*($AH$19)
+COUNTIF($A$1,"1S-Büro Personeli")*($AH$20)
+COUNTIF($A$1,"1S-Yönetim / Genel Müdür Sekreteri")*($AH$21)
+COUNTIF($A$1,"1S-İskele Personeli")*($AH$22)
+COUNTIF($A$1,"1S-Gişe Personeli")*($AH$23)
+COUNTIF($A$1,"1S-Çımacı / Palamarcı")*($AH$24)
+COUNTIF($A$1,"1S-Temizlik Personeli")*($AH$25)
+COUNTIF($A$1,"2S-Atölye Personeli")*($AH$26)
+COUNTIF($A$1,"2S-Bilgi İşlem Büro Personeli")*($AH$27)
+COUNTIF($A$1,"2S-Şoför")*($AH$28)
+COUNTIF($A$1,"2S-Büro Personeli")*($AH$29)
+COUNTIF($A$1,"2S-Yönetim / Genel Müdür Sekreteri")*($AH$30)
+COUNTIF($A$1,"2S-İskele Personeli")*($AH$31)
+COUNTIF($A$1,"2S-Gişe Personeli")*($AH$32)
+COUNTIF($A$1,"2S-Çımacı / Palamarcı")*($AH$33)
+COUNTIF($A$1,"2S-Temizlik Personeli")*($AH$34)</f>
        <v>214.02</v>
      </c>
      <c r="AV15" s="32">
        <f ca="1">(AU15*DE11)</f>
        <v>153.00503820000003</v>
      </c>
      <c r="AW15" s="32">
        <f t="shared" ref="AW15:AW20" si="50">COUNTIF($A$1,"Mekanik / Teknik Sorumlusu")*($AH$1)
+COUNTIF($A$1,"Elektrik Sorumlusu")*($AH$2)
+COUNTIF($A$1,"Otomasyon Sistem Sorumlusu")*($AH$3)
+COUNTIF($A$1,"Bilgi İşlem Sorumlusu")*($AH$4)
+COUNTIF($A$1,"Bakım Onarım Sorumlusu")*($AH$5)
+COUNTIF($A$1,"İskeleler Sorumlusu")*($AH$6)
+COUNTIF($A$1,"Ambar ve Stok Kontrol Sorumlusu")*($AH$7)
+COUNTIF($A$1,"Akaryakıt Sorumlusu")*($AH$8)
+COUNTIF($A$1,"İnsan Kaynakları ve Eğitim Sorumlusu")*($AH$9)
+COUNTIF($A$1,"Muhasebe ve Finansman Sorumlusu")*($AH$10)
+COUNTIF($A$1,"İhale ve Satınalma Sorumlusu")*($AH$11)
+COUNTIF($A$1,"Halkla İlişkiler Sorumlusu")*($AH$12)
+COUNTIF($A$1,"Yazı İşleri Sorumlusu")*($AH$13)
+COUNTIF($A$1,"Gişeler Sorumlusu")*($AH$14)
+COUNTIF($A$1,"Temizlik / Güvenlik Sorumlusu")*($AH$15)
+COUNTIF($A$1,"İskele Sorumlusu")*($AH$16)
+COUNTIF($A$1,"1S-Atölye Personeli")*($AH$17)
+COUNTIF($A$1,"1S-Bilgi İşlem Büro Personeli")*($AH$18)
+COUNTIF($A$1,"1S-Şoför")*($AH$19)
+COUNTIF($A$1,"1S-Büro Personeli")*($AH$20)
+COUNTIF($A$1,"1S-Yönetim / Genel Müdür Sekreteri")*($AH$21)
+COUNTIF($A$1,"1S-İskele Personeli")*($AH$22)
+COUNTIF($A$1,"1S-Gişe Personeli")*($AH$23)
+COUNTIF($A$1,"1S-Çımacı / Palamarcı")*($AH$24)
+COUNTIF($A$1,"1S-Temizlik Personeli")*($AH$25)
+COUNTIF($A$1,"2S-Atölye Personeli")*($AH$26)
+COUNTIF($A$1,"2S-Bilgi İşlem Büro Personeli")*($AH$27)
+COUNTIF($A$1,"2S-Şoför")*($AH$28)
+COUNTIF($A$1,"2S-Büro Personeli")*($AH$29)
+COUNTIF($A$1,"2S-Yönetim / Genel Müdür Sekreteri")*($AH$30)
+COUNTIF($A$1,"2S-İskele Personeli")*($AH$31)
+COUNTIF($A$1,"2S-Gişe Personeli")*($AH$32)
+COUNTIF($A$1,"2S-Çımacı / Palamarcı")*($AH$33)
+COUNTIF($A$1,"2S-Temizlik Personeli")*($AH$34)</f>
        <v>214.02</v>
      </c>
      <c r="AX15" s="25">
        <f ca="1">(AW15*DE11+DL1/30*-1+DB11/30)</f>
        <v>175.53805020000001</v>
      </c>
      <c r="AY15" s="32">
        <f t="shared" ref="AY15:AY20" si="51">COUNTIF($A$1,"Mekanik / Teknik Sorumlusu")*($AH$1+AL15)
+COUNTIF($A$1,"Elektrik Sorumlusu")*($AH$2+AL15)
+COUNTIF($A$1,"Otomasyon Sistem Sorumlusu")*($AH$3+AL15)
+COUNTIF($A$1,"Bilgi İşlem Sorumlusu")*($AH$4+AL15)
+COUNTIF($A$1,"Bakım Onarım Sorumlusu")*($AH$5+AL15)
+COUNTIF($A$1,"İskeleler Sorumlusu")*($AH$6+AL15)
+COUNTIF($A$1,"Ambar ve Stok Kontrol Sorumlusu")*($AH$7+AL15)
+COUNTIF($A$1,"Akaryakıt Sorumlusu")*($AH$8+AL15)
+COUNTIF($A$1,"İnsan Kaynakları ve Eğitim Sorumlusu")*($AH$9+AL15)
+COUNTIF($A$1,"Muhasebe ve Finansman Sorumlusu")*($AH$10+AL15)
+COUNTIF($A$1,"İhale ve Satınalma Sorumlusu")*($AH$11+AL15)
+COUNTIF($A$1,"Halkla İlişkiler Sorumlusu")*($AH$12+AL15)
+COUNTIF($A$1,"Yazı İşleri Sorumlusu")*($AH$13+AL15)
+COUNTIF($A$1,"Gişeler Sorumlusu")*($AH$14+AL15)
+COUNTIF($A$1,"Temizlik / Güvenlik Sorumlusu")*($AH$15+AL15)
+COUNTIF($A$1,"İskele Sorumlusu")*($AH$16+AL15)
+COUNTIF($A$1,"1S-Atölye Personeli")*($AH$17+AL15)
+COUNTIF($A$1,"1S-Bilgi İşlem Büro Personeli")*($AH$18+AL15)
+COUNTIF($A$1,"1S-Şoför")*($AH$19+AL15)
+COUNTIF($A$1,"1S-Büro Personeli")*($AH$20+AL15)
+COUNTIF($A$1,"1S-Yönetim / Genel Müdür Sekreteri")*($AH$21+AL15)
+COUNTIF($A$1,"1S-İskele Personeli")*($AH$22+AL15)
+COUNTIF($A$1,"1S-Gişe Personeli")*($AH$23+AL15)
+COUNTIF($A$1,"1S-Çımacı / Palamarcı")*($AH$24+AL15)
+COUNTIF($A$1,"1S-Temizlik Personeli")*($AH$25+AL15)
+COUNTIF($A$1,"2S-Atölye Personeli")*($AH$26+AL15)
+COUNTIF($A$1,"2S-Bilgi İşlem Büro Personeli")*($AH$27+AL15)
+COUNTIF($A$1,"2S-Şoför")*($AH$28+AL15)
+COUNTIF($A$1,"2S-Büro Personeli")*($AH$29+AL15)
+COUNTIF($A$1,"2S-Yönetim / Genel Müdür Sekreteri")*($AH$30+AL15)
+COUNTIF($A$1,"2S-İskele Personeli")*($AH$31+AL15)
+COUNTIF($A$1,"2S-Gişe Personeli")*($AH$32+AL15)
+COUNTIF($A$1,"2S-Çımacı / Palamarcı")*($AH$33+AL15)
+COUNTIF($A$1,"2S-Temizlik Personeli")*($AH$34+AL15)</f>
        <v>214.02</v>
      </c>
      <c r="AZ15" s="25">
        <f ca="1">(AY15*DE11)</f>
        <v>153.00503820000003</v>
      </c>
      <c r="BA15" s="41" t="s">
        <v>0</v>
      </c>
      <c r="BB15" s="25">
        <f>(BF4+BJ4+BK4-BL4)</f>
        <v>1067.3519999999999</v>
      </c>
      <c r="BC15" s="25">
        <f ca="1">(BB15*DV19*-1)</f>
        <v>-213.47039999999998</v>
      </c>
      <c r="BD15" s="25">
        <f ca="1">(ROUND((BE15+BF15),2))</f>
        <v>492.54</v>
      </c>
      <c r="BE15" s="25">
        <f>(4.7*H19)</f>
        <v>488.8</v>
      </c>
      <c r="BF15" s="25">
        <f ca="1">(BD15*0.00759)</f>
        <v>3.7383786000000003</v>
      </c>
      <c r="BG15" s="25">
        <f ca="1">(ROUND((BE15+BF15),2))</f>
        <v>492.54</v>
      </c>
      <c r="BH15" s="25">
        <f ca="1">(BD15)</f>
        <v>492.54</v>
      </c>
      <c r="BI15" s="27">
        <v>0</v>
      </c>
      <c r="BJ15" s="25">
        <f>(AY19*BI15)</f>
        <v>0</v>
      </c>
      <c r="BK15" s="25">
        <f ca="1">(BJ15*DE15)</f>
        <v>0</v>
      </c>
      <c r="BL15" s="27">
        <v>30</v>
      </c>
      <c r="BM15" s="25">
        <f>(773.25/30*BL15)</f>
        <v>773.25</v>
      </c>
      <c r="BN15" s="25">
        <f ca="1">(BM15*DE15)</f>
        <v>519.94103250000001</v>
      </c>
      <c r="BO15" s="27">
        <v>30</v>
      </c>
      <c r="BP15" s="25">
        <f>(386.62/30*BO15)</f>
        <v>386.62</v>
      </c>
      <c r="BQ15" s="25">
        <f ca="1">(BP15*DE15)</f>
        <v>259.96715419999998</v>
      </c>
      <c r="BR15" s="25">
        <f>COUNTIF($A$1,"1S-Çımacı / Palamarcı")*(8.28*I19)
+COUNTIF($A$1,"2S-Çımacı / Palamarcı")*(8.28*I19)
+COUNTIF($A$1,"1S-Temizlik Personeli")*(5.52*I19)
+COUNTIF($A$1,"2S-Temizlik Personeli")*(5.52*I19)</f>
        <v>0</v>
      </c>
      <c r="BS15" s="25">
        <f ca="1">(BR15*DE15)</f>
        <v>0</v>
      </c>
      <c r="BT15" s="25">
        <f>COUNTIF(J19,"Var")*($AP$1)</f>
        <v>0</v>
      </c>
      <c r="BU15" s="25">
        <f ca="1">COUNTIF(J19,"Var")*((BT15+(BT15*0.00759*-1)+((BT15-BV15)*0.14*-1)+((BT15-BV15)*0.01*-1)+(BT15+((BT15-BV15)*0.14*-1)+((BT15-BV15)*0.01*-1))*DV19*-1))</f>
        <v>0</v>
      </c>
      <c r="BV15" s="25">
        <f>COUNTIF(J19,"Var")*($AL$1)</f>
        <v>0</v>
      </c>
      <c r="BW15" s="25">
        <f>(0)</f>
        <v>0</v>
      </c>
      <c r="BX15" s="25">
        <f>($AP$2*K19)</f>
        <v>0</v>
      </c>
      <c r="BY15" s="25">
        <f ca="1">(BX15+(BX15*0.00759*-1)+((BX15-BZ15)*0.14*-1)+((BX15-BZ15)*0.01*-1)+(BX15+((BX15-BZ15)*0.14*-1)+((BX15-BZ15)*0.01*-1))*DV19*-1)</f>
        <v>0</v>
      </c>
      <c r="BZ15" s="25">
        <f>($AL$2*K19)</f>
        <v>0</v>
      </c>
      <c r="CA15" s="25">
        <f>($AL$5*K19)</f>
        <v>0</v>
      </c>
      <c r="CB15" s="25">
        <f>($AP$3*L19)</f>
        <v>0</v>
      </c>
      <c r="CC15" s="25">
        <f ca="1">(CB15+(CB15*0.00759*-1)+((CB15-CD15)*0.14*-1)+((CB15-CD15)*0.01*-1)+(CB15+((CB15-CD15)*0.14*-1)+((CB15-CD15)*0.01*-1))*DV19*-1)</f>
        <v>0</v>
      </c>
      <c r="CD15" s="25">
        <f>($AL$3*L19)</f>
        <v>0</v>
      </c>
      <c r="CE15" s="25">
        <f>($AL$6*L19)</f>
        <v>0</v>
      </c>
      <c r="CF15" s="25">
        <f>($AP$4*M19)</f>
        <v>0</v>
      </c>
      <c r="CG15" s="25">
        <f ca="1">(CF15+(CF15*0.00759*-1)+((CF15-CH15)*0.14*-1)+((CF15-CH15)*0.01*-1)+(CF15+((CF15-CH15)*0.14*-1)+((CF15-CH15)*0.01*-1))*DV19*-1)</f>
        <v>0</v>
      </c>
      <c r="CH15" s="25">
        <f>($AL$2*M19)</f>
        <v>0</v>
      </c>
      <c r="CI15" s="25">
        <f>($AL$5*M19)</f>
        <v>0</v>
      </c>
      <c r="CJ15" s="25">
        <f>($AP$5*N19)</f>
        <v>0</v>
      </c>
      <c r="CK15" s="25">
        <f ca="1">(CJ15+(CJ15*0.00759*-1)+((CJ15-CL15)*0.14*-1)+((CJ15-CL15)*0.01*-1)+(CJ15+((CJ15-CL15)*0.14*-1)+((CJ15-CL15)*0.01*-1))*DV19*-1)</f>
        <v>0</v>
      </c>
      <c r="CL15" s="25">
        <f>($AL$3*N19)</f>
        <v>0</v>
      </c>
      <c r="CM15" s="25">
        <f>($AL$6*N19)</f>
        <v>0</v>
      </c>
      <c r="CN15" s="44">
        <f>(K19+L19+M19+N19)</f>
        <v>0</v>
      </c>
      <c r="CO15" s="25">
        <f t="shared" si="41"/>
        <v>0</v>
      </c>
      <c r="CP15" s="25">
        <f t="shared" ca="1" si="41"/>
        <v>0</v>
      </c>
      <c r="CQ15" s="25">
        <f>IF(BZ15+CD15+CH15+CL15&gt;=$AL$5*2,$AL$5*2,BZ15+CD15+CH15+CL15)</f>
        <v>0</v>
      </c>
      <c r="CR15" s="25">
        <f>(CA15+CE15+CI15+CM15)</f>
        <v>0</v>
      </c>
      <c r="CS15" s="41" t="s">
        <v>0</v>
      </c>
      <c r="CT15" s="41" t="s">
        <v>0</v>
      </c>
      <c r="CU15" s="41" t="s">
        <v>0</v>
      </c>
      <c r="CV15" s="41" t="s">
        <v>0</v>
      </c>
      <c r="CW15" s="25">
        <f t="shared" ref="CW15" si="52">(CW14/12)</f>
        <v>0</v>
      </c>
      <c r="CX15" s="25">
        <f t="shared" ref="CX15" si="53">(CX14/12)</f>
        <v>4876.8749999999991</v>
      </c>
      <c r="CY15" s="41" t="s">
        <v>0</v>
      </c>
      <c r="CZ15" s="41" t="s">
        <v>0</v>
      </c>
      <c r="DA15" s="41" t="s">
        <v>0</v>
      </c>
      <c r="DB15" s="25">
        <f>(DC5)</f>
        <v>638.01</v>
      </c>
      <c r="DC15" s="25">
        <f ca="1">(DW19+DB15)</f>
        <v>-862</v>
      </c>
      <c r="DD15" s="28">
        <f t="shared" si="1"/>
        <v>0.84240999999999999</v>
      </c>
      <c r="DE15" s="28">
        <f ca="1">(100+(100*0.00759*-1)+(100*0.14*-1)+(100*0.01*-1)+(100+100*0.14*-1+100*0.01*-1)*DV19*-1)/100</f>
        <v>0.67240999999999995</v>
      </c>
      <c r="DF15" s="28">
        <f ca="1">(100+(100*0.00759*-1)+(100)*DV19*-1)/100</f>
        <v>0.79240999999999995</v>
      </c>
      <c r="DG15" s="25">
        <f ca="1">(DI5)</f>
        <v>9496.8100000000013</v>
      </c>
      <c r="DH15" s="25">
        <f ca="1">(DG15*0.205)</f>
        <v>1946.8460500000001</v>
      </c>
      <c r="DI15" s="25">
        <f ca="1">(DG15*0.01)</f>
        <v>94.968100000000021</v>
      </c>
      <c r="DM15" s="34" t="s">
        <v>116</v>
      </c>
      <c r="DN15" s="25">
        <v>759.44</v>
      </c>
      <c r="DO15" s="25">
        <f ca="1">(DG6*0.14*-1)</f>
        <v>-1224.1614000000004</v>
      </c>
      <c r="DP15" s="25">
        <f ca="1">(DG6*0.01*-1)</f>
        <v>-87.440100000000015</v>
      </c>
      <c r="DQ15" s="25">
        <f ca="1">(AX22+BF1+BU1+BH26+BN10+BR10)</f>
        <v>685.15800000000002</v>
      </c>
      <c r="DR15" s="25">
        <f ca="1">(DI1+DO15+DP15-DQ15)</f>
        <v>7500.0505000000003</v>
      </c>
      <c r="DS15" s="25">
        <f ca="1">SUM($DR$15:DR15)</f>
        <v>7500.0505000000003</v>
      </c>
      <c r="DT15" s="29">
        <f t="shared" ref="DT15:DT26" ca="1" si="54">IF(DS15&lt;=$CU$2,$CS$2,
IF(DS15&gt;$CU$4,
IF(DS15&gt;$CU$5,$CS$6,$CS$5),
IF(DS15&lt;$CU$3,$CS$3,$CS$4)))</f>
        <v>0.15</v>
      </c>
      <c r="DU15" s="33">
        <f ca="1">IF(DT15-DT14=0,0,1)</f>
        <v>1</v>
      </c>
      <c r="DV15" s="28">
        <f t="shared" ref="DV15:DV26" ca="1" si="55">(IF(DU15=0,DT15,(VLOOKUP($DT15,$CS$2:$CV$6,2,0)-DS14)/DR15*DT14+(DS15-VLOOKUP($DT15,$CS$2:$CV$6,2,0))/DR15*DT15))</f>
        <v>0.15</v>
      </c>
      <c r="DW15" s="25">
        <f ca="1">(ROUND(DR15*DV15,2)*(-1)+VLOOKUP(DT15,$CS$2:$CV$6,4,0)*(-1))</f>
        <v>-1125.01</v>
      </c>
      <c r="DX15" s="24">
        <v>13</v>
      </c>
      <c r="DY15" s="35">
        <v>6.5</v>
      </c>
      <c r="DZ15" s="36">
        <v>0.15</v>
      </c>
      <c r="EA15" s="49"/>
    </row>
    <row r="16" spans="1:131" ht="39.950000000000003" customHeight="1" x14ac:dyDescent="0.25">
      <c r="A16" s="3">
        <f t="shared" ca="1" si="44"/>
        <v>0.15</v>
      </c>
      <c r="B16" s="4" t="s">
        <v>14</v>
      </c>
      <c r="C16" s="51">
        <v>0</v>
      </c>
      <c r="D16" s="52">
        <v>0</v>
      </c>
      <c r="E16" s="52">
        <v>0</v>
      </c>
      <c r="F16" s="52">
        <v>0</v>
      </c>
      <c r="G16" s="51">
        <v>26</v>
      </c>
      <c r="H16" s="51">
        <v>104</v>
      </c>
      <c r="I16" s="51">
        <v>0</v>
      </c>
      <c r="J16" s="53" t="s">
        <v>1</v>
      </c>
      <c r="K16" s="51">
        <v>0</v>
      </c>
      <c r="L16" s="51">
        <v>0</v>
      </c>
      <c r="M16" s="51">
        <v>0</v>
      </c>
      <c r="N16" s="51">
        <v>0</v>
      </c>
      <c r="O16" s="54" t="s">
        <v>1</v>
      </c>
      <c r="P16" s="54" t="s">
        <v>1</v>
      </c>
      <c r="Q16" s="54" t="s">
        <v>1</v>
      </c>
      <c r="R16" s="55">
        <v>0</v>
      </c>
      <c r="S16" s="5">
        <f ca="1">(DI2-BC2+BQ11+BS11+DD7+DO16+DP16+DC12-T16)</f>
        <v>8379.7019252999999</v>
      </c>
      <c r="T16" s="5">
        <f ca="1">(AJ23+AL23+AN23+AP23+BT11)</f>
        <v>898.06696979999981</v>
      </c>
      <c r="U16" s="6">
        <f t="shared" ref="U16:U26" ca="1" si="56">(S16+T16)</f>
        <v>9277.7688951</v>
      </c>
      <c r="V16" s="15" t="s">
        <v>34</v>
      </c>
      <c r="W16" s="16">
        <f t="shared" ca="1" si="40"/>
        <v>0</v>
      </c>
      <c r="X16" s="16">
        <f ca="1">COUNTIF(Y1,"Ocak")*(BU10)*-1
+COUNTIF(Y1,"Şubat")*(BU11)*-1
+COUNTIF(Y1,"Mart")*(BU12)*-1
+COUNTIF(Y1,"Nisan")*(BU13)*-1
+COUNTIF(Y1,"Mayıs")*(CF8)*-1
+COUNTIF(Y1,"Haziran")*(CF9)*-1
+COUNTIF(Y1,"Temmuz")*(CF10)*-1
+COUNTIF(Y1,"Ağustos")*(CF11)*-1
+COUNTIF(Y1,"Eylül")*(BU4)*-1
+COUNTIF(Y1,"Ekim")*(BU5)*-1
+COUNTIF(Y1,"Kasım")*(BU6)*-1
+COUNTIF(Y1,"Aralık")*(BU7)*-1
+COUNTIF(Y1,"Yıllık Toplam")*(BU8)*-1
+COUNTIF(Y1,"Yıllık Ortalama")*(BU9)*-1</f>
        <v>0</v>
      </c>
      <c r="Y16" s="64"/>
      <c r="Z16" s="68"/>
      <c r="AA16" s="77" t="s">
        <v>41</v>
      </c>
      <c r="AB16" s="78" t="s">
        <v>146</v>
      </c>
      <c r="AC16" s="56"/>
      <c r="AD16" s="58"/>
      <c r="AE16" s="60"/>
      <c r="AF16" s="59"/>
      <c r="AG16" s="34" t="s">
        <v>91</v>
      </c>
      <c r="AH16" s="32">
        <v>254.43</v>
      </c>
      <c r="AI16" s="22">
        <v>300.3</v>
      </c>
      <c r="AJ16" s="40">
        <f t="shared" si="45"/>
        <v>5992.56</v>
      </c>
      <c r="AK16" s="25">
        <f ca="1">(AJ16*DE12)</f>
        <v>4284.1410696000003</v>
      </c>
      <c r="AL16" s="25">
        <f t="shared" si="46"/>
        <v>0</v>
      </c>
      <c r="AM16" s="25">
        <f ca="1">(AL16*DE12)</f>
        <v>0</v>
      </c>
      <c r="AN16" s="25">
        <f t="shared" si="47"/>
        <v>0</v>
      </c>
      <c r="AO16" s="42">
        <f>(AP15+1)</f>
        <v>44593</v>
      </c>
      <c r="AP16" s="42">
        <f t="shared" si="48"/>
        <v>44620</v>
      </c>
      <c r="AQ16" s="43">
        <f t="shared" ref="AQ16:AQ21" si="57">DAY(AP16)</f>
        <v>28</v>
      </c>
      <c r="AR16" s="43">
        <f t="shared" ref="AR16:AR21" si="58">NETWORKDAYS.INTL(AO16,AP16,11)</f>
        <v>24</v>
      </c>
      <c r="AS16" s="43">
        <f t="shared" ref="AS16:AS21" si="59">(AQ16-AR16)</f>
        <v>4</v>
      </c>
      <c r="AT16" s="41" t="s">
        <v>0</v>
      </c>
      <c r="AU16" s="32">
        <f t="shared" si="49"/>
        <v>214.02</v>
      </c>
      <c r="AV16" s="32">
        <f ca="1">(AU16*DE12)</f>
        <v>153.00503820000003</v>
      </c>
      <c r="AW16" s="32">
        <f t="shared" si="50"/>
        <v>214.02</v>
      </c>
      <c r="AX16" s="25">
        <f ca="1">(AW16*DE12+DL2/30*-1+DB12/30)</f>
        <v>175.53805020000001</v>
      </c>
      <c r="AY16" s="32">
        <f t="shared" si="51"/>
        <v>214.02</v>
      </c>
      <c r="AZ16" s="25">
        <f ca="1">(AY16*DE12)</f>
        <v>153.00503820000003</v>
      </c>
      <c r="BA16" s="41" t="s">
        <v>0</v>
      </c>
      <c r="BB16" s="25">
        <f>(BF5+BJ5+BK5-BL5)</f>
        <v>1067.3519999999999</v>
      </c>
      <c r="BC16" s="25">
        <f ca="1">(BB16*DV20*-1)</f>
        <v>-213.47039999999998</v>
      </c>
      <c r="BD16" s="25">
        <f ca="1">(ROUND((BE16+BF16),2))</f>
        <v>492.54</v>
      </c>
      <c r="BE16" s="25">
        <f>(4.7*H20)</f>
        <v>488.8</v>
      </c>
      <c r="BF16" s="25">
        <f ca="1">(BD16*0.00759)</f>
        <v>3.7383786000000003</v>
      </c>
      <c r="BG16" s="25">
        <f ca="1">(ROUND((BE16+BF16),2))</f>
        <v>492.54</v>
      </c>
      <c r="BH16" s="25">
        <f ca="1">(BD16)</f>
        <v>492.54</v>
      </c>
      <c r="BI16" s="27">
        <v>18</v>
      </c>
      <c r="BJ16" s="25">
        <f>(AY20*BI16)</f>
        <v>3852.36</v>
      </c>
      <c r="BK16" s="25">
        <f ca="1">(BJ16*CI1)</f>
        <v>2590.3653875999998</v>
      </c>
      <c r="BL16" s="27">
        <v>30</v>
      </c>
      <c r="BM16" s="25">
        <f>(773.25/30*BL16)</f>
        <v>773.25</v>
      </c>
      <c r="BN16" s="25">
        <f ca="1">(BM16*CI1)</f>
        <v>519.94103250000001</v>
      </c>
      <c r="BO16" s="27">
        <v>30</v>
      </c>
      <c r="BP16" s="25">
        <f>(386.62/30*BO16)</f>
        <v>386.62</v>
      </c>
      <c r="BQ16" s="25">
        <f ca="1">(BP16*CI1)</f>
        <v>259.96715419999998</v>
      </c>
      <c r="BR16" s="25">
        <f>COUNTIF($A$1,"1S-Çımacı / Palamarcı")*(8.28*I20)
+COUNTIF($A$1,"2S-Çımacı / Palamarcı")*(8.28*I20)
+COUNTIF($A$1,"1S-Temizlik Personeli")*(5.52*I20)
+COUNTIF($A$1,"2S-Temizlik Personeli")*(5.52*I20)</f>
        <v>0</v>
      </c>
      <c r="BS16" s="25">
        <f ca="1">(BR16*CI1)</f>
        <v>0</v>
      </c>
      <c r="BT16" s="25">
        <f>COUNTIF(J20,"Var")*($AP$1)</f>
        <v>0</v>
      </c>
      <c r="BU16" s="25">
        <f ca="1">COUNTIF(J20,"Var")*((BT16+(BT16*0.00759*-1)+((BT16-BV16)*0.14*-1)+((BT16-BV16)*0.01*-1)+(BT16+((BT16-BV16)*0.14*-1)+((BT16-BV16)*0.01*-1))*DV20*-1))</f>
        <v>0</v>
      </c>
      <c r="BV16" s="25">
        <f>COUNTIF(J20,"Var")*($AL$1)</f>
        <v>0</v>
      </c>
      <c r="BW16" s="25">
        <f>(0)</f>
        <v>0</v>
      </c>
      <c r="BX16" s="25">
        <f>($AP$2*K20)</f>
        <v>0</v>
      </c>
      <c r="BY16" s="25">
        <f ca="1">(BX16+(BX16*0.00759*-1)+((BX16-BZ16)*0.14*-1)+((BX16-BZ16)*0.01*-1)+(BX16+((BX16-BZ16)*0.14*-1)+((BX16-BZ16)*0.01*-1))*DV20*-1)</f>
        <v>0</v>
      </c>
      <c r="BZ16" s="25">
        <f>($AL$2*K20)</f>
        <v>0</v>
      </c>
      <c r="CA16" s="25">
        <f>($AL$5*K20)</f>
        <v>0</v>
      </c>
      <c r="CB16" s="25">
        <f>($AP$3*L20)</f>
        <v>0</v>
      </c>
      <c r="CC16" s="25">
        <f ca="1">(CB16+(CB16*0.00759*-1)+((CB16-CD16)*0.14*-1)+((CB16-CD16)*0.01*-1)+(CB16+((CB16-CD16)*0.14*-1)+((CB16-CD16)*0.01*-1))*DV20*-1)</f>
        <v>0</v>
      </c>
      <c r="CD16" s="25">
        <f>($AL$3*L20)</f>
        <v>0</v>
      </c>
      <c r="CE16" s="25">
        <f>($AL$6*L20)</f>
        <v>0</v>
      </c>
      <c r="CF16" s="25">
        <f>($AP$4*M20)</f>
        <v>0</v>
      </c>
      <c r="CG16" s="25">
        <f ca="1">(CF16+(CF16*0.00759*-1)+((CF16-CH16)*0.14*-1)+((CF16-CH16)*0.01*-1)+(CF16+((CF16-CH16)*0.14*-1)+((CF16-CH16)*0.01*-1))*DV20*-1)</f>
        <v>0</v>
      </c>
      <c r="CH16" s="25">
        <f>($AL$2*M20)</f>
        <v>0</v>
      </c>
      <c r="CI16" s="25">
        <f>($AL$5*M20)</f>
        <v>0</v>
      </c>
      <c r="CJ16" s="25">
        <f>($AP$5*N20)</f>
        <v>0</v>
      </c>
      <c r="CK16" s="25">
        <f ca="1">(CJ16+(CJ16*0.00759*-1)+((CJ16-CL16)*0.14*-1)+((CJ16-CL16)*0.01*-1)+(CJ16+((CJ16-CL16)*0.14*-1)+((CJ16-CL16)*0.01*-1))*DV20*-1)</f>
        <v>0</v>
      </c>
      <c r="CL16" s="25">
        <f>($AL$3*N20)</f>
        <v>0</v>
      </c>
      <c r="CM16" s="25">
        <f>($AL$6*N20)</f>
        <v>0</v>
      </c>
      <c r="CN16" s="44">
        <f>(K20+L20+M20+N20)</f>
        <v>0</v>
      </c>
      <c r="CO16" s="25">
        <f t="shared" si="41"/>
        <v>0</v>
      </c>
      <c r="CP16" s="25">
        <f t="shared" ca="1" si="41"/>
        <v>0</v>
      </c>
      <c r="CQ16" s="25">
        <f>IF(BZ16+CD16+CH16+CL16&gt;=$AL$5*2,$AL$5*2,BZ16+CD16+CH16+CL16)</f>
        <v>0</v>
      </c>
      <c r="CR16" s="25">
        <f>(CA16+CE16+CI16+CM16)</f>
        <v>0</v>
      </c>
      <c r="CS16" s="28">
        <f t="shared" ref="CS16:CS22" si="60">IF(DA7=0,CZ7,(VLOOKUP($CZ7,$CS$2:$CV$6,2,0)-CY6)/CX7*CZ6+(CY7-VLOOKUP($CZ7,$CS$2:$CV$6,2,0))/CX7*CZ7)</f>
        <v>0.15</v>
      </c>
      <c r="CT16" s="25">
        <f t="shared" ref="CT16:CT22" si="61">(ROUND(CX7*CS16,2))</f>
        <v>638.01</v>
      </c>
      <c r="CU16" s="28">
        <f t="shared" ref="CU16:CU22" si="62">(100+(100*0.00759*-1)+(100*0.01*-1)+(100*0.01*-1)+(100+100*0.14*-1+100*0.01*-1)*CS16*-1)/100</f>
        <v>0.84491000000000005</v>
      </c>
      <c r="CV16" s="25">
        <f>CH9</f>
        <v>5004</v>
      </c>
      <c r="CW16" s="25">
        <f>CH9+CK9+CN9+CO9</f>
        <v>4253.3999999999996</v>
      </c>
      <c r="CX16" s="25" t="s">
        <v>0</v>
      </c>
      <c r="CY16" s="25">
        <f ca="1">(AJ20+AL20+AN20+AY5+BA5+BC5+BD16+BJ16+BM16+BP16+BR16+BT16+CO16+CE5)</f>
        <v>13135.150000000001</v>
      </c>
      <c r="CZ16" s="25">
        <f ca="1">(AJ20+AL20+AN20+AY5+BA5+BC5+BD16+BJ16+BM16+BP16+BR16+BT16+CO16+CE5)</f>
        <v>13135.150000000001</v>
      </c>
      <c r="DA16" s="25">
        <f t="shared" ref="DA16:DA22" ca="1" si="63">(CZ16*0.00759*-1)</f>
        <v>-99.69578850000002</v>
      </c>
      <c r="DB16" s="25">
        <f>(CI9)</f>
        <v>5004</v>
      </c>
      <c r="DC16" s="25">
        <f t="shared" ref="DC16:DC22" si="64">(DB16*0.00759*-1)</f>
        <v>-37.980360000000005</v>
      </c>
      <c r="DD16" s="25">
        <f t="shared" ref="DD16:DD22" ca="1" si="65">(CZ16-DB16)</f>
        <v>8131.1500000000015</v>
      </c>
      <c r="DE16" s="25">
        <f t="shared" ref="DE16:DE22" ca="1" si="66">(DD16*0.00759*-1)</f>
        <v>-61.715428500000016</v>
      </c>
      <c r="DF16" s="25">
        <f t="shared" ref="DF16:DF22" ca="1" si="67">(DE16)</f>
        <v>-61.715428500000016</v>
      </c>
      <c r="DG16" s="25">
        <f ca="1">(BH5+BG16+BZ16+CQ16+CF5)</f>
        <v>752.8</v>
      </c>
      <c r="DH16" s="25">
        <f t="shared" ref="DH16:DH22" ca="1" si="68">(CZ16-DG16)</f>
        <v>12382.350000000002</v>
      </c>
      <c r="DI16" s="25">
        <f ca="1">IF(DH16&gt;=CH9*7.5,CH9*7.5,DH16)</f>
        <v>12382.350000000002</v>
      </c>
      <c r="DM16" s="34" t="s">
        <v>65</v>
      </c>
      <c r="DN16" s="25">
        <v>1035.5999999999999</v>
      </c>
      <c r="DO16" s="25">
        <f ca="1">(DG7*0.14*-1)</f>
        <v>-1673.6034000000004</v>
      </c>
      <c r="DP16" s="25">
        <f ca="1">(DG7*0.01*-1)</f>
        <v>-119.54310000000001</v>
      </c>
      <c r="DQ16" s="25">
        <f ca="1">(AX23+BF2+BU2+BH27+BN11+BR11)</f>
        <v>685.15800000000002</v>
      </c>
      <c r="DR16" s="25">
        <f ca="1">(DI2+DO16+DP16-DQ16)</f>
        <v>10228.8055</v>
      </c>
      <c r="DS16" s="25">
        <f ca="1">SUM($DR$15:DR16)</f>
        <v>17728.856</v>
      </c>
      <c r="DT16" s="29">
        <f t="shared" ca="1" si="54"/>
        <v>0.15</v>
      </c>
      <c r="DU16" s="33">
        <f t="shared" ref="DU16:DU26" ca="1" si="69">IF(DT16-DT15=0,0,1)</f>
        <v>0</v>
      </c>
      <c r="DV16" s="28">
        <f t="shared" ca="1" si="55"/>
        <v>0.15</v>
      </c>
      <c r="DW16" s="25">
        <f ca="1">(ROUND(DR16*DV16,2)*(-1))</f>
        <v>-1534.32</v>
      </c>
      <c r="DX16" s="24">
        <v>14</v>
      </c>
      <c r="DY16" s="35">
        <v>7</v>
      </c>
      <c r="DZ16" s="36">
        <v>0.16</v>
      </c>
      <c r="EA16" s="49"/>
    </row>
    <row r="17" spans="1:131" ht="39.950000000000003" customHeight="1" x14ac:dyDescent="0.25">
      <c r="A17" s="3">
        <f t="shared" ca="1" si="44"/>
        <v>0.15</v>
      </c>
      <c r="B17" s="4" t="s">
        <v>15</v>
      </c>
      <c r="C17" s="51">
        <v>0</v>
      </c>
      <c r="D17" s="52">
        <v>0</v>
      </c>
      <c r="E17" s="52">
        <v>0</v>
      </c>
      <c r="F17" s="52">
        <v>0</v>
      </c>
      <c r="G17" s="51">
        <v>26</v>
      </c>
      <c r="H17" s="51">
        <v>104</v>
      </c>
      <c r="I17" s="51">
        <v>0</v>
      </c>
      <c r="J17" s="53" t="s">
        <v>1</v>
      </c>
      <c r="K17" s="51">
        <v>0</v>
      </c>
      <c r="L17" s="51">
        <v>0</v>
      </c>
      <c r="M17" s="51">
        <v>0</v>
      </c>
      <c r="N17" s="51">
        <v>0</v>
      </c>
      <c r="O17" s="54" t="s">
        <v>1</v>
      </c>
      <c r="P17" s="54" t="s">
        <v>1</v>
      </c>
      <c r="Q17" s="54" t="s">
        <v>1</v>
      </c>
      <c r="R17" s="55">
        <v>0</v>
      </c>
      <c r="S17" s="5">
        <f ca="1">(DI3-BC3+BQ12+BS12+DD8+DO17+DP17+DC13-T17)</f>
        <v>6084.6231023</v>
      </c>
      <c r="T17" s="5">
        <f ca="1">(AJ24+AL24+AN24+AP24+BT12)</f>
        <v>898.06696979999981</v>
      </c>
      <c r="U17" s="6">
        <f t="shared" ca="1" si="56"/>
        <v>6982.6900721000002</v>
      </c>
      <c r="V17" s="15" t="s">
        <v>35</v>
      </c>
      <c r="W17" s="16">
        <f t="shared" ca="1" si="40"/>
        <v>592.41437640000015</v>
      </c>
      <c r="X17" s="17">
        <f ca="1">COUNTIF(Y1,"Ocak")*(DD6)*-1
+COUNTIF(Y1,"Şubat")*(DD7)*-1
+COUNTIF(Y1,"Mart")*(DD8)*-1
+COUNTIF(Y1,"Nisan")*(DD9)*-1
+COUNTIF(Y1,"Mayıs")*(DD10)*-1
+COUNTIF(Y1,"Haziran")*(DF16)*-1
+COUNTIF(Y1,"Temmuz")*(DF17)*-1
+COUNTIF(Y1,"Ağustos")*(DF18)*-1
+COUNTIF(Y1,"Eylül")*(DF19)*-1
+COUNTIF(Y1,"Ekim")*(DF20)*-1
+COUNTIF(Y1,"Kasım")*(DF21)*-1
+COUNTIF(Y1,"Aralık")*(DF22)*-1
+COUNTIF(Y1,"Yıllık Toplam")*(DF23)*-1
+COUNTIF(Y1,"Yıllık Ortalama")*(DF24)*-1</f>
        <v>592.41437640000015</v>
      </c>
      <c r="Y17" s="64"/>
      <c r="Z17" s="68"/>
      <c r="AA17" s="81" t="s">
        <v>43</v>
      </c>
      <c r="AB17" s="79" t="s">
        <v>147</v>
      </c>
      <c r="AC17" s="56"/>
      <c r="AD17" s="58"/>
      <c r="AE17" s="60"/>
      <c r="AF17" s="59"/>
      <c r="AG17" s="34" t="s">
        <v>92</v>
      </c>
      <c r="AH17" s="32">
        <v>251.72</v>
      </c>
      <c r="AI17" s="22">
        <v>297.10000000000002</v>
      </c>
      <c r="AJ17" s="40">
        <f t="shared" si="45"/>
        <v>6634.62</v>
      </c>
      <c r="AK17" s="25">
        <f ca="1">(AJ17*DE13)</f>
        <v>4743.1561842000001</v>
      </c>
      <c r="AL17" s="25">
        <f t="shared" si="46"/>
        <v>0</v>
      </c>
      <c r="AM17" s="25">
        <f ca="1">(AL17*DE13)</f>
        <v>0</v>
      </c>
      <c r="AN17" s="25">
        <f t="shared" si="47"/>
        <v>0</v>
      </c>
      <c r="AO17" s="42">
        <f t="shared" ref="AO17:AO21" si="70">(AP16+1)</f>
        <v>44621</v>
      </c>
      <c r="AP17" s="42">
        <f t="shared" si="48"/>
        <v>44651</v>
      </c>
      <c r="AQ17" s="43">
        <f t="shared" si="57"/>
        <v>31</v>
      </c>
      <c r="AR17" s="43">
        <f t="shared" si="58"/>
        <v>27</v>
      </c>
      <c r="AS17" s="43">
        <f t="shared" si="59"/>
        <v>4</v>
      </c>
      <c r="AT17" s="41" t="s">
        <v>0</v>
      </c>
      <c r="AU17" s="32">
        <f t="shared" si="49"/>
        <v>214.02</v>
      </c>
      <c r="AV17" s="32">
        <f ca="1">(AU17*DE13)</f>
        <v>153.00503820000003</v>
      </c>
      <c r="AW17" s="32">
        <f t="shared" si="50"/>
        <v>214.02</v>
      </c>
      <c r="AX17" s="25">
        <f ca="1">(AW17*DE13+DL3/30*-1+DB13/30)</f>
        <v>175.53805020000001</v>
      </c>
      <c r="AY17" s="32">
        <f t="shared" si="51"/>
        <v>214.02</v>
      </c>
      <c r="AZ17" s="25">
        <f ca="1">(AY17*DE13)</f>
        <v>153.00503820000003</v>
      </c>
      <c r="BA17" s="41" t="s">
        <v>0</v>
      </c>
      <c r="BB17" s="25">
        <f>(BF10+BJ10+BK10-BL10)</f>
        <v>1078.779</v>
      </c>
      <c r="BC17" s="25">
        <f ca="1">(BB17*DV25*-1)</f>
        <v>-291.27033</v>
      </c>
      <c r="BD17" s="25">
        <f ca="1">(ROUND((BE17+BF17),2))</f>
        <v>681.17</v>
      </c>
      <c r="BE17" s="25">
        <f>(6.5*H25)</f>
        <v>676</v>
      </c>
      <c r="BF17" s="25">
        <f ca="1">(BD17*0.00759)</f>
        <v>5.1700802999999995</v>
      </c>
      <c r="BG17" s="25">
        <f ca="1">(ROUND((BE17+BF17),2))</f>
        <v>681.17</v>
      </c>
      <c r="BH17" s="25">
        <f ca="1">(BD17)</f>
        <v>681.17</v>
      </c>
      <c r="BI17" s="27">
        <v>0</v>
      </c>
      <c r="BJ17" s="25">
        <f>(AT14*BI17)</f>
        <v>0</v>
      </c>
      <c r="BK17" s="25">
        <f ca="1">(BJ17*DK6)</f>
        <v>0</v>
      </c>
      <c r="BL17" s="27">
        <v>30</v>
      </c>
      <c r="BM17" s="25">
        <f>(773.25/30*BL17)</f>
        <v>773.25</v>
      </c>
      <c r="BN17" s="25">
        <f ca="1">(BM17*DK6)</f>
        <v>473.93265749999995</v>
      </c>
      <c r="BO17" s="27">
        <v>30</v>
      </c>
      <c r="BP17" s="25">
        <f>(386.62/30*BO17)</f>
        <v>386.62</v>
      </c>
      <c r="BQ17" s="25">
        <f ca="1">(BP17*DK6)</f>
        <v>236.9632642</v>
      </c>
      <c r="BR17" s="25">
        <f>COUNTIF($A$1,"1S-Çımacı / Palamarcı")*(8.28*I25)
+COUNTIF($A$1,"2S-Çımacı / Palamarcı")*(8.28*I25)
+COUNTIF($A$1,"1S-Temizlik Personeli")*(5.52*I25)
+COUNTIF($A$1,"2S-Temizlik Personeli")*(5.52*I25)</f>
        <v>0</v>
      </c>
      <c r="BS17" s="25">
        <f ca="1">(BR17*DK6)</f>
        <v>0</v>
      </c>
      <c r="BT17" s="25">
        <f>COUNTIF(J25,"Var")*($AQ$1)</f>
        <v>0</v>
      </c>
      <c r="BU17" s="25">
        <f ca="1">COUNTIF(J25,"Var")*((BT17+(BT17*0.00759*-1)+((BT17-BV17)*0.14*-1)+((BT17-BV17)*0.01*-1)+(BT17+((BT17-BV17)*0.14*-1)+((BT17-BV17)*0.01*-1))*DV25*-1))</f>
        <v>0</v>
      </c>
      <c r="BV17" s="25">
        <f>COUNTIF(J25,"Var")*($AM$1)</f>
        <v>0</v>
      </c>
      <c r="BW17" s="25">
        <f>(0)</f>
        <v>0</v>
      </c>
      <c r="BX17" s="25">
        <f>($AQ$2*K25)</f>
        <v>0</v>
      </c>
      <c r="BY17" s="25">
        <f ca="1">(BX17+(BX17*0.00759*-1)+((BX17-BZ17)*0.14*-1)+((BX17-BZ17)*0.01*-1)+(BX17+((BX17-BZ17)*0.14*-1)+((BX17-BZ17)*0.01*-1))*DV25*-1)</f>
        <v>0</v>
      </c>
      <c r="BZ17" s="25">
        <f>($AM$2*K25)</f>
        <v>0</v>
      </c>
      <c r="CA17" s="25">
        <f>($AM$5*K25)</f>
        <v>0</v>
      </c>
      <c r="CB17" s="25">
        <f>($AQ$3*L25)</f>
        <v>0</v>
      </c>
      <c r="CC17" s="25">
        <f ca="1">(CB17+(CB17*0.00759*-1)+((CB17-CD17)*0.14*-1)+((CB17-CD17)*0.01*-1)+(CB17+((CB17-CD17)*0.14*-1)+((CB17-CD17)*0.01*-1))*DV25*-1)</f>
        <v>0</v>
      </c>
      <c r="CD17" s="25">
        <f>($AM$3*L25)</f>
        <v>0</v>
      </c>
      <c r="CE17" s="25">
        <f>($AM$6*L25)</f>
        <v>0</v>
      </c>
      <c r="CF17" s="25">
        <f>($AQ$4*M25)</f>
        <v>0</v>
      </c>
      <c r="CG17" s="25">
        <f ca="1">(CF17+(CF17*0.00759*-1)+((CF17-CH17)*0.14*-1)+((CF17-CH17)*0.01*-1)+(CF17+((CF17-CH17)*0.14*-1)+((CF17-CH17)*0.01*-1))*DV25*-1)</f>
        <v>0</v>
      </c>
      <c r="CH17" s="25">
        <f>($AM$2*M25)</f>
        <v>0</v>
      </c>
      <c r="CI17" s="25">
        <f>($AM$5*M25)</f>
        <v>0</v>
      </c>
      <c r="CJ17" s="25">
        <f>($AQ$5*N25)</f>
        <v>0</v>
      </c>
      <c r="CK17" s="25">
        <f ca="1">(CJ17+(CJ17*0.00759*-1)+((CJ17-CL17)*0.14*-1)+((CJ17-CL17)*0.01*-1)+(CJ17+((CJ17-CL17)*0.14*-1)+((CJ17-CL17)*0.01*-1))*DV25*-1)</f>
        <v>0</v>
      </c>
      <c r="CL17" s="25">
        <f>($AM$3*N25)</f>
        <v>0</v>
      </c>
      <c r="CM17" s="25">
        <f>($AM$6*N25)</f>
        <v>0</v>
      </c>
      <c r="CN17" s="44">
        <f>(K25+L25+M25+N25)</f>
        <v>0</v>
      </c>
      <c r="CO17" s="25">
        <f t="shared" si="41"/>
        <v>0</v>
      </c>
      <c r="CP17" s="25">
        <f t="shared" ca="1" si="41"/>
        <v>0</v>
      </c>
      <c r="CQ17" s="25">
        <f>IF(BZ17+CD17+CH17+CL17&gt;=$AM$5*2,$AM$5*2,BZ17+CD17+CH17+CL17)</f>
        <v>0</v>
      </c>
      <c r="CR17" s="25">
        <f>(CA17+CE17+CI17+CM17)</f>
        <v>0</v>
      </c>
      <c r="CS17" s="28">
        <f t="shared" si="60"/>
        <v>0.15</v>
      </c>
      <c r="CT17" s="25">
        <f t="shared" si="61"/>
        <v>825.05</v>
      </c>
      <c r="CU17" s="28">
        <f t="shared" si="62"/>
        <v>0.84491000000000005</v>
      </c>
      <c r="CV17" s="25">
        <f>CH10</f>
        <v>6471</v>
      </c>
      <c r="CW17" s="25">
        <f>CH10+CK10+CN10+CO10</f>
        <v>5500.3499999999995</v>
      </c>
      <c r="CX17" s="25" t="s">
        <v>0</v>
      </c>
      <c r="CY17" s="25">
        <f ca="1">(AJ21+AL21+AN21+AY6+BA6+BC6+BA22+BG22+BJ22+BM22+BO22+BQ22+CL22+CE6)</f>
        <v>10881.42</v>
      </c>
      <c r="CZ17" s="25">
        <f ca="1">(AJ21+AL21+AN21+AY6+BA6+BC6+BA22+BG22+BJ22+BM22+BO22+BQ22+CL22+CE6)</f>
        <v>10881.42</v>
      </c>
      <c r="DA17" s="25">
        <f t="shared" ca="1" si="63"/>
        <v>-82.5899778</v>
      </c>
      <c r="DB17" s="25">
        <f>(CI10)</f>
        <v>6471</v>
      </c>
      <c r="DC17" s="25">
        <f t="shared" si="64"/>
        <v>-49.114890000000003</v>
      </c>
      <c r="DD17" s="25">
        <f t="shared" ca="1" si="65"/>
        <v>4410.42</v>
      </c>
      <c r="DE17" s="25">
        <f t="shared" ca="1" si="66"/>
        <v>-33.475087800000004</v>
      </c>
      <c r="DF17" s="25">
        <f t="shared" ca="1" si="67"/>
        <v>-33.475087800000004</v>
      </c>
      <c r="DG17" s="25">
        <f ca="1">(BH6+BD22+BW22+CN22+CF6)</f>
        <v>1017.6099999999999</v>
      </c>
      <c r="DH17" s="25">
        <f t="shared" ca="1" si="68"/>
        <v>9863.81</v>
      </c>
      <c r="DI17" s="25">
        <f ca="1">IF(DH17&gt;=CH10*7.5,CH10*7.5,DH17)</f>
        <v>9863.81</v>
      </c>
      <c r="DM17" s="34" t="s">
        <v>66</v>
      </c>
      <c r="DN17" s="25">
        <v>1035.5999999999999</v>
      </c>
      <c r="DO17" s="25">
        <f ca="1">(DG8*0.14*-1)</f>
        <v>-1224.1614000000004</v>
      </c>
      <c r="DP17" s="25">
        <f ca="1">(DG8*0.01*-1)</f>
        <v>-87.440100000000015</v>
      </c>
      <c r="DQ17" s="25">
        <f ca="1">(AX24+BF3+BU3+BH28+BN12+BR12)</f>
        <v>685.15800000000002</v>
      </c>
      <c r="DR17" s="25">
        <f ca="1">(DI3+DO17+DP17-DQ17)</f>
        <v>7500.0505000000003</v>
      </c>
      <c r="DS17" s="25">
        <f ca="1">SUM($DR$15:DR17)</f>
        <v>25228.906500000001</v>
      </c>
      <c r="DT17" s="29">
        <f t="shared" ca="1" si="54"/>
        <v>0.15</v>
      </c>
      <c r="DU17" s="33">
        <f t="shared" ca="1" si="69"/>
        <v>0</v>
      </c>
      <c r="DV17" s="28">
        <f t="shared" ca="1" si="55"/>
        <v>0.15</v>
      </c>
      <c r="DW17" s="25">
        <f t="shared" ref="DW17:DW26" ca="1" si="71">(ROUND(DR17*DV17,2)*(-1))</f>
        <v>-1125.01</v>
      </c>
      <c r="DX17" s="24">
        <v>15</v>
      </c>
      <c r="DY17" s="35">
        <v>7.5</v>
      </c>
      <c r="DZ17" s="36">
        <v>0.17</v>
      </c>
      <c r="EA17" s="49"/>
    </row>
    <row r="18" spans="1:131" ht="39.950000000000003" customHeight="1" x14ac:dyDescent="0.25">
      <c r="A18" s="3">
        <f t="shared" ca="1" si="44"/>
        <v>0.16803868620281093</v>
      </c>
      <c r="B18" s="4" t="s">
        <v>16</v>
      </c>
      <c r="C18" s="51">
        <v>0</v>
      </c>
      <c r="D18" s="52">
        <v>0</v>
      </c>
      <c r="E18" s="52">
        <v>0</v>
      </c>
      <c r="F18" s="52">
        <v>0</v>
      </c>
      <c r="G18" s="51">
        <v>26</v>
      </c>
      <c r="H18" s="51">
        <v>104</v>
      </c>
      <c r="I18" s="51">
        <v>0</v>
      </c>
      <c r="J18" s="53" t="s">
        <v>1</v>
      </c>
      <c r="K18" s="51">
        <v>0</v>
      </c>
      <c r="L18" s="51">
        <v>0</v>
      </c>
      <c r="M18" s="51">
        <v>0</v>
      </c>
      <c r="N18" s="51">
        <v>0</v>
      </c>
      <c r="O18" s="54" t="s">
        <v>1</v>
      </c>
      <c r="P18" s="54" t="s">
        <v>1</v>
      </c>
      <c r="Q18" s="54" t="s">
        <v>1</v>
      </c>
      <c r="R18" s="55">
        <v>0</v>
      </c>
      <c r="S18" s="5">
        <f ca="1">(DI4-BE14+BQ13+BS13+DD9+DO18+DP18+DC14-T18)</f>
        <v>8513.8907294959427</v>
      </c>
      <c r="T18" s="5">
        <f ca="1">(AJ25+AL25+AN25+AP25+BT13)</f>
        <v>878.81334200405718</v>
      </c>
      <c r="U18" s="6">
        <f t="shared" ca="1" si="56"/>
        <v>9392.7040715000003</v>
      </c>
      <c r="V18" s="15" t="s">
        <v>6</v>
      </c>
      <c r="W18" s="16">
        <f t="shared" ca="1" si="40"/>
        <v>19079.13</v>
      </c>
      <c r="X18" s="17">
        <f ca="1">COUNTIF(Y1,"Ocak")*(DO15)*-1
+COUNTIF(Y1,"Şubat")*(DO16)*-1
+COUNTIF(Y1,"Mart")*(DO17)*-1
+COUNTIF(Y1,"Nisan")*(DO18)*-1
+COUNTIF(Y1,"Mayıs")*(DO19)*-1
+COUNTIF(Y1,"Haziran")*(DO20)*-1
+COUNTIF(Y1,"Temmuz")*(DO21)*-1
+COUNTIF(Y1,"Ağustos")*(DO22)*-1
+COUNTIF(Y1,"Eylül")*(DO23)*-1
+COUNTIF(Y1,"Ekim")*(DO24)*-1
+COUNTIF(Y1,"Kasım")*(DO25)*-1
+COUNTIF(Y1,"Aralık")*(DO26)*-1
+COUNTIF(Y1,"Yıllık Toplam")*(DO27)*-1
+COUNTIF(Y1,"Yıllık Ortalama")*(DO28)*-1</f>
        <v>19079.13</v>
      </c>
      <c r="Y18" s="64"/>
      <c r="Z18" s="68"/>
      <c r="AA18" s="77" t="s">
        <v>49</v>
      </c>
      <c r="AB18" s="78" t="s">
        <v>52</v>
      </c>
      <c r="AC18" s="56"/>
      <c r="AD18" s="58"/>
      <c r="AE18" s="60"/>
      <c r="AF18" s="59"/>
      <c r="AG18" s="34" t="s">
        <v>93</v>
      </c>
      <c r="AH18" s="32">
        <v>251.72</v>
      </c>
      <c r="AI18" s="22">
        <v>297.10000000000002</v>
      </c>
      <c r="AJ18" s="40">
        <f t="shared" si="45"/>
        <v>6420.6</v>
      </c>
      <c r="AK18" s="25">
        <f ca="1">(AJ18*DE14)</f>
        <v>4491.7048356612977</v>
      </c>
      <c r="AL18" s="25">
        <f t="shared" si="46"/>
        <v>0</v>
      </c>
      <c r="AM18" s="25">
        <f ca="1">(AL18*DE14)</f>
        <v>0</v>
      </c>
      <c r="AN18" s="25">
        <f t="shared" si="47"/>
        <v>0</v>
      </c>
      <c r="AO18" s="42">
        <f t="shared" si="70"/>
        <v>44652</v>
      </c>
      <c r="AP18" s="42">
        <f t="shared" si="48"/>
        <v>44681</v>
      </c>
      <c r="AQ18" s="43">
        <f t="shared" si="57"/>
        <v>30</v>
      </c>
      <c r="AR18" s="43">
        <f t="shared" si="58"/>
        <v>26</v>
      </c>
      <c r="AS18" s="43">
        <f t="shared" si="59"/>
        <v>4</v>
      </c>
      <c r="AT18" s="41" t="s">
        <v>0</v>
      </c>
      <c r="AU18" s="32">
        <f t="shared" si="49"/>
        <v>214.02</v>
      </c>
      <c r="AV18" s="32">
        <f ca="1">(AU18*DE14)</f>
        <v>149.72349452204324</v>
      </c>
      <c r="AW18" s="32">
        <f t="shared" si="50"/>
        <v>214.02</v>
      </c>
      <c r="AX18" s="25">
        <f ca="1">(AW18*DE14+DL4/30*-1+DB14/30)</f>
        <v>172.25650652204322</v>
      </c>
      <c r="AY18" s="32">
        <f t="shared" si="51"/>
        <v>214.02</v>
      </c>
      <c r="AZ18" s="25">
        <f ca="1">(AY18*DE14)</f>
        <v>149.72349452204324</v>
      </c>
      <c r="BA18" s="41" t="s">
        <v>0</v>
      </c>
      <c r="BB18" s="25">
        <f>(BF11+BJ11+BK11-BL11)</f>
        <v>1078.779</v>
      </c>
      <c r="BC18" s="25">
        <f ca="1">(BB18*DV26*-1)</f>
        <v>-291.27033</v>
      </c>
      <c r="BD18" s="25">
        <f ca="1">(ROUND((BE18+BF18),2))</f>
        <v>681.17</v>
      </c>
      <c r="BE18" s="25">
        <f>(6.5*H26)</f>
        <v>676</v>
      </c>
      <c r="BF18" s="25">
        <f ca="1">(BD18*0.00759)</f>
        <v>5.1700802999999995</v>
      </c>
      <c r="BG18" s="25">
        <f ca="1">(ROUND((BE18+BF18),2))</f>
        <v>681.17</v>
      </c>
      <c r="BH18" s="25">
        <f ca="1">(BD18)</f>
        <v>681.17</v>
      </c>
      <c r="BI18" s="27">
        <v>22</v>
      </c>
      <c r="BJ18" s="25">
        <f>(AT26*BI18)</f>
        <v>5557.2</v>
      </c>
      <c r="BK18" s="25">
        <f ca="1">(BJ18*DK7)</f>
        <v>3406.0634519999994</v>
      </c>
      <c r="BL18" s="27">
        <v>30</v>
      </c>
      <c r="BM18" s="25">
        <f>(773.25/30*BL18)</f>
        <v>773.25</v>
      </c>
      <c r="BN18" s="25">
        <f ca="1">(BM18*DK7)</f>
        <v>473.93265749999995</v>
      </c>
      <c r="BO18" s="27">
        <v>30</v>
      </c>
      <c r="BP18" s="25">
        <f>(386.62/30*BO18)</f>
        <v>386.62</v>
      </c>
      <c r="BQ18" s="25">
        <f ca="1">(BP18*DK7)</f>
        <v>236.9632642</v>
      </c>
      <c r="BR18" s="25">
        <f>COUNTIF($A$1,"1S-Çımacı / Palamarcı")*(8.28*I26)
+COUNTIF($A$1,"2S-Çımacı / Palamarcı")*(8.28*I26)
+COUNTIF($A$1,"1S-Temizlik Personeli")*(5.52*I26)
+COUNTIF($A$1,"2S-Temizlik Personeli")*(5.52*I26)</f>
        <v>0</v>
      </c>
      <c r="BS18" s="25">
        <f ca="1">(BR18*DK7)</f>
        <v>0</v>
      </c>
      <c r="BT18" s="25">
        <f>COUNTIF(J26,"Var")*($AQ$1)</f>
        <v>0</v>
      </c>
      <c r="BU18" s="25">
        <f ca="1">COUNTIF(J26,"Var")*((BT18+(BT18*0.00759*-1)+((BT18-BV18)*0.14*-1)+((BT18-BV18)*0.01*-1)+(BT18+((BT18-BV18)*0.14*-1)+((BT18-BV18)*0.01*-1))*DV26*-1))</f>
        <v>0</v>
      </c>
      <c r="BV18" s="25">
        <f>COUNTIF(J26,"Var")*($AM$1)</f>
        <v>0</v>
      </c>
      <c r="BW18" s="25">
        <f>(0)</f>
        <v>0</v>
      </c>
      <c r="BX18" s="25">
        <f>($AQ$2*K26)</f>
        <v>0</v>
      </c>
      <c r="BY18" s="25">
        <f ca="1">(BX18+(BX18*0.00759*-1)+((BX18-BZ18)*0.14*-1)+((BX18-BZ18)*0.01*-1)+(BX18+((BX18-BZ18)*0.14*-1)+((BX18-BZ18)*0.01*-1))*DV26*-1)</f>
        <v>0</v>
      </c>
      <c r="BZ18" s="25">
        <f>($AM$2*K26)</f>
        <v>0</v>
      </c>
      <c r="CA18" s="25">
        <f>($AM$5*K26)</f>
        <v>0</v>
      </c>
      <c r="CB18" s="25">
        <f>($AQ$3*L26)</f>
        <v>0</v>
      </c>
      <c r="CC18" s="25">
        <f ca="1">(CB18+(CB18*0.00759*-1)+((CB18-CD18)*0.14*-1)+((CB18-CD18)*0.01*-1)+(CB18+((CB18-CD18)*0.14*-1)+((CB18-CD18)*0.01*-1))*DV26*-1)</f>
        <v>0</v>
      </c>
      <c r="CD18" s="25">
        <f>($AM$3*L26)</f>
        <v>0</v>
      </c>
      <c r="CE18" s="25">
        <f>($AM$6*L26)</f>
        <v>0</v>
      </c>
      <c r="CF18" s="25">
        <f>($AQ$4*M26)</f>
        <v>0</v>
      </c>
      <c r="CG18" s="25">
        <f ca="1">(CF18+(CF18*0.00759*-1)+((CF18-CH18)*0.14*-1)+((CF18-CH18)*0.01*-1)+(CF18+((CF18-CH18)*0.14*-1)+((CF18-CH18)*0.01*-1))*DV26*-1)</f>
        <v>0</v>
      </c>
      <c r="CH18" s="25">
        <f>($AM$2*M26)</f>
        <v>0</v>
      </c>
      <c r="CI18" s="25">
        <f>($AM$5*M26)</f>
        <v>0</v>
      </c>
      <c r="CJ18" s="25">
        <f>($AQ$5*N26)</f>
        <v>0</v>
      </c>
      <c r="CK18" s="25">
        <f ca="1">(CJ18+(CJ18*0.00759*-1)+((CJ18-CL18)*0.14*-1)+((CJ18-CL18)*0.01*-1)+(CJ18+((CJ18-CL18)*0.14*-1)+((CJ18-CL18)*0.01*-1))*DV26*-1)</f>
        <v>0</v>
      </c>
      <c r="CL18" s="25">
        <f>($AM$3*N26)</f>
        <v>0</v>
      </c>
      <c r="CM18" s="25">
        <f>($AM$6*N26)</f>
        <v>0</v>
      </c>
      <c r="CN18" s="44">
        <f>(K26+L26+M26+N26)</f>
        <v>0</v>
      </c>
      <c r="CO18" s="25">
        <f t="shared" si="41"/>
        <v>0</v>
      </c>
      <c r="CP18" s="25">
        <f t="shared" ca="1" si="41"/>
        <v>0</v>
      </c>
      <c r="CQ18" s="25">
        <f>IF(BZ18+CD18+CH18+CL18&gt;=$AM$5*2,$AM$5*2,BZ18+CD18+CH18+CL18)</f>
        <v>0</v>
      </c>
      <c r="CR18" s="25">
        <f>(CA18+CE18+CI18+CM18)</f>
        <v>0</v>
      </c>
      <c r="CS18" s="28">
        <f t="shared" si="60"/>
        <v>0.19109829374494347</v>
      </c>
      <c r="CT18" s="25">
        <f t="shared" si="61"/>
        <v>1051.1099999999999</v>
      </c>
      <c r="CU18" s="28">
        <f t="shared" si="62"/>
        <v>0.8099764503167981</v>
      </c>
      <c r="CV18" s="25">
        <f>CH11</f>
        <v>6471</v>
      </c>
      <c r="CW18" s="25">
        <f>CH11+CK11+CN11+CO11</f>
        <v>5500.3499999999995</v>
      </c>
      <c r="CX18" s="25" t="s">
        <v>0</v>
      </c>
      <c r="CY18" s="25">
        <f ca="1">(AW11+AW1+AY1+AY7+BA7+BC7+BA23+BG23+BJ23+BM23+BO23+BQ23+CL23+CE7)</f>
        <v>15428.22</v>
      </c>
      <c r="CZ18" s="25">
        <f ca="1">(AW11+AW1+AY1+AY7+BA7+BC7+BA23+BG23+BJ23+BM23+BO23+BQ23+CL23+CE7)</f>
        <v>15428.22</v>
      </c>
      <c r="DA18" s="25">
        <f t="shared" ca="1" si="63"/>
        <v>-117.1001898</v>
      </c>
      <c r="DB18" s="25">
        <f>(CI11)</f>
        <v>6471</v>
      </c>
      <c r="DC18" s="25">
        <f t="shared" si="64"/>
        <v>-49.114890000000003</v>
      </c>
      <c r="DD18" s="25">
        <f t="shared" ca="1" si="65"/>
        <v>8957.2199999999993</v>
      </c>
      <c r="DE18" s="25">
        <f t="shared" ca="1" si="66"/>
        <v>-67.985299799999993</v>
      </c>
      <c r="DF18" s="25">
        <f t="shared" ca="1" si="67"/>
        <v>-67.985299799999993</v>
      </c>
      <c r="DG18" s="25">
        <f ca="1">(BH7+BD23+BW23+CN23+CF7)</f>
        <v>1017.6099999999999</v>
      </c>
      <c r="DH18" s="25">
        <f t="shared" ca="1" si="68"/>
        <v>14410.609999999999</v>
      </c>
      <c r="DI18" s="25">
        <f ca="1">IF(DH18&gt;=CH11*7.5,CH11*7.5,DH18)</f>
        <v>14410.609999999999</v>
      </c>
      <c r="DM18" s="34" t="s">
        <v>10</v>
      </c>
      <c r="DN18" s="25">
        <v>2416.4</v>
      </c>
      <c r="DO18" s="25">
        <f ca="1">(DG9*0.14*-1)</f>
        <v>-1733.5290000000005</v>
      </c>
      <c r="DP18" s="25">
        <f ca="1">(DG9*0.01*-1)</f>
        <v>-123.82350000000002</v>
      </c>
      <c r="DQ18" s="25">
        <f ca="1">(AX25+BH14+BW14+CR14+BN13+BR13)</f>
        <v>685.15800000000002</v>
      </c>
      <c r="DR18" s="25">
        <f ca="1">(DI4+DO18+DP18-DQ18)</f>
        <v>10592.639500000001</v>
      </c>
      <c r="DS18" s="25">
        <f ca="1">SUM($DR$15:DR18)</f>
        <v>35821.546000000002</v>
      </c>
      <c r="DT18" s="29">
        <f t="shared" ca="1" si="54"/>
        <v>0.2</v>
      </c>
      <c r="DU18" s="33">
        <f t="shared" ca="1" si="69"/>
        <v>1</v>
      </c>
      <c r="DV18" s="28">
        <f t="shared" ca="1" si="55"/>
        <v>0.16803868620281093</v>
      </c>
      <c r="DW18" s="25">
        <f t="shared" ca="1" si="71"/>
        <v>-1779.97</v>
      </c>
      <c r="DX18" s="24">
        <v>16</v>
      </c>
      <c r="DY18" s="35">
        <v>8</v>
      </c>
      <c r="DZ18" s="36">
        <v>0.18</v>
      </c>
      <c r="EA18" s="49"/>
    </row>
    <row r="19" spans="1:131" ht="39.950000000000003" customHeight="1" x14ac:dyDescent="0.25">
      <c r="A19" s="3">
        <f t="shared" ca="1" si="44"/>
        <v>0.2</v>
      </c>
      <c r="B19" s="4" t="s">
        <v>17</v>
      </c>
      <c r="C19" s="51">
        <v>0</v>
      </c>
      <c r="D19" s="52">
        <v>0</v>
      </c>
      <c r="E19" s="52">
        <v>0</v>
      </c>
      <c r="F19" s="52">
        <v>0</v>
      </c>
      <c r="G19" s="51">
        <v>26</v>
      </c>
      <c r="H19" s="51">
        <v>104</v>
      </c>
      <c r="I19" s="51">
        <v>0</v>
      </c>
      <c r="J19" s="53" t="s">
        <v>1</v>
      </c>
      <c r="K19" s="51">
        <v>0</v>
      </c>
      <c r="L19" s="51">
        <v>0</v>
      </c>
      <c r="M19" s="51">
        <v>0</v>
      </c>
      <c r="N19" s="51">
        <v>0</v>
      </c>
      <c r="O19" s="54" t="s">
        <v>1</v>
      </c>
      <c r="P19" s="54" t="s">
        <v>1</v>
      </c>
      <c r="Q19" s="54" t="s">
        <v>1</v>
      </c>
      <c r="R19" s="55">
        <v>0</v>
      </c>
      <c r="S19" s="5">
        <f ca="1">(DI5-BE15+CI4+CK4+DD10+DO19+DP19+DC15-T19)</f>
        <v>5762.9907023000005</v>
      </c>
      <c r="T19" s="5">
        <f ca="1">(AX4+AZ4+BB4+BD4+CE8)</f>
        <v>844.69936979999989</v>
      </c>
      <c r="U19" s="6">
        <f t="shared" ca="1" si="56"/>
        <v>6607.6900721000002</v>
      </c>
      <c r="V19" s="15" t="s">
        <v>7</v>
      </c>
      <c r="W19" s="16">
        <f t="shared" ca="1" si="40"/>
        <v>1362.7950000000003</v>
      </c>
      <c r="X19" s="17">
        <f ca="1">COUNTIF(Y1,"Ocak")*(DP15)*-1
+COUNTIF(Y1,"Şubat")*(DP16)*-1
+COUNTIF(Y1,"Mart")*(DP17)*-1
+COUNTIF(Y1,"Nisan")*(DP18)*-1
+COUNTIF(Y1,"Mayıs")*(DP19)*-1
+COUNTIF(Y1,"Haziran")*(DP20)*-1
+COUNTIF(Y1,"Temmuz")*(DP21)*-1
+COUNTIF(Y1,"Ağustos")*(DP22)*-1
+COUNTIF(Y1,"Eylül")*(DP23)*-1
+COUNTIF(Y1,"Ekim")*(DP24)*-1
+COUNTIF(Y1,"Kasım")*(DP25)*-1
+COUNTIF(Y1,"Aralık")*(DP26)*-1
+COUNTIF(Y1,"Yıllık Toplam")*(DP27)*-1
+COUNTIF(Y1,"Yıllık Ortalama")*(DP28)*-1</f>
        <v>1362.7950000000003</v>
      </c>
      <c r="Y19" s="64"/>
      <c r="Z19" s="68"/>
      <c r="AA19" s="18" t="s">
        <v>0</v>
      </c>
      <c r="AB19" s="20" t="s">
        <v>0</v>
      </c>
      <c r="AC19" s="56"/>
      <c r="AD19" s="58"/>
      <c r="AE19" s="60"/>
      <c r="AF19" s="59"/>
      <c r="AG19" s="34" t="s">
        <v>94</v>
      </c>
      <c r="AH19" s="32">
        <v>251.72</v>
      </c>
      <c r="AI19" s="22">
        <v>297.10000000000002</v>
      </c>
      <c r="AJ19" s="40">
        <f t="shared" si="45"/>
        <v>6634.62</v>
      </c>
      <c r="AK19" s="25">
        <f ca="1">(AJ19*DE15)</f>
        <v>4461.1848341999994</v>
      </c>
      <c r="AL19" s="25">
        <f t="shared" si="46"/>
        <v>0</v>
      </c>
      <c r="AM19" s="25">
        <f ca="1">(AL19*DE15)</f>
        <v>0</v>
      </c>
      <c r="AN19" s="25">
        <f t="shared" si="47"/>
        <v>0</v>
      </c>
      <c r="AO19" s="42">
        <f t="shared" si="70"/>
        <v>44682</v>
      </c>
      <c r="AP19" s="42">
        <f t="shared" si="48"/>
        <v>44712</v>
      </c>
      <c r="AQ19" s="43">
        <f t="shared" si="57"/>
        <v>31</v>
      </c>
      <c r="AR19" s="43">
        <f t="shared" si="58"/>
        <v>26</v>
      </c>
      <c r="AS19" s="43">
        <f t="shared" si="59"/>
        <v>5</v>
      </c>
      <c r="AT19" s="41" t="s">
        <v>0</v>
      </c>
      <c r="AU19" s="32">
        <f t="shared" si="49"/>
        <v>214.02</v>
      </c>
      <c r="AV19" s="32">
        <f ca="1">(AU19*DE15)</f>
        <v>143.90918819999999</v>
      </c>
      <c r="AW19" s="32">
        <f t="shared" si="50"/>
        <v>214.02</v>
      </c>
      <c r="AX19" s="25">
        <f ca="1">(AW19*DE15+DL5/30*-1+DB15/30)</f>
        <v>166.44220019999997</v>
      </c>
      <c r="AY19" s="32">
        <f t="shared" si="51"/>
        <v>214.02</v>
      </c>
      <c r="AZ19" s="25">
        <f ca="1">(AY19*DE15)</f>
        <v>143.90918819999999</v>
      </c>
      <c r="BA19" s="41" t="s">
        <v>0</v>
      </c>
      <c r="BB19" s="25">
        <f t="shared" ref="BB19:BH19" si="72">(AZ1+AZ2+AZ3+BB14+BB15+BB16+AY22+AY23+AY24+AY25+BB17+BB18)</f>
        <v>12876.786000000002</v>
      </c>
      <c r="BC19" s="25">
        <f t="shared" ca="1" si="72"/>
        <v>-2712.3194100873411</v>
      </c>
      <c r="BD19" s="25">
        <f t="shared" ca="1" si="72"/>
        <v>7042.26</v>
      </c>
      <c r="BE19" s="25">
        <f t="shared" si="72"/>
        <v>6988.8</v>
      </c>
      <c r="BF19" s="25">
        <f t="shared" ca="1" si="72"/>
        <v>53.450753400000011</v>
      </c>
      <c r="BG19" s="25">
        <f t="shared" ca="1" si="72"/>
        <v>7042.26</v>
      </c>
      <c r="BH19" s="25">
        <f t="shared" ca="1" si="72"/>
        <v>7042.26</v>
      </c>
      <c r="BI19" s="41" t="s">
        <v>0</v>
      </c>
      <c r="BJ19" s="25">
        <f t="shared" ref="BJ19:CG19" si="73">(BH1+BH2+BH3+BJ14+BJ15+BJ16+BG22+BG23+BG24+BG25+BJ17+BJ18)</f>
        <v>26207.88</v>
      </c>
      <c r="BK19" s="25">
        <f t="shared" ca="1" si="73"/>
        <v>17185.308451470555</v>
      </c>
      <c r="BL19" s="27">
        <f t="shared" si="73"/>
        <v>360</v>
      </c>
      <c r="BM19" s="25">
        <f t="shared" si="73"/>
        <v>9279</v>
      </c>
      <c r="BN19" s="25">
        <f t="shared" ca="1" si="73"/>
        <v>6157.1129101076149</v>
      </c>
      <c r="BO19" s="27">
        <f t="shared" si="73"/>
        <v>360</v>
      </c>
      <c r="BP19" s="25">
        <f t="shared" si="73"/>
        <v>4639.4399999999996</v>
      </c>
      <c r="BQ19" s="25">
        <f t="shared" ca="1" si="73"/>
        <v>3078.5166418439153</v>
      </c>
      <c r="BR19" s="25">
        <f t="shared" si="73"/>
        <v>0</v>
      </c>
      <c r="BS19" s="25">
        <f t="shared" ca="1" si="73"/>
        <v>0</v>
      </c>
      <c r="BT19" s="25">
        <f t="shared" si="73"/>
        <v>0</v>
      </c>
      <c r="BU19" s="25">
        <f t="shared" ca="1" si="73"/>
        <v>0</v>
      </c>
      <c r="BV19" s="25">
        <f t="shared" si="73"/>
        <v>0</v>
      </c>
      <c r="BW19" s="25">
        <f t="shared" si="73"/>
        <v>0</v>
      </c>
      <c r="BX19" s="25">
        <f t="shared" si="73"/>
        <v>0</v>
      </c>
      <c r="BY19" s="25">
        <f t="shared" ca="1" si="73"/>
        <v>0</v>
      </c>
      <c r="BZ19" s="25">
        <f t="shared" si="73"/>
        <v>0</v>
      </c>
      <c r="CA19" s="25">
        <f t="shared" si="73"/>
        <v>0</v>
      </c>
      <c r="CB19" s="25">
        <f t="shared" si="73"/>
        <v>0</v>
      </c>
      <c r="CC19" s="25">
        <f t="shared" ca="1" si="73"/>
        <v>0</v>
      </c>
      <c r="CD19" s="25">
        <f t="shared" si="73"/>
        <v>0</v>
      </c>
      <c r="CE19" s="25">
        <f t="shared" si="73"/>
        <v>0</v>
      </c>
      <c r="CF19" s="25">
        <f t="shared" si="73"/>
        <v>0</v>
      </c>
      <c r="CG19" s="25">
        <f t="shared" ca="1" si="73"/>
        <v>0</v>
      </c>
      <c r="CH19" s="25">
        <f t="shared" ref="CH19:CM19" si="74">(AX26+AX27+AX28+CH14+CH15+CH16+CE22+CE23+CE24+CE25+CH17+CH18)</f>
        <v>0</v>
      </c>
      <c r="CI19" s="25">
        <f t="shared" si="74"/>
        <v>0</v>
      </c>
      <c r="CJ19" s="25">
        <f t="shared" si="74"/>
        <v>0</v>
      </c>
      <c r="CK19" s="25">
        <f t="shared" ca="1" si="74"/>
        <v>0</v>
      </c>
      <c r="CL19" s="25">
        <f t="shared" si="74"/>
        <v>0</v>
      </c>
      <c r="CM19" s="25">
        <f t="shared" si="74"/>
        <v>0</v>
      </c>
      <c r="CN19" s="41" t="s">
        <v>0</v>
      </c>
      <c r="CO19" s="25">
        <f>(BE26+BE27+BE28+CO14+CO15+CO16+CL22+CL23+CL24+CL25+CO17+CO18)</f>
        <v>0</v>
      </c>
      <c r="CP19" s="25">
        <f ca="1">(BF26+BF27+BF28+CP14+CP15+CP16+CM22+CM23+CM24+CM25+CP17+CP18)</f>
        <v>0</v>
      </c>
      <c r="CQ19" s="25">
        <f>(BG26+BG27+BG28+CQ14+CQ15+CQ16+CN22+CN23+CN24+CN25+CQ17+CQ18)</f>
        <v>0</v>
      </c>
      <c r="CR19" s="25">
        <f>(BH26+BH27+BH28+CR14+CR15+CR16+CO22+CO23+CO24+CO25+CR17+CR18)</f>
        <v>0</v>
      </c>
      <c r="CS19" s="28">
        <f t="shared" si="60"/>
        <v>0.2</v>
      </c>
      <c r="CT19" s="25">
        <f t="shared" si="61"/>
        <v>1100.07</v>
      </c>
      <c r="CU19" s="28">
        <f t="shared" si="62"/>
        <v>0.80240999999999996</v>
      </c>
      <c r="CV19" s="25">
        <f>BW4</f>
        <v>6471</v>
      </c>
      <c r="CW19" s="25">
        <f>BW4+BZ4+CC4+CD4</f>
        <v>5500.3499999999995</v>
      </c>
      <c r="CX19" s="25" t="s">
        <v>0</v>
      </c>
      <c r="CY19" s="25">
        <f ca="1">(AW12+AW2+AY2+AY8+BA8+BC8+BA24+BG24+BJ24+BM24+BO24+BQ24+CL24+BM4)</f>
        <v>10628.820000000002</v>
      </c>
      <c r="CZ19" s="25">
        <f ca="1">(AW12+AW2+AY2+AY8+BA8+BC8+BA24+BG24+BJ24+BM24+BO24+BQ24+CL24+BM4)</f>
        <v>10628.820000000002</v>
      </c>
      <c r="DA19" s="25">
        <f t="shared" ca="1" si="63"/>
        <v>-80.672743800000021</v>
      </c>
      <c r="DB19" s="25">
        <f>(BX4)</f>
        <v>6471</v>
      </c>
      <c r="DC19" s="25">
        <f t="shared" si="64"/>
        <v>-49.114890000000003</v>
      </c>
      <c r="DD19" s="25">
        <f t="shared" ca="1" si="65"/>
        <v>4157.8200000000015</v>
      </c>
      <c r="DE19" s="25">
        <f t="shared" ca="1" si="66"/>
        <v>-31.557853800000014</v>
      </c>
      <c r="DF19" s="25">
        <f t="shared" ca="1" si="67"/>
        <v>-31.557853800000014</v>
      </c>
      <c r="DG19" s="25">
        <f ca="1">(BH8+BD24+BW24+CN24+BN4)</f>
        <v>1017.6099999999999</v>
      </c>
      <c r="DH19" s="25">
        <f t="shared" ca="1" si="68"/>
        <v>9611.2100000000009</v>
      </c>
      <c r="DI19" s="25">
        <f ca="1">IF(DH19&gt;=BW4*7.5,BW4*7.5,DH19)</f>
        <v>9611.2100000000009</v>
      </c>
      <c r="DM19" s="34" t="s">
        <v>38</v>
      </c>
      <c r="DN19" s="25">
        <v>3452</v>
      </c>
      <c r="DO19" s="25">
        <f ca="1">(DG10*0.14*-1)</f>
        <v>-1224.1614000000004</v>
      </c>
      <c r="DP19" s="25">
        <f ca="1">(DG10*0.01*-1)</f>
        <v>-87.440100000000015</v>
      </c>
      <c r="DQ19" s="25">
        <f ca="1">(BL4+BH15+BW15+CR15+CF4+CJ4)</f>
        <v>685.15800000000002</v>
      </c>
      <c r="DR19" s="25">
        <f ca="1">(DI5+DO19+DP19-DQ19)</f>
        <v>7500.0505000000003</v>
      </c>
      <c r="DS19" s="25">
        <f ca="1">SUM($DR$15:DR19)</f>
        <v>43321.5965</v>
      </c>
      <c r="DT19" s="29">
        <f t="shared" ca="1" si="54"/>
        <v>0.2</v>
      </c>
      <c r="DU19" s="33">
        <f t="shared" ca="1" si="69"/>
        <v>0</v>
      </c>
      <c r="DV19" s="28">
        <f t="shared" ca="1" si="55"/>
        <v>0.2</v>
      </c>
      <c r="DW19" s="25">
        <f t="shared" ca="1" si="71"/>
        <v>-1500.01</v>
      </c>
      <c r="DX19" s="24">
        <v>17</v>
      </c>
      <c r="DY19" s="35">
        <v>8.5</v>
      </c>
      <c r="DZ19" s="36">
        <v>0.19</v>
      </c>
      <c r="EA19" s="49"/>
    </row>
    <row r="20" spans="1:131" ht="39.950000000000003" customHeight="1" x14ac:dyDescent="0.25">
      <c r="A20" s="3">
        <f t="shared" ca="1" si="44"/>
        <v>0.2</v>
      </c>
      <c r="B20" s="4" t="s">
        <v>18</v>
      </c>
      <c r="C20" s="51">
        <v>0</v>
      </c>
      <c r="D20" s="52">
        <v>0</v>
      </c>
      <c r="E20" s="52">
        <v>0</v>
      </c>
      <c r="F20" s="52">
        <v>0</v>
      </c>
      <c r="G20" s="51">
        <v>26</v>
      </c>
      <c r="H20" s="51">
        <v>104</v>
      </c>
      <c r="I20" s="51">
        <v>0</v>
      </c>
      <c r="J20" s="53" t="s">
        <v>1</v>
      </c>
      <c r="K20" s="51">
        <v>0</v>
      </c>
      <c r="L20" s="51">
        <v>0</v>
      </c>
      <c r="M20" s="51">
        <v>0</v>
      </c>
      <c r="N20" s="51">
        <v>0</v>
      </c>
      <c r="O20" s="54" t="s">
        <v>1</v>
      </c>
      <c r="P20" s="54" t="s">
        <v>1</v>
      </c>
      <c r="Q20" s="54" t="s">
        <v>1</v>
      </c>
      <c r="R20" s="55">
        <v>0</v>
      </c>
      <c r="S20" s="5">
        <f ca="1">(CZ16-BE16+CI5+CK5+DF16+DO20+DP20+CG1-T20)</f>
        <v>8209.4447017000002</v>
      </c>
      <c r="T20" s="5">
        <f ca="1">(AX5+AZ5+BB5+BD5+CE9)</f>
        <v>844.69936979999989</v>
      </c>
      <c r="U20" s="6">
        <f t="shared" ca="1" si="56"/>
        <v>9054.1440715000008</v>
      </c>
      <c r="V20" s="15" t="s">
        <v>36</v>
      </c>
      <c r="W20" s="16">
        <f t="shared" ca="1" si="40"/>
        <v>14957.97</v>
      </c>
      <c r="X20" s="17">
        <f ca="1">COUNTIF(Y1,"Ocak")*(DC11)*-1
+COUNTIF(Y1,"Şubat")*(DC12)*-1
+COUNTIF(Y1,"Mart")*(DC13)*-1
+COUNTIF(Y1,"Nisan")*(DC14)*-1
+COUNTIF(Y1,"Mayıs")*(DC15)*-1
+COUNTIF(Y1,"Haziran")*(CG1)*-1
+COUNTIF(Y1,"Temmuz")*(CG2)*-1
+COUNTIF(Y1,"Ağustos")*(CG3)*-1
+COUNTIF(Y1,"Eylül")*(CF12)*-1
+COUNTIF(Y1,"Ekim")*(CF13)*-1
+COUNTIF(Y1,"Kasım")*(DI6)*-1
+COUNTIF(Y1,"Aralık")*(DI7)*-1
+COUNTIF(Y1,"Yıllık Toplam")*(DI8)*-1
+COUNTIF(Y1,"Yıllık Ortalama")*(DI9)*-1</f>
        <v>14957.97</v>
      </c>
      <c r="Y20" s="64"/>
      <c r="Z20" s="68"/>
      <c r="AA20" s="18" t="s">
        <v>0</v>
      </c>
      <c r="AB20" s="20" t="s">
        <v>0</v>
      </c>
      <c r="AC20" s="56"/>
      <c r="AD20" s="58"/>
      <c r="AE20" s="60"/>
      <c r="AF20" s="59"/>
      <c r="AG20" s="34" t="s">
        <v>95</v>
      </c>
      <c r="AH20" s="32">
        <v>223.69</v>
      </c>
      <c r="AI20" s="22">
        <v>263.3</v>
      </c>
      <c r="AJ20" s="40">
        <f t="shared" si="45"/>
        <v>6420.6</v>
      </c>
      <c r="AK20" s="25">
        <f ca="1">(AJ20*CI1)</f>
        <v>4317.2756460000001</v>
      </c>
      <c r="AL20" s="25">
        <f t="shared" si="46"/>
        <v>0</v>
      </c>
      <c r="AM20" s="25">
        <f ca="1">(AL20*CI1)</f>
        <v>0</v>
      </c>
      <c r="AN20" s="25">
        <f t="shared" si="47"/>
        <v>0</v>
      </c>
      <c r="AO20" s="42">
        <f t="shared" si="70"/>
        <v>44713</v>
      </c>
      <c r="AP20" s="42">
        <f t="shared" si="48"/>
        <v>44742</v>
      </c>
      <c r="AQ20" s="43">
        <f t="shared" si="57"/>
        <v>30</v>
      </c>
      <c r="AR20" s="43">
        <f t="shared" si="58"/>
        <v>26</v>
      </c>
      <c r="AS20" s="43">
        <f t="shared" si="59"/>
        <v>4</v>
      </c>
      <c r="AT20" s="41" t="s">
        <v>0</v>
      </c>
      <c r="AU20" s="32">
        <f t="shared" si="49"/>
        <v>214.02</v>
      </c>
      <c r="AV20" s="32">
        <f ca="1">(AU20*CI1)</f>
        <v>143.90918819999999</v>
      </c>
      <c r="AW20" s="32">
        <f t="shared" si="50"/>
        <v>214.02</v>
      </c>
      <c r="AX20" s="25">
        <f ca="1">(AW20*CI1+DC16/30*-1+CF1/30)</f>
        <v>166.44220019999997</v>
      </c>
      <c r="AY20" s="32">
        <f t="shared" si="51"/>
        <v>214.02</v>
      </c>
      <c r="AZ20" s="25">
        <f ca="1">(AY20*CI1)</f>
        <v>143.90918819999999</v>
      </c>
      <c r="BA20" s="41" t="s">
        <v>0</v>
      </c>
      <c r="BB20" s="25">
        <f>(BB19/12)</f>
        <v>1073.0655000000002</v>
      </c>
      <c r="BC20" s="25">
        <f ca="1">(BC19/12)</f>
        <v>-226.02661750727842</v>
      </c>
      <c r="BD20" s="25">
        <f t="shared" ref="BD20:BH20" ca="1" si="75">(BD19/12)</f>
        <v>586.85500000000002</v>
      </c>
      <c r="BE20" s="25">
        <f t="shared" si="75"/>
        <v>582.4</v>
      </c>
      <c r="BF20" s="25">
        <f t="shared" ca="1" si="75"/>
        <v>4.4542294500000006</v>
      </c>
      <c r="BG20" s="25">
        <f t="shared" ca="1" si="75"/>
        <v>586.85500000000002</v>
      </c>
      <c r="BH20" s="25">
        <f t="shared" ca="1" si="75"/>
        <v>586.85500000000002</v>
      </c>
      <c r="BI20" s="41" t="s">
        <v>0</v>
      </c>
      <c r="BJ20" s="25">
        <f t="shared" ref="BJ20:BK20" si="76">(BJ19/12)</f>
        <v>2183.9900000000002</v>
      </c>
      <c r="BK20" s="25">
        <f t="shared" ca="1" si="76"/>
        <v>1432.1090376225463</v>
      </c>
      <c r="BL20" s="41" t="s">
        <v>0</v>
      </c>
      <c r="BM20" s="25">
        <f t="shared" ref="BM20:BN20" si="77">(BM19/12)</f>
        <v>773.25</v>
      </c>
      <c r="BN20" s="25">
        <f t="shared" ca="1" si="77"/>
        <v>513.09274250896794</v>
      </c>
      <c r="BO20" s="41" t="s">
        <v>0</v>
      </c>
      <c r="BP20" s="25">
        <f t="shared" ref="BP20:BQ20" si="78">(BP19/12)</f>
        <v>386.61999999999995</v>
      </c>
      <c r="BQ20" s="25">
        <f t="shared" ca="1" si="78"/>
        <v>256.54305348699296</v>
      </c>
      <c r="BR20" s="25">
        <f t="shared" ref="BR20:BS20" si="79">(BR19/12)</f>
        <v>0</v>
      </c>
      <c r="BS20" s="25">
        <f t="shared" ca="1" si="79"/>
        <v>0</v>
      </c>
      <c r="BT20" s="25">
        <f t="shared" ref="BT20:BW20" si="80">(BT19/12)</f>
        <v>0</v>
      </c>
      <c r="BU20" s="25">
        <f t="shared" ca="1" si="80"/>
        <v>0</v>
      </c>
      <c r="BV20" s="25">
        <f t="shared" si="80"/>
        <v>0</v>
      </c>
      <c r="BW20" s="25">
        <f t="shared" si="80"/>
        <v>0</v>
      </c>
      <c r="BX20" s="25">
        <f t="shared" ref="BX20:CA20" si="81">(BX19/12)</f>
        <v>0</v>
      </c>
      <c r="BY20" s="25">
        <f t="shared" ca="1" si="81"/>
        <v>0</v>
      </c>
      <c r="BZ20" s="25">
        <f t="shared" si="81"/>
        <v>0</v>
      </c>
      <c r="CA20" s="25">
        <f t="shared" si="81"/>
        <v>0</v>
      </c>
      <c r="CB20" s="25">
        <f t="shared" ref="CB20:CE20" si="82">(CB19/12)</f>
        <v>0</v>
      </c>
      <c r="CC20" s="25">
        <f t="shared" ca="1" si="82"/>
        <v>0</v>
      </c>
      <c r="CD20" s="25">
        <f t="shared" si="82"/>
        <v>0</v>
      </c>
      <c r="CE20" s="25">
        <f t="shared" si="82"/>
        <v>0</v>
      </c>
      <c r="CF20" s="25">
        <f t="shared" ref="CF20:CI20" si="83">(CF19/12)</f>
        <v>0</v>
      </c>
      <c r="CG20" s="25">
        <f t="shared" ca="1" si="83"/>
        <v>0</v>
      </c>
      <c r="CH20" s="25">
        <f t="shared" si="83"/>
        <v>0</v>
      </c>
      <c r="CI20" s="25">
        <f t="shared" si="83"/>
        <v>0</v>
      </c>
      <c r="CJ20" s="25">
        <f t="shared" ref="CJ20:CM20" si="84">(CJ19/12)</f>
        <v>0</v>
      </c>
      <c r="CK20" s="25">
        <f t="shared" ca="1" si="84"/>
        <v>0</v>
      </c>
      <c r="CL20" s="25">
        <f t="shared" si="84"/>
        <v>0</v>
      </c>
      <c r="CM20" s="25">
        <f t="shared" si="84"/>
        <v>0</v>
      </c>
      <c r="CN20" s="41" t="s">
        <v>0</v>
      </c>
      <c r="CO20" s="25">
        <f t="shared" ref="CO20:CR20" si="85">(CO19/12)</f>
        <v>0</v>
      </c>
      <c r="CP20" s="25">
        <f t="shared" ca="1" si="85"/>
        <v>0</v>
      </c>
      <c r="CQ20" s="25">
        <f t="shared" si="85"/>
        <v>0</v>
      </c>
      <c r="CR20" s="25">
        <f t="shared" si="85"/>
        <v>0</v>
      </c>
      <c r="CS20" s="28">
        <f t="shared" si="60"/>
        <v>0.2</v>
      </c>
      <c r="CT20" s="25">
        <f t="shared" si="61"/>
        <v>1100.07</v>
      </c>
      <c r="CU20" s="28">
        <f t="shared" si="62"/>
        <v>0.80240999999999996</v>
      </c>
      <c r="CV20" s="25">
        <f>BW5</f>
        <v>6471</v>
      </c>
      <c r="CW20" s="25">
        <f>BW5+BZ5+CC5+CD5</f>
        <v>5500.3499999999995</v>
      </c>
      <c r="CX20" s="25" t="s">
        <v>0</v>
      </c>
      <c r="CY20" s="25">
        <f ca="1">(AW13+AW3+AY3+AY9+BA9+BC9+BA25+BG25+BJ25+BM25+BO25+BQ25+CL25+BM5)</f>
        <v>15428.22</v>
      </c>
      <c r="CZ20" s="25">
        <f ca="1">(AW13+AW3+AY3+AY9+BA9+BC9+BA25+BG25+BJ25+BM25+BO25+BQ25+CL25+BM5)</f>
        <v>15428.22</v>
      </c>
      <c r="DA20" s="25">
        <f t="shared" ca="1" si="63"/>
        <v>-117.1001898</v>
      </c>
      <c r="DB20" s="25">
        <f>(BX5)</f>
        <v>6471</v>
      </c>
      <c r="DC20" s="25">
        <f t="shared" si="64"/>
        <v>-49.114890000000003</v>
      </c>
      <c r="DD20" s="25">
        <f t="shared" ca="1" si="65"/>
        <v>8957.2199999999993</v>
      </c>
      <c r="DE20" s="25">
        <f t="shared" ca="1" si="66"/>
        <v>-67.985299799999993</v>
      </c>
      <c r="DF20" s="25">
        <f t="shared" ca="1" si="67"/>
        <v>-67.985299799999993</v>
      </c>
      <c r="DG20" s="25">
        <f ca="1">(BH9+BD25+BW25+CN25+BN5)</f>
        <v>1017.6099999999999</v>
      </c>
      <c r="DH20" s="25">
        <f t="shared" ca="1" si="68"/>
        <v>14410.609999999999</v>
      </c>
      <c r="DI20" s="25">
        <f ca="1">IF(DH20&gt;=BW5*7.5,BW5*7.5,DH20)</f>
        <v>14410.609999999999</v>
      </c>
      <c r="DM20" s="34" t="s">
        <v>117</v>
      </c>
      <c r="DN20" s="25">
        <v>690.4</v>
      </c>
      <c r="DO20" s="25">
        <f t="shared" ref="DO20:DO26" ca="1" si="86">(DI16*0.14*-1)</f>
        <v>-1733.5290000000005</v>
      </c>
      <c r="DP20" s="25">
        <f t="shared" ref="DP20:DP26" ca="1" si="87">(DI16*0.01*-1)</f>
        <v>-123.82350000000002</v>
      </c>
      <c r="DQ20" s="25">
        <f ca="1">(BL5+BH16+BW16+CR16+CF5+CJ5)</f>
        <v>685.15800000000002</v>
      </c>
      <c r="DR20" s="25">
        <f t="shared" ref="DR20:DR26" ca="1" si="88">(CZ16+DO20+DP20-DQ20)</f>
        <v>10592.639500000001</v>
      </c>
      <c r="DS20" s="25">
        <f ca="1">SUM($DR$15:DR20)</f>
        <v>53914.236000000004</v>
      </c>
      <c r="DT20" s="29">
        <f t="shared" ca="1" si="54"/>
        <v>0.2</v>
      </c>
      <c r="DU20" s="33">
        <f t="shared" ca="1" si="69"/>
        <v>0</v>
      </c>
      <c r="DV20" s="28">
        <f t="shared" ca="1" si="55"/>
        <v>0.2</v>
      </c>
      <c r="DW20" s="25">
        <f t="shared" ca="1" si="71"/>
        <v>-2118.5300000000002</v>
      </c>
      <c r="DX20" s="24">
        <v>18</v>
      </c>
      <c r="DY20" s="35">
        <v>9</v>
      </c>
      <c r="DZ20" s="36">
        <v>0.2</v>
      </c>
      <c r="EA20" s="49"/>
    </row>
    <row r="21" spans="1:131" ht="39.950000000000003" customHeight="1" x14ac:dyDescent="0.25">
      <c r="A21" s="3">
        <f t="shared" ca="1" si="44"/>
        <v>0.2</v>
      </c>
      <c r="B21" s="4" t="s">
        <v>19</v>
      </c>
      <c r="C21" s="51">
        <v>0</v>
      </c>
      <c r="D21" s="52">
        <v>0</v>
      </c>
      <c r="E21" s="52">
        <v>0</v>
      </c>
      <c r="F21" s="52">
        <v>0</v>
      </c>
      <c r="G21" s="51">
        <v>26</v>
      </c>
      <c r="H21" s="51">
        <v>104</v>
      </c>
      <c r="I21" s="51">
        <v>0</v>
      </c>
      <c r="J21" s="53" t="s">
        <v>1</v>
      </c>
      <c r="K21" s="51">
        <v>0</v>
      </c>
      <c r="L21" s="51">
        <v>0</v>
      </c>
      <c r="M21" s="51">
        <v>0</v>
      </c>
      <c r="N21" s="51">
        <v>0</v>
      </c>
      <c r="O21" s="54" t="s">
        <v>1</v>
      </c>
      <c r="P21" s="54" t="s">
        <v>1</v>
      </c>
      <c r="Q21" s="54" t="s">
        <v>1</v>
      </c>
      <c r="R21" s="55">
        <v>0</v>
      </c>
      <c r="S21" s="5">
        <f ca="1">(CZ17-BB22+CI6+CK6+DF17+DO21+DP21+CG2-T21)</f>
        <v>6737.5724424000009</v>
      </c>
      <c r="T21" s="5">
        <f ca="1">(AX6+AZ6+BB6+BD6+CE10)</f>
        <v>853.84096979999993</v>
      </c>
      <c r="U21" s="6">
        <f t="shared" ca="1" si="56"/>
        <v>7591.4134122000005</v>
      </c>
      <c r="V21" s="15" t="s">
        <v>72</v>
      </c>
      <c r="W21" s="16">
        <f t="shared" ca="1" si="40"/>
        <v>171140.78340000001</v>
      </c>
      <c r="X21" s="17">
        <f ca="1">COUNTIF(Y1,"Ocak")*(CR6)
+COUNTIF(Y1,"Şubat")*(CR7)
+COUNTIF(Y1,"Mart")*(CR8)
+COUNTIF(Y1,"Nisan")*(CR9)
+COUNTIF(Y1,"Mayıs")*(CR10)
+COUNTIF(Y1,"Haziran")*(CR11)
+COUNTIF(Y1,"Temmuz")*(CR12)
+COUNTIF(Y1,"Ağustos")*(CR13)
+COUNTIF(Y1,"Eylül")*(CN12)
+COUNTIF(Y1,"Ekim")*(CN13)
+COUNTIF(Y1,"Kasım")*(CP4)
+COUNTIF(Y1,"Aralık")*(CP5)
+COUNTIF(Y1,"Yıllık Toplam")*(CP6)
+COUNTIF(Y1,"Yıllık Ortalama")*(CP7)</f>
        <v>171140.78340000001</v>
      </c>
      <c r="Y21" s="64"/>
      <c r="Z21" s="68"/>
      <c r="AA21" s="18" t="s">
        <v>0</v>
      </c>
      <c r="AB21" s="20" t="s">
        <v>0</v>
      </c>
      <c r="AC21" s="56"/>
      <c r="AD21" s="58"/>
      <c r="AE21" s="60"/>
      <c r="AF21" s="59"/>
      <c r="AG21" s="34" t="s">
        <v>96</v>
      </c>
      <c r="AH21" s="32">
        <v>223.69</v>
      </c>
      <c r="AI21" s="22">
        <v>263.3</v>
      </c>
      <c r="AJ21" s="40">
        <f t="shared" si="45"/>
        <v>7830.5999999999995</v>
      </c>
      <c r="AK21" s="25">
        <f ca="1">(AJ21*CI2)</f>
        <v>5265.3737459999993</v>
      </c>
      <c r="AL21" s="25">
        <f t="shared" si="46"/>
        <v>0</v>
      </c>
      <c r="AM21" s="25">
        <f ca="1">(AL21*CI2)</f>
        <v>0</v>
      </c>
      <c r="AN21" s="25">
        <f t="shared" si="47"/>
        <v>0</v>
      </c>
      <c r="AO21" s="42">
        <f t="shared" si="70"/>
        <v>44743</v>
      </c>
      <c r="AP21" s="42">
        <f t="shared" si="48"/>
        <v>44773</v>
      </c>
      <c r="AQ21" s="43">
        <f t="shared" si="57"/>
        <v>31</v>
      </c>
      <c r="AR21" s="43">
        <f t="shared" si="58"/>
        <v>26</v>
      </c>
      <c r="AS21" s="43">
        <f t="shared" si="59"/>
        <v>5</v>
      </c>
      <c r="AT21" s="41" t="s">
        <v>0</v>
      </c>
      <c r="AU21"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V21" s="32">
        <f ca="1">(AU21*CI2)</f>
        <v>169.85076599999999</v>
      </c>
      <c r="AW21"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X21" s="25">
        <f ca="1">(AW21*CI2+DC17/30*-1+CF2/30)</f>
        <v>198.98959566666665</v>
      </c>
      <c r="AY21" s="32">
        <f>COUNTIF($A$1,"Mekanik / Teknik Sorumlusu")*($AI$1+AL21)
+COUNTIF($A$1,"Elektrik Sorumlusu")*($AI$2+AL21)
+COUNTIF($A$1,"Otomasyon Sistem Sorumlusu")*($AI$3+AL21)
+COUNTIF($A$1,"Bilgi İşlem Sorumlusu")*($AI$4+AL21)
+COUNTIF($A$1,"Bakım Onarım Sorumlusu")*($AI$5+AL21)
+COUNTIF($A$1,"İskeleler Sorumlusu")*($AI$6+AL21)
+COUNTIF($A$1,"Ambar ve Stok Kontrol Sorumlusu")*($AI$7+AL21)
+COUNTIF($A$1,"Akaryakıt Sorumlusu")*($AI$8+AL21)
+COUNTIF($A$1,"İnsan Kaynakları ve Eğitim Sorumlusu")*($AI$9+AL21)
+COUNTIF($A$1,"Muhasebe ve Finansman Sorumlusu")*($AI$10+AL21)
+COUNTIF($A$1,"İhale ve Satınalma Sorumlusu")*($AI$11+AL21)
+COUNTIF($A$1,"Halkla İlişkiler Sorumlusu")*($AI$12+AL21)
+COUNTIF($A$1,"Yazı İşleri Sorumlusu")*($AI$13+AL21)
+COUNTIF($A$1,"Gişeler Sorumlusu")*($AI$14+AL21)
+COUNTIF($A$1,"Temizlik / Güvenlik Sorumlusu")*($AI$15+AL21)
+COUNTIF($A$1,"İskele Sorumlusu")*($AI$16+AL21)
+COUNTIF($A$1,"1S-Atölye Personeli")*($AI$17+AL21)
+COUNTIF($A$1,"1S-Bilgi İşlem Büro Personeli")*($AI$18+AL21)
+COUNTIF($A$1,"1S-Şoför")*($AI$19+AL21)
+COUNTIF($A$1,"1S-Büro Personeli")*($AI$20+AL21)
+COUNTIF($A$1,"1S-Yönetim / Genel Müdür Sekreteri")*($AI$21+AL21)
+COUNTIF($A$1,"1S-İskele Personeli")*($AI$22+AL21)
+COUNTIF($A$1,"1S-Gişe Personeli")*($AI$23+AL21)
+COUNTIF($A$1,"1S-Çımacı / Palamarcı")*($AI$24+AL21)
+COUNTIF($A$1,"1S-Temizlik Personeli")*($AI$25+AL21)
+COUNTIF($A$1,"2S-Atölye Personeli")*($AI$26+AL21)
+COUNTIF($A$1,"2S-Bilgi İşlem Büro Personeli")*($AI$27+AL21)
+COUNTIF($A$1,"2S-Şoför")*($AI$28+AL21)
+COUNTIF($A$1,"2S-Büro Personeli")*($AI$29+AL21)
+COUNTIF($A$1,"2S-Yönetim / Genel Müdür Sekreteri")*($AI$30+AL21)
+COUNTIF($A$1,"2S-İskele Personeli")*($AI$31+AL21)
+COUNTIF($A$1,"2S-Gişe Personeli")*($AI$32+AL21)
+COUNTIF($A$1,"2S-Çımacı / Palamarcı")*($AI$33+AL21)
+COUNTIF($A$1,"2S-Temizlik Personeli")*($AI$34+AL21)</f>
        <v>252.6</v>
      </c>
      <c r="AZ21" s="25">
        <f ca="1">(AY21*CI2)</f>
        <v>169.85076599999999</v>
      </c>
      <c r="BA21" s="41" t="s">
        <v>0</v>
      </c>
      <c r="CS21" s="28">
        <f t="shared" si="60"/>
        <v>0.2</v>
      </c>
      <c r="CT21" s="25">
        <f t="shared" si="61"/>
        <v>1100.07</v>
      </c>
      <c r="CU21" s="28">
        <f t="shared" si="62"/>
        <v>0.80240999999999996</v>
      </c>
      <c r="CV21" s="25">
        <f>BW6</f>
        <v>6471</v>
      </c>
      <c r="CW21" s="25">
        <f>BW6+BZ6+CC6+CD6</f>
        <v>5500.3499999999995</v>
      </c>
      <c r="CX21" s="25" t="s">
        <v>0</v>
      </c>
      <c r="CY21" s="25">
        <f ca="1">(AW14+AS7+AU7+AY10+BA10+BC10+BD17+BJ17+BM17+BP17+BR17+BT17+CO17+BM6)</f>
        <v>10628.820000000002</v>
      </c>
      <c r="CZ21" s="25">
        <f ca="1">(AW14+AS7+AU7+AY10+BA10+BC10+BD17+BJ17+BM17+BP17+BR17+BT17+CO17+BM6)</f>
        <v>10628.820000000002</v>
      </c>
      <c r="DA21" s="25">
        <f t="shared" ca="1" si="63"/>
        <v>-80.672743800000021</v>
      </c>
      <c r="DB21" s="25">
        <f>(BX6)</f>
        <v>6471</v>
      </c>
      <c r="DC21" s="25">
        <f t="shared" si="64"/>
        <v>-49.114890000000003</v>
      </c>
      <c r="DD21" s="25">
        <f t="shared" ca="1" si="65"/>
        <v>4157.8200000000015</v>
      </c>
      <c r="DE21" s="25">
        <f t="shared" ca="1" si="66"/>
        <v>-31.557853800000014</v>
      </c>
      <c r="DF21" s="25">
        <f t="shared" ca="1" si="67"/>
        <v>-31.557853800000014</v>
      </c>
      <c r="DG21" s="25">
        <f ca="1">(BH10+BG17+BZ17+CQ17+BN6)</f>
        <v>1017.6099999999999</v>
      </c>
      <c r="DH21" s="25">
        <f t="shared" ca="1" si="68"/>
        <v>9611.2100000000009</v>
      </c>
      <c r="DI21" s="25">
        <f ca="1">IF(DH21&gt;=BW6*7.5,BW6*7.5,DH21)</f>
        <v>9611.2100000000009</v>
      </c>
      <c r="DM21" s="34" t="s">
        <v>2</v>
      </c>
      <c r="DN21" s="25">
        <v>276.16000000000003</v>
      </c>
      <c r="DO21" s="25">
        <f t="shared" ca="1" si="86"/>
        <v>-1380.9334000000001</v>
      </c>
      <c r="DP21" s="25">
        <f t="shared" ca="1" si="87"/>
        <v>-98.638099999999994</v>
      </c>
      <c r="DQ21" s="25">
        <f ca="1">(BL6+BE22+BT22+CO22+CF6+CJ6)</f>
        <v>908.51</v>
      </c>
      <c r="DR21" s="25">
        <f t="shared" ca="1" si="88"/>
        <v>8493.3384999999998</v>
      </c>
      <c r="DS21" s="25">
        <f ca="1">SUM($DR$15:DR21)</f>
        <v>62407.574500000002</v>
      </c>
      <c r="DT21" s="29">
        <f t="shared" ca="1" si="54"/>
        <v>0.2</v>
      </c>
      <c r="DU21" s="33">
        <f t="shared" ca="1" si="69"/>
        <v>0</v>
      </c>
      <c r="DV21" s="28">
        <f t="shared" ca="1" si="55"/>
        <v>0.2</v>
      </c>
      <c r="DW21" s="25">
        <f t="shared" ca="1" si="71"/>
        <v>-1698.67</v>
      </c>
      <c r="DX21" s="24">
        <v>19</v>
      </c>
      <c r="DY21" s="35">
        <v>9.5</v>
      </c>
      <c r="DZ21" s="36">
        <v>0.21</v>
      </c>
      <c r="EA21" s="49"/>
    </row>
    <row r="22" spans="1:131" ht="39.950000000000003" customHeight="1" x14ac:dyDescent="0.25">
      <c r="A22" s="3">
        <f t="shared" ca="1" si="44"/>
        <v>0.22699427991405002</v>
      </c>
      <c r="B22" s="4" t="s">
        <v>20</v>
      </c>
      <c r="C22" s="51">
        <v>0</v>
      </c>
      <c r="D22" s="52">
        <v>0</v>
      </c>
      <c r="E22" s="52">
        <v>0</v>
      </c>
      <c r="F22" s="52">
        <v>0</v>
      </c>
      <c r="G22" s="51">
        <v>26</v>
      </c>
      <c r="H22" s="51">
        <v>104</v>
      </c>
      <c r="I22" s="51">
        <v>0</v>
      </c>
      <c r="J22" s="53" t="s">
        <v>1</v>
      </c>
      <c r="K22" s="51">
        <v>0</v>
      </c>
      <c r="L22" s="51">
        <v>0</v>
      </c>
      <c r="M22" s="51">
        <v>0</v>
      </c>
      <c r="N22" s="51">
        <v>0</v>
      </c>
      <c r="O22" s="54" t="s">
        <v>1</v>
      </c>
      <c r="P22" s="54" t="s">
        <v>1</v>
      </c>
      <c r="Q22" s="54" t="s">
        <v>1</v>
      </c>
      <c r="R22" s="55">
        <v>0</v>
      </c>
      <c r="S22" s="5">
        <f ca="1">(CZ18-BB23+CI7+CK7+DF18+DO22+DP22+CG3-T22)</f>
        <v>9716.4730926913962</v>
      </c>
      <c r="T22" s="5">
        <f ca="1">(AX7+AZ7+BB7+BD7+CE11)</f>
        <v>824.72010750860102</v>
      </c>
      <c r="U22" s="6">
        <f t="shared" ca="1" si="56"/>
        <v>10541.193200199998</v>
      </c>
      <c r="V22" s="18" t="s">
        <v>44</v>
      </c>
      <c r="W22" s="16">
        <f t="shared" ca="1" si="40"/>
        <v>101401.1026236</v>
      </c>
      <c r="X22" s="16">
        <f ca="1">COUNTIF(Y1,"Ocak")*U15
+COUNTIF(Y1,"Şubat")*U16
+COUNTIF(Y1,"Mart")*U17
+COUNTIF(Y1,"Nisan")*U18
+COUNTIF(Y1,"Mayıs")*U19
+COUNTIF(Y1,"Haziran")*U20
+COUNTIF(Y1,"Temmuz")*U21
+COUNTIF(Y1,"Ağustos")*U22
+COUNTIF(Y1,"Eylül")*U23
+COUNTIF(Y1,"Ekim")*U24
+COUNTIF(Y1,"Kasım")*U25
+COUNTIF(Y1,"Aralık")*U26
+COUNTIF(Y1,"Yıllık Toplam")*(U27)*-1
+COUNTIF(Y1,"Yıllık Ortalama")*(U28)*-1</f>
        <v>-101401.1026236</v>
      </c>
      <c r="Y22" s="64"/>
      <c r="Z22" s="68"/>
      <c r="AA22" s="18" t="s">
        <v>0</v>
      </c>
      <c r="AB22" s="20" t="s">
        <v>0</v>
      </c>
      <c r="AC22" s="56"/>
      <c r="AD22" s="58"/>
      <c r="AE22" s="60"/>
      <c r="AF22" s="59"/>
      <c r="AG22" s="34" t="s">
        <v>97</v>
      </c>
      <c r="AH22" s="32">
        <v>215.4</v>
      </c>
      <c r="AI22" s="22">
        <v>254.1</v>
      </c>
      <c r="AJ22" s="25">
        <f ca="1">(AN15*DE11)</f>
        <v>0</v>
      </c>
      <c r="AK22" s="25">
        <f>(AW15*E15)</f>
        <v>0</v>
      </c>
      <c r="AL22" s="25">
        <f ca="1">(AK22*DE11)</f>
        <v>0</v>
      </c>
      <c r="AM22" s="25">
        <f>(AY15/7.5*0.3*F15)</f>
        <v>0</v>
      </c>
      <c r="AN22" s="25">
        <f ca="1">(AM22*DE11)</f>
        <v>0</v>
      </c>
      <c r="AO22" s="25">
        <f>(46.53*G15)</f>
        <v>1209.78</v>
      </c>
      <c r="AP22" s="25">
        <f ca="1">(AR22+AS22+AV22+AW22+BA1)</f>
        <v>898.06696979999981</v>
      </c>
      <c r="AQ22" s="25">
        <f>(AO22)</f>
        <v>1209.78</v>
      </c>
      <c r="AR22" s="25">
        <f>(AO22)</f>
        <v>1209.78</v>
      </c>
      <c r="AS22" s="25">
        <f>(AR22*0.00759*-1)</f>
        <v>-9.1822302000000011</v>
      </c>
      <c r="AT22" s="25">
        <f>($AL$9*G15)</f>
        <v>260.26</v>
      </c>
      <c r="AU22" s="25">
        <f>(AR22-AT22)</f>
        <v>949.52</v>
      </c>
      <c r="AV22" s="25">
        <f>(AU22*0.14*-1)</f>
        <v>-132.93280000000001</v>
      </c>
      <c r="AW22" s="25">
        <f>(AU22*0.01*-1)</f>
        <v>-9.4952000000000005</v>
      </c>
      <c r="AX22" s="25">
        <f>(0)</f>
        <v>0</v>
      </c>
      <c r="AY22" s="25">
        <f>(BF6+BJ6+BK6-BL6)</f>
        <v>1078.779</v>
      </c>
      <c r="AZ22" s="25">
        <f ca="1">(AY22*DV21*-1)</f>
        <v>-215.75580000000002</v>
      </c>
      <c r="BA22" s="25">
        <f ca="1">(ROUND((BB22+BC22),2))</f>
        <v>681.17</v>
      </c>
      <c r="BB22" s="25">
        <f>(6.5*H21)</f>
        <v>676</v>
      </c>
      <c r="BC22" s="25">
        <f ca="1">(BA22*0.00759)</f>
        <v>5.1700802999999995</v>
      </c>
      <c r="BD22" s="25">
        <f ca="1">(ROUND((BB22+BC22),2))</f>
        <v>681.17</v>
      </c>
      <c r="BE22" s="25">
        <f ca="1">(BA22)</f>
        <v>681.17</v>
      </c>
      <c r="BF22" s="27">
        <v>0</v>
      </c>
      <c r="BG22" s="25">
        <f>(AY21*BF22)</f>
        <v>0</v>
      </c>
      <c r="BH22" s="25">
        <f ca="1">(BG22*CI2)</f>
        <v>0</v>
      </c>
      <c r="BI22" s="27">
        <v>30</v>
      </c>
      <c r="BJ22" s="25">
        <f>(773.25/30*BI22)</f>
        <v>773.25</v>
      </c>
      <c r="BK22" s="25">
        <f ca="1">(BJ22*CI2)</f>
        <v>519.94103250000001</v>
      </c>
      <c r="BL22" s="27">
        <v>30</v>
      </c>
      <c r="BM22" s="25">
        <f>(386.62/30*BL22)</f>
        <v>386.62</v>
      </c>
      <c r="BN22" s="25">
        <f ca="1">(BM22*CI2)</f>
        <v>259.96715419999998</v>
      </c>
      <c r="BO22" s="25">
        <f>COUNTIF($A$1,"1S-Çımacı / Palamarcı")*(8.28*I21)
+COUNTIF($A$1,"2S-Çımacı / Palamarcı")*(8.28*I21)
+COUNTIF($A$1,"1S-Temizlik Personeli")*(5.52*I21)
+COUNTIF($A$1,"2S-Temizlik Personeli")*(5.52*I21)</f>
        <v>0</v>
      </c>
      <c r="BP22" s="25">
        <f ca="1">(BO22*CI2)</f>
        <v>0</v>
      </c>
      <c r="BQ22" s="25">
        <f>COUNTIF(J21,"Var")*($AQ$1)</f>
        <v>0</v>
      </c>
      <c r="BR22" s="25">
        <f ca="1">COUNTIF(J21,"Var")*((BQ22+(BQ22*0.00759*-1)+((BQ22-BS22)*0.14*-1)+((BQ22-BS22)*0.01*-1)+(BQ22+((BQ22-BS22)*0.14*-1)+((BQ22-BS22)*0.01*-1))*DV21*-1))</f>
        <v>0</v>
      </c>
      <c r="BS22" s="25">
        <f>COUNTIF(J21,"Var")*($AM$1)</f>
        <v>0</v>
      </c>
      <c r="BT22" s="25">
        <f>(0)</f>
        <v>0</v>
      </c>
      <c r="BU22" s="25">
        <f>($AQ$2*K21)</f>
        <v>0</v>
      </c>
      <c r="BV22" s="25">
        <f ca="1">(BU22+(BU22*0.00759*-1)+((BU22-BW22)*0.14*-1)+((BU22-BW22)*0.01*-1)+(BU22+((BU22-BW22)*0.14*-1)+((BU22-BW22)*0.01*-1))*DV21*-1)</f>
        <v>0</v>
      </c>
      <c r="BW22" s="25">
        <f>($AM$2*K21)</f>
        <v>0</v>
      </c>
      <c r="BX22" s="25">
        <f>($AM$5*K21)</f>
        <v>0</v>
      </c>
      <c r="BY22" s="25">
        <f>($AQ$3*L21)</f>
        <v>0</v>
      </c>
      <c r="BZ22" s="25">
        <f ca="1">(BY22+(BY22*0.00759*-1)+((BY22-CA22)*0.14*-1)+((BY22-CA22)*0.01*-1)+(BY22+((BY22-CA22)*0.14*-1)+((BY22-CA22)*0.01*-1))*DV21*-1)</f>
        <v>0</v>
      </c>
      <c r="CA22" s="25">
        <f>($AM$3*L21)</f>
        <v>0</v>
      </c>
      <c r="CB22" s="25">
        <f>($AM$6*L21)</f>
        <v>0</v>
      </c>
      <c r="CC22" s="25">
        <f>($AQ$4*M21)</f>
        <v>0</v>
      </c>
      <c r="CD22" s="25">
        <f ca="1">(CC22+(CC22*0.00759*-1)+((CC22-CE22)*0.14*-1)+((CC22-CE22)*0.01*-1)+(CC22+((CC22-CE22)*0.14*-1)+((CC22-CE22)*0.01*-1))*DV21*-1)</f>
        <v>0</v>
      </c>
      <c r="CE22" s="25">
        <f>($AM$2*M21)</f>
        <v>0</v>
      </c>
      <c r="CF22" s="25">
        <f>($AM$5*M21)</f>
        <v>0</v>
      </c>
      <c r="CG22" s="25">
        <f>($AQ$5*N21)</f>
        <v>0</v>
      </c>
      <c r="CH22" s="25">
        <f ca="1">(CG22+(CG22*0.00759*-1)+((CG22-CI22)*0.14*-1)+((CG22-CI22)*0.01*-1)+(CG22+((CG22-CI22)*0.14*-1)+((CG22-CI22)*0.01*-1))*DV21*-1)</f>
        <v>0</v>
      </c>
      <c r="CI22" s="25">
        <f>($AM$3*N21)</f>
        <v>0</v>
      </c>
      <c r="CJ22" s="25">
        <f>($AM$6*N21)</f>
        <v>0</v>
      </c>
      <c r="CK22" s="44">
        <f>(K21+L21+M21+N21)</f>
        <v>0</v>
      </c>
      <c r="CL22" s="25">
        <f t="shared" ref="CL22:CM25" si="89">(BU22+BY22+CC22+CG22)</f>
        <v>0</v>
      </c>
      <c r="CM22" s="25">
        <f t="shared" ca="1" si="89"/>
        <v>0</v>
      </c>
      <c r="CN22" s="25">
        <f>IF(BW22+CA22+CE22+CI22&gt;=$AM$5*2,$AM$5*2,BW22+CA22+CE22+CI22)</f>
        <v>0</v>
      </c>
      <c r="CO22" s="25">
        <f>(BX22+CB22+CF22+CJ22)</f>
        <v>0</v>
      </c>
      <c r="CS22" s="28">
        <f t="shared" si="60"/>
        <v>0.2</v>
      </c>
      <c r="CT22" s="25">
        <f t="shared" si="61"/>
        <v>1100.07</v>
      </c>
      <c r="CU22" s="28">
        <f t="shared" si="62"/>
        <v>0.80240999999999996</v>
      </c>
      <c r="CV22" s="25">
        <f>BW7</f>
        <v>6471</v>
      </c>
      <c r="CW22" s="25">
        <f>BW7+BZ7+CC7+CD7</f>
        <v>5500.3499999999995</v>
      </c>
      <c r="CX22" s="25" t="s">
        <v>0</v>
      </c>
      <c r="CY22" s="25">
        <f ca="1">(AW26+AS8+AU8+AY11+BA11+BC11+BD18+BJ18+BM18+BP18+BR18+BT18+CO18+BM7)</f>
        <v>16438.62</v>
      </c>
      <c r="CZ22" s="25">
        <f ca="1">(AW26+AS8+AU8+AY11+BA11+BC11+BD18+BJ18+BM18+BP18+BR18+BT18+CO18+BM7)</f>
        <v>16438.62</v>
      </c>
      <c r="DA22" s="25">
        <f t="shared" ca="1" si="63"/>
        <v>-124.7691258</v>
      </c>
      <c r="DB22" s="25">
        <f>(BX7)</f>
        <v>6471</v>
      </c>
      <c r="DC22" s="25">
        <f t="shared" si="64"/>
        <v>-49.114890000000003</v>
      </c>
      <c r="DD22" s="25">
        <f t="shared" ca="1" si="65"/>
        <v>9967.619999999999</v>
      </c>
      <c r="DE22" s="25">
        <f t="shared" ca="1" si="66"/>
        <v>-75.654235799999995</v>
      </c>
      <c r="DF22" s="25">
        <f t="shared" ca="1" si="67"/>
        <v>-75.654235799999995</v>
      </c>
      <c r="DG22" s="25">
        <f ca="1">(BH11+BG18+BZ18+CQ18+BN7)</f>
        <v>1017.6099999999999</v>
      </c>
      <c r="DH22" s="25">
        <f t="shared" ca="1" si="68"/>
        <v>15421.009999999998</v>
      </c>
      <c r="DI22" s="25">
        <f ca="1">IF(DH22&gt;=BW7*7.5,BW7*7.5,DH22)</f>
        <v>15421.009999999998</v>
      </c>
      <c r="DM22" s="46" t="s">
        <v>0</v>
      </c>
      <c r="DN22" s="46" t="s">
        <v>0</v>
      </c>
      <c r="DO22" s="25">
        <f t="shared" ca="1" si="86"/>
        <v>-2017.4854</v>
      </c>
      <c r="DP22" s="25">
        <f t="shared" ca="1" si="87"/>
        <v>-144.1061</v>
      </c>
      <c r="DQ22" s="25">
        <f ca="1">(BL7+BE23+BT23+CO23+CF7+CJ7)</f>
        <v>908.51</v>
      </c>
      <c r="DR22" s="25">
        <f t="shared" ca="1" si="88"/>
        <v>12358.118499999999</v>
      </c>
      <c r="DS22" s="25">
        <f ca="1">SUM($DR$15:DR22)</f>
        <v>74765.692999999999</v>
      </c>
      <c r="DT22" s="29">
        <f t="shared" ca="1" si="54"/>
        <v>0.27</v>
      </c>
      <c r="DU22" s="33">
        <f t="shared" ca="1" si="69"/>
        <v>1</v>
      </c>
      <c r="DV22" s="28">
        <f t="shared" ca="1" si="55"/>
        <v>0.22699427991405002</v>
      </c>
      <c r="DW22" s="25">
        <f t="shared" ca="1" si="71"/>
        <v>-2805.22</v>
      </c>
      <c r="DX22" s="24">
        <v>20</v>
      </c>
      <c r="DY22" s="35">
        <v>10</v>
      </c>
      <c r="DZ22" s="36">
        <v>0.22</v>
      </c>
      <c r="EA22" s="49"/>
    </row>
    <row r="23" spans="1:131" ht="39.950000000000003" customHeight="1" x14ac:dyDescent="0.25">
      <c r="A23" s="3">
        <f t="shared" ca="1" si="44"/>
        <v>0.27</v>
      </c>
      <c r="B23" s="4" t="s">
        <v>21</v>
      </c>
      <c r="C23" s="51">
        <v>0</v>
      </c>
      <c r="D23" s="52">
        <v>0</v>
      </c>
      <c r="E23" s="52">
        <v>0</v>
      </c>
      <c r="F23" s="52">
        <v>0</v>
      </c>
      <c r="G23" s="51">
        <v>26</v>
      </c>
      <c r="H23" s="51">
        <v>104</v>
      </c>
      <c r="I23" s="51">
        <v>0</v>
      </c>
      <c r="J23" s="53" t="s">
        <v>1</v>
      </c>
      <c r="K23" s="51">
        <v>0</v>
      </c>
      <c r="L23" s="51">
        <v>0</v>
      </c>
      <c r="M23" s="51">
        <v>0</v>
      </c>
      <c r="N23" s="51">
        <v>0</v>
      </c>
      <c r="O23" s="54" t="s">
        <v>1</v>
      </c>
      <c r="P23" s="54" t="s">
        <v>1</v>
      </c>
      <c r="Q23" s="54" t="s">
        <v>1</v>
      </c>
      <c r="R23" s="55">
        <v>0</v>
      </c>
      <c r="S23" s="5">
        <f ca="1">(CZ19-BB24+BQ4+BS4+DF19+DO23+DP23+CF12-T23)</f>
        <v>6338.7542063999999</v>
      </c>
      <c r="T23" s="5">
        <f ca="1">(AX8+AZ8+BB8+BD8+BT4)</f>
        <v>778.32643979999989</v>
      </c>
      <c r="U23" s="6">
        <f t="shared" ca="1" si="56"/>
        <v>7117.0806462</v>
      </c>
      <c r="V23" s="18" t="s">
        <v>45</v>
      </c>
      <c r="W23" s="16">
        <f t="shared" ca="1" si="40"/>
        <v>45500.857376400018</v>
      </c>
      <c r="X23" s="16">
        <f ca="1">COUNTIF(Y1,"Ocak")*(DI1-U15)
+COUNTIF(Y1,"Şubat")*(DI2-U16)
+COUNTIF(Y1,"Mart")*(DI3-U17)
+COUNTIF(Y1,"Nisan")*(DI4-U18)
+COUNTIF(Y1,"Mayıs")*(DI5-U19)
+COUNTIF(Y1,"Haziran")*(CZ16-U20)
+COUNTIF(Y1,"Temmuz")*(CZ17-U21)
+COUNTIF(Y1,"Ağustos")*(CZ18-U22)
+COUNTIF(Y1,"Eylül")*(CZ19-U23)
+COUNTIF(Y1,"Ekim")*(CZ20-U24)
+COUNTIF(Y1,"Kasım")*(CZ21-U25)
+COUNTIF(Y1,"Aralık")*(CZ22-U26)
+COUNTIF(Y1,"Yıllık Toplam")*(CZ23-U27)*-1
+COUNTIF(Y1,"Yıllık Ortalama")*(CZ24-U28)*-1</f>
        <v>-45500.857376400018</v>
      </c>
      <c r="Y23" s="64"/>
      <c r="Z23" s="68"/>
      <c r="AA23" s="18" t="s">
        <v>0</v>
      </c>
      <c r="AB23" s="20" t="s">
        <v>0</v>
      </c>
      <c r="AC23" s="56"/>
      <c r="AD23" s="58"/>
      <c r="AE23" s="60"/>
      <c r="AF23" s="59"/>
      <c r="AG23" s="34" t="s">
        <v>98</v>
      </c>
      <c r="AH23" s="32">
        <v>215.4</v>
      </c>
      <c r="AI23" s="22">
        <v>254.1</v>
      </c>
      <c r="AJ23" s="25">
        <f ca="1">(AN16*DE12)</f>
        <v>0</v>
      </c>
      <c r="AK23" s="25">
        <f>(AW16*E16)</f>
        <v>0</v>
      </c>
      <c r="AL23" s="25">
        <f ca="1">(AK23*DE12)</f>
        <v>0</v>
      </c>
      <c r="AM23" s="25">
        <f>(AY16/7.5*0.3*F16)</f>
        <v>0</v>
      </c>
      <c r="AN23" s="25">
        <f ca="1">(AM23*DE12)</f>
        <v>0</v>
      </c>
      <c r="AO23" s="25">
        <f>(46.53*G16)</f>
        <v>1209.78</v>
      </c>
      <c r="AP23" s="25">
        <f ca="1">(AR23+AS23+AV23+AW23+BA2)</f>
        <v>898.06696979999981</v>
      </c>
      <c r="AQ23" s="25">
        <f>(AO23)</f>
        <v>1209.78</v>
      </c>
      <c r="AR23" s="25">
        <f>(AO23)</f>
        <v>1209.78</v>
      </c>
      <c r="AS23" s="25">
        <f>(AR23*0.00759*-1)</f>
        <v>-9.1822302000000011</v>
      </c>
      <c r="AT23" s="25">
        <f>($AL$9*G16)</f>
        <v>260.26</v>
      </c>
      <c r="AU23" s="25">
        <f>(AR23-AT23)</f>
        <v>949.52</v>
      </c>
      <c r="AV23" s="25">
        <f>(AU23*0.14*-1)</f>
        <v>-132.93280000000001</v>
      </c>
      <c r="AW23" s="25">
        <f>(AU23*0.01*-1)</f>
        <v>-9.4952000000000005</v>
      </c>
      <c r="AX23" s="25">
        <f>(0)</f>
        <v>0</v>
      </c>
      <c r="AY23" s="25">
        <f>(BF7+BJ7+BK7-BL7)</f>
        <v>1078.779</v>
      </c>
      <c r="AZ23" s="25">
        <f ca="1">(AY23*DV22*-1)</f>
        <v>-244.87666229139896</v>
      </c>
      <c r="BA23" s="25">
        <f ca="1">(ROUND((BB23+BC23),2))</f>
        <v>681.17</v>
      </c>
      <c r="BB23" s="25">
        <f>(6.5*H22)</f>
        <v>676</v>
      </c>
      <c r="BC23" s="25">
        <f ca="1">(BA23*0.00759)</f>
        <v>5.1700802999999995</v>
      </c>
      <c r="BD23" s="25">
        <f ca="1">(ROUND((BB23+BC23),2))</f>
        <v>681.17</v>
      </c>
      <c r="BE23" s="25">
        <f ca="1">(BA23)</f>
        <v>681.17</v>
      </c>
      <c r="BF23" s="27">
        <v>18</v>
      </c>
      <c r="BG23" s="25">
        <f>(AT11*BF23)</f>
        <v>4546.8</v>
      </c>
      <c r="BH23" s="25">
        <f ca="1">(BG23*CI3)</f>
        <v>2952.9868348737782</v>
      </c>
      <c r="BI23" s="27">
        <v>30</v>
      </c>
      <c r="BJ23" s="25">
        <f>(773.25/30*BI23)</f>
        <v>773.25</v>
      </c>
      <c r="BK23" s="25">
        <f ca="1">(BJ23*CI3)</f>
        <v>502.19870459799176</v>
      </c>
      <c r="BL23" s="27">
        <v>30</v>
      </c>
      <c r="BM23" s="25">
        <f>(386.62/30*BL23)</f>
        <v>386.62</v>
      </c>
      <c r="BN23" s="25">
        <f ca="1">(BM23*CI3)</f>
        <v>251.09610497468552</v>
      </c>
      <c r="BO23" s="25">
        <f>COUNTIF($A$1,"1S-Çımacı / Palamarcı")*(8.28*I22)
+COUNTIF($A$1,"2S-Çımacı / Palamarcı")*(8.28*I22)
+COUNTIF($A$1,"1S-Temizlik Personeli")*(5.52*I22)
+COUNTIF($A$1,"2S-Temizlik Personeli")*(5.52*I22)</f>
        <v>0</v>
      </c>
      <c r="BP23" s="25">
        <f ca="1">(BO23*CI3)</f>
        <v>0</v>
      </c>
      <c r="BQ23" s="25">
        <f>COUNTIF(J22,"Var")*($AQ$1)</f>
        <v>0</v>
      </c>
      <c r="BR23" s="25">
        <f ca="1">COUNTIF(J22,"Var")*((BQ23+(BQ23*0.00759*-1)+((BQ23-BS23)*0.14*-1)+((BQ23-BS23)*0.01*-1)+(BQ23+((BQ23-BS23)*0.14*-1)+((BQ23-BS23)*0.01*-1))*DV22*-1))</f>
        <v>0</v>
      </c>
      <c r="BS23" s="25">
        <f>COUNTIF(J22,"Var")*($AM$1)</f>
        <v>0</v>
      </c>
      <c r="BT23" s="25">
        <f>(0)</f>
        <v>0</v>
      </c>
      <c r="BU23" s="25">
        <f>($AQ$2*K22)</f>
        <v>0</v>
      </c>
      <c r="BV23" s="25">
        <f ca="1">(BU23+(BU23*0.00759*-1)+((BU23-BW23)*0.14*-1)+((BU23-BW23)*0.01*-1)+(BU23+((BU23-BW23)*0.14*-1)+((BU23-BW23)*0.01*-1))*DV22*-1)</f>
        <v>0</v>
      </c>
      <c r="BW23" s="25">
        <f>($AM$2*K22)</f>
        <v>0</v>
      </c>
      <c r="BX23" s="25">
        <f>($AM$5*K22)</f>
        <v>0</v>
      </c>
      <c r="BY23" s="25">
        <f>($AQ$3*L22)</f>
        <v>0</v>
      </c>
      <c r="BZ23" s="25">
        <f ca="1">(BY23+(BY23*0.00759*-1)+((BY23-CA23)*0.14*-1)+((BY23-CA23)*0.01*-1)+(BY23+((BY23-CA23)*0.14*-1)+((BY23-CA23)*0.01*-1))*DV22*-1)</f>
        <v>0</v>
      </c>
      <c r="CA23" s="25">
        <f>($AM$3*L22)</f>
        <v>0</v>
      </c>
      <c r="CB23" s="25">
        <f>($AM$6*L22)</f>
        <v>0</v>
      </c>
      <c r="CC23" s="25">
        <f>($AQ$4*M22)</f>
        <v>0</v>
      </c>
      <c r="CD23" s="25">
        <f ca="1">(CC23+(CC23*0.00759*-1)+((CC23-CE23)*0.14*-1)+((CC23-CE23)*0.01*-1)+(CC23+((CC23-CE23)*0.14*-1)+((CC23-CE23)*0.01*-1))*DV22*-1)</f>
        <v>0</v>
      </c>
      <c r="CE23" s="25">
        <f>($AM$2*M22)</f>
        <v>0</v>
      </c>
      <c r="CF23" s="25">
        <f>($AM$5*M22)</f>
        <v>0</v>
      </c>
      <c r="CG23" s="25">
        <f>($AQ$5*N22)</f>
        <v>0</v>
      </c>
      <c r="CH23" s="25">
        <f ca="1">(CG23+(CG23*0.00759*-1)+((CG23-CI23)*0.14*-1)+((CG23-CI23)*0.01*-1)+(CG23+((CG23-CI23)*0.14*-1)+((CG23-CI23)*0.01*-1))*DV22*-1)</f>
        <v>0</v>
      </c>
      <c r="CI23" s="25">
        <f>($AM$3*N22)</f>
        <v>0</v>
      </c>
      <c r="CJ23" s="25">
        <f>($AM$6*N22)</f>
        <v>0</v>
      </c>
      <c r="CK23" s="44">
        <f>(K22+L22+M22+N22)</f>
        <v>0</v>
      </c>
      <c r="CL23" s="25">
        <f t="shared" si="89"/>
        <v>0</v>
      </c>
      <c r="CM23" s="25">
        <f t="shared" ca="1" si="89"/>
        <v>0</v>
      </c>
      <c r="CN23" s="25">
        <f>IF(BW23+CA23+CE23+CI23&gt;=$AM$5*2,$AM$5*2,BW23+CA23+CE23+CI23)</f>
        <v>0</v>
      </c>
      <c r="CO23" s="25">
        <f>(BX23+CB23+CF23+CJ23)</f>
        <v>0</v>
      </c>
      <c r="CS23" s="24" t="s">
        <v>0</v>
      </c>
      <c r="CT23" s="25">
        <f>(DC1+DC2+DC3+DC4+DC5+CT16+CT17+CT18+CT19+CT20+CT21+CT22)</f>
        <v>10104.5</v>
      </c>
      <c r="CU23" s="24" t="s">
        <v>0</v>
      </c>
      <c r="CV23" s="25">
        <f>(DE1+DE2+DE3+DE4+DE5+CV16+CV17+CV18+CV19+CV20+CV21+CV22)</f>
        <v>68850</v>
      </c>
      <c r="CW23" s="25">
        <f>(DF1+DF2+DF3+DF4+DF5+CW16+CW17+CW18+CW19+CW20+CW21+CW22)</f>
        <v>58522.499999999993</v>
      </c>
      <c r="CX23" s="37" t="s">
        <v>0</v>
      </c>
      <c r="CY23" s="25">
        <f ca="1">(DH1+DH2+DH3+DH4+DH5+CY16+CY17+CY18+CY19+CY20+CY21+CY22)</f>
        <v>146901.96000000002</v>
      </c>
      <c r="CZ23" s="25">
        <f ca="1">(DI1+DI2+DI3+DI4+DI5+CZ16+CZ17+CZ18+CZ19+CZ20+CZ21+CZ22)</f>
        <v>146901.96000000002</v>
      </c>
      <c r="DA23" s="25">
        <f ca="1">(DJ1+DJ2+DJ3+DJ4+DJ5+DA16+DA17+DA18+DA19+DA20+DA21+DA22)</f>
        <v>-1114.9858764000003</v>
      </c>
      <c r="DB23" s="25">
        <f>(DK1+DK2+DK3+DK4+DK5+DB16+DB17+DB18+DB19+DB20+DB21+DB22)</f>
        <v>68850</v>
      </c>
      <c r="DC23" s="25">
        <f>(DL1+DL2+DL3+DL4+DL5+DC16+DC17+DC18+DC19+DC20+DC21+DC22)</f>
        <v>-522.57150000000001</v>
      </c>
      <c r="DD23" s="25">
        <f t="shared" ref="DD23:DI23" ca="1" si="90">(DB6+DB7+DB8+DB9+DB10+DD16+DD17+DD18+DD19+DD20+DD21+DD22)</f>
        <v>78051.960000000006</v>
      </c>
      <c r="DE23" s="25">
        <f t="shared" ca="1" si="90"/>
        <v>-592.41437640000015</v>
      </c>
      <c r="DF23" s="25">
        <f t="shared" ca="1" si="90"/>
        <v>-592.41437640000015</v>
      </c>
      <c r="DG23" s="25">
        <f t="shared" ca="1" si="90"/>
        <v>10622.460000000001</v>
      </c>
      <c r="DH23" s="25">
        <f t="shared" ca="1" si="90"/>
        <v>136279.50000000003</v>
      </c>
      <c r="DI23" s="25">
        <f t="shared" ca="1" si="90"/>
        <v>136279.50000000003</v>
      </c>
      <c r="DM23" s="46" t="s">
        <v>0</v>
      </c>
      <c r="DN23" s="46" t="s">
        <v>0</v>
      </c>
      <c r="DO23" s="25">
        <f t="shared" ca="1" si="86"/>
        <v>-1345.5694000000003</v>
      </c>
      <c r="DP23" s="25">
        <f t="shared" ca="1" si="87"/>
        <v>-96.112100000000012</v>
      </c>
      <c r="DQ23" s="25">
        <f ca="1">(BL8+BE24+BT24+CO24+BN4+BR4)</f>
        <v>908.51</v>
      </c>
      <c r="DR23" s="25">
        <f t="shared" ca="1" si="88"/>
        <v>8278.6285000000007</v>
      </c>
      <c r="DS23" s="25">
        <f ca="1">SUM($DR$15:DR23)</f>
        <v>83044.321500000005</v>
      </c>
      <c r="DT23" s="29">
        <f t="shared" ca="1" si="54"/>
        <v>0.27</v>
      </c>
      <c r="DU23" s="33">
        <f t="shared" ca="1" si="69"/>
        <v>0</v>
      </c>
      <c r="DV23" s="28">
        <f t="shared" ca="1" si="55"/>
        <v>0.27</v>
      </c>
      <c r="DW23" s="25">
        <f t="shared" ca="1" si="71"/>
        <v>-2235.23</v>
      </c>
      <c r="DX23" s="24">
        <v>21</v>
      </c>
      <c r="DY23" s="35">
        <v>10.5</v>
      </c>
      <c r="DZ23" s="36">
        <v>0.23</v>
      </c>
      <c r="EA23" s="49"/>
    </row>
    <row r="24" spans="1:131" ht="39.950000000000003" customHeight="1" x14ac:dyDescent="0.25">
      <c r="A24" s="3">
        <f t="shared" ca="1" si="44"/>
        <v>0.27</v>
      </c>
      <c r="B24" s="4" t="s">
        <v>22</v>
      </c>
      <c r="C24" s="51">
        <v>0</v>
      </c>
      <c r="D24" s="52">
        <v>0</v>
      </c>
      <c r="E24" s="52">
        <v>0</v>
      </c>
      <c r="F24" s="52">
        <v>0</v>
      </c>
      <c r="G24" s="51">
        <v>26</v>
      </c>
      <c r="H24" s="51">
        <v>104</v>
      </c>
      <c r="I24" s="51">
        <v>0</v>
      </c>
      <c r="J24" s="53" t="s">
        <v>1</v>
      </c>
      <c r="K24" s="51">
        <v>0</v>
      </c>
      <c r="L24" s="51">
        <v>0</v>
      </c>
      <c r="M24" s="51">
        <v>0</v>
      </c>
      <c r="N24" s="51">
        <v>0</v>
      </c>
      <c r="O24" s="54" t="s">
        <v>1</v>
      </c>
      <c r="P24" s="54" t="s">
        <v>1</v>
      </c>
      <c r="Q24" s="54" t="s">
        <v>1</v>
      </c>
      <c r="R24" s="55">
        <v>0</v>
      </c>
      <c r="S24" s="5">
        <f ca="1">(CZ20-BB25+BQ5+BS5+DF20+DO24+DP24+CF13-T24)</f>
        <v>9280.3567603999982</v>
      </c>
      <c r="T24" s="5">
        <f ca="1">(AX9+AZ9+BB9+BD9+BT5)</f>
        <v>778.32643979999989</v>
      </c>
      <c r="U24" s="6">
        <f t="shared" ca="1" si="56"/>
        <v>10058.683200199997</v>
      </c>
      <c r="V24" s="15" t="s">
        <v>0</v>
      </c>
      <c r="W24" s="16" t="s">
        <v>0</v>
      </c>
      <c r="X24" s="16" t="s">
        <v>0</v>
      </c>
      <c r="Y24" s="64"/>
      <c r="Z24" s="68"/>
      <c r="AA24" s="18" t="s">
        <v>0</v>
      </c>
      <c r="AB24" s="20" t="s">
        <v>0</v>
      </c>
      <c r="AC24" s="56"/>
      <c r="AD24" s="58"/>
      <c r="AE24" s="60"/>
      <c r="AF24" s="59"/>
      <c r="AG24" s="34" t="s">
        <v>99</v>
      </c>
      <c r="AH24" s="32">
        <v>214.02</v>
      </c>
      <c r="AI24" s="22">
        <v>252.6</v>
      </c>
      <c r="AJ24" s="25">
        <f ca="1">(AN17*DE13)</f>
        <v>0</v>
      </c>
      <c r="AK24" s="25">
        <f>(AW17*E17)</f>
        <v>0</v>
      </c>
      <c r="AL24" s="25">
        <f ca="1">(AK24*DE13)</f>
        <v>0</v>
      </c>
      <c r="AM24" s="25">
        <f>(AY17/7.5*0.3*F17)</f>
        <v>0</v>
      </c>
      <c r="AN24" s="25">
        <f ca="1">(AM24*DE13)</f>
        <v>0</v>
      </c>
      <c r="AO24" s="25">
        <f>(46.53*G17)</f>
        <v>1209.78</v>
      </c>
      <c r="AP24" s="25">
        <f ca="1">(AR24+AS24+AV24+AW24+BA3)</f>
        <v>898.06696979999981</v>
      </c>
      <c r="AQ24" s="25">
        <f>(AO24)</f>
        <v>1209.78</v>
      </c>
      <c r="AR24" s="25">
        <f>(AO24)</f>
        <v>1209.78</v>
      </c>
      <c r="AS24" s="25">
        <f>(AR24*0.00759*-1)</f>
        <v>-9.1822302000000011</v>
      </c>
      <c r="AT24" s="25">
        <f>($AL$9*G17)</f>
        <v>260.26</v>
      </c>
      <c r="AU24" s="25">
        <f>(AR24-AT24)</f>
        <v>949.52</v>
      </c>
      <c r="AV24" s="25">
        <f>(AU24*0.14*-1)</f>
        <v>-132.93280000000001</v>
      </c>
      <c r="AW24" s="25">
        <f>(AU24*0.01*-1)</f>
        <v>-9.4952000000000005</v>
      </c>
      <c r="AX24" s="25">
        <f>(0)</f>
        <v>0</v>
      </c>
      <c r="AY24" s="25">
        <f>(BF8+BJ8+BK8-BL8)</f>
        <v>1078.779</v>
      </c>
      <c r="AZ24" s="25">
        <f ca="1">(AY24*DV23*-1)</f>
        <v>-291.27033</v>
      </c>
      <c r="BA24" s="25">
        <f ca="1">(ROUND((BB24+BC24),2))</f>
        <v>681.17</v>
      </c>
      <c r="BB24" s="25">
        <f>(6.5*H23)</f>
        <v>676</v>
      </c>
      <c r="BC24" s="25">
        <f ca="1">(BA24*0.00759)</f>
        <v>5.1700802999999995</v>
      </c>
      <c r="BD24" s="25">
        <f ca="1">(ROUND((BB24+BC24),2))</f>
        <v>681.17</v>
      </c>
      <c r="BE24" s="25">
        <f ca="1">(BA24)</f>
        <v>681.17</v>
      </c>
      <c r="BF24" s="27">
        <v>0</v>
      </c>
      <c r="BG24" s="25">
        <f>(AT12*BF24)</f>
        <v>0</v>
      </c>
      <c r="BH24" s="25">
        <f ca="1">(BG24*CH12)</f>
        <v>0</v>
      </c>
      <c r="BI24" s="27">
        <v>30</v>
      </c>
      <c r="BJ24" s="25">
        <f>(773.25/30*BI24)</f>
        <v>773.25</v>
      </c>
      <c r="BK24" s="25">
        <f ca="1">(BJ24*CH12)</f>
        <v>473.93265749999995</v>
      </c>
      <c r="BL24" s="27">
        <v>30</v>
      </c>
      <c r="BM24" s="25">
        <f>(386.62/30*BL24)</f>
        <v>386.62</v>
      </c>
      <c r="BN24" s="25">
        <f ca="1">(BM24*CH12)</f>
        <v>236.9632642</v>
      </c>
      <c r="BO24" s="25">
        <f>COUNTIF($A$1,"1S-Çımacı / Palamarcı")*(8.28*I23)
+COUNTIF($A$1,"2S-Çımacı / Palamarcı")*(8.28*I23)
+COUNTIF($A$1,"1S-Temizlik Personeli")*(5.52*I23)
+COUNTIF($A$1,"2S-Temizlik Personeli")*(5.52*I23)</f>
        <v>0</v>
      </c>
      <c r="BP24" s="25">
        <f ca="1">(BO24*CH12)</f>
        <v>0</v>
      </c>
      <c r="BQ24" s="25">
        <f>COUNTIF(J23,"Var")*($AQ$1)</f>
        <v>0</v>
      </c>
      <c r="BR24" s="25">
        <f ca="1">COUNTIF(J23,"Var")*((BQ24+(BQ24*0.00759*-1)+((BQ24-BS24)*0.14*-1)+((BQ24-BS24)*0.01*-1)+(BQ24+((BQ24-BS24)*0.14*-1)+((BQ24-BS24)*0.01*-1))*DV23*-1))</f>
        <v>0</v>
      </c>
      <c r="BS24" s="25">
        <f>COUNTIF(J23,"Var")*($AM$1)</f>
        <v>0</v>
      </c>
      <c r="BT24" s="25">
        <f>(0)</f>
        <v>0</v>
      </c>
      <c r="BU24" s="25">
        <f>($AQ$2*K23)</f>
        <v>0</v>
      </c>
      <c r="BV24" s="25">
        <f ca="1">(BU24+(BU24*0.00759*-1)+((BU24-BW24)*0.14*-1)+((BU24-BW24)*0.01*-1)+(BU24+((BU24-BW24)*0.14*-1)+((BU24-BW24)*0.01*-1))*DV23*-1)</f>
        <v>0</v>
      </c>
      <c r="BW24" s="25">
        <f>($AM$2*K23)</f>
        <v>0</v>
      </c>
      <c r="BX24" s="25">
        <f>($AM$5*K23)</f>
        <v>0</v>
      </c>
      <c r="BY24" s="25">
        <f>($AQ$3*L23)</f>
        <v>0</v>
      </c>
      <c r="BZ24" s="25">
        <f ca="1">(BY24+(BY24*0.00759*-1)+((BY24-CA24)*0.14*-1)+((BY24-CA24)*0.01*-1)+(BY24+((BY24-CA24)*0.14*-1)+((BY24-CA24)*0.01*-1))*DV23*-1)</f>
        <v>0</v>
      </c>
      <c r="CA24" s="25">
        <f>($AM$3*L23)</f>
        <v>0</v>
      </c>
      <c r="CB24" s="25">
        <f>($AM$6*L23)</f>
        <v>0</v>
      </c>
      <c r="CC24" s="25">
        <f>($AQ$4*M23)</f>
        <v>0</v>
      </c>
      <c r="CD24" s="25">
        <f ca="1">(CC24+(CC24*0.00759*-1)+((CC24-CE24)*0.14*-1)+((CC24-CE24)*0.01*-1)+(CC24+((CC24-CE24)*0.14*-1)+((CC24-CE24)*0.01*-1))*DV23*-1)</f>
        <v>0</v>
      </c>
      <c r="CE24" s="25">
        <f>($AM$2*M23)</f>
        <v>0</v>
      </c>
      <c r="CF24" s="25">
        <f>($AM$5*M23)</f>
        <v>0</v>
      </c>
      <c r="CG24" s="25">
        <f>($AQ$5*N23)</f>
        <v>0</v>
      </c>
      <c r="CH24" s="25">
        <f ca="1">(CG24+(CG24*0.00759*-1)+((CG24-CI24)*0.14*-1)+((CG24-CI24)*0.01*-1)+(CG24+((CG24-CI24)*0.14*-1)+((CG24-CI24)*0.01*-1))*DV23*-1)</f>
        <v>0</v>
      </c>
      <c r="CI24" s="25">
        <f>($AM$3*N23)</f>
        <v>0</v>
      </c>
      <c r="CJ24" s="25">
        <f>($AM$6*N23)</f>
        <v>0</v>
      </c>
      <c r="CK24" s="44">
        <f>(K23+L23+M23+N23)</f>
        <v>0</v>
      </c>
      <c r="CL24" s="25">
        <f t="shared" si="89"/>
        <v>0</v>
      </c>
      <c r="CM24" s="25">
        <f t="shared" ca="1" si="89"/>
        <v>0</v>
      </c>
      <c r="CN24" s="25">
        <f>IF(BW24+CA24+CE24+CI24&gt;=$AM$5*2,$AM$5*2,BW24+CA24+CE24+CI24)</f>
        <v>0</v>
      </c>
      <c r="CO24" s="25">
        <f>(BX24+CB24+CF24+CJ24)</f>
        <v>0</v>
      </c>
      <c r="CS24" s="41" t="s">
        <v>0</v>
      </c>
      <c r="CT24" s="25">
        <f t="shared" ref="CT24" si="91">(CT23/12)</f>
        <v>842.04166666666663</v>
      </c>
      <c r="CU24" s="41" t="s">
        <v>0</v>
      </c>
      <c r="CV24" s="25">
        <f t="shared" ref="CV24" si="92">(CV23/12)</f>
        <v>5737.5</v>
      </c>
      <c r="CW24" s="25">
        <f t="shared" ref="CW24" si="93">(CW23/12)</f>
        <v>4876.8749999999991</v>
      </c>
      <c r="CX24" s="25" t="s">
        <v>0</v>
      </c>
      <c r="CY24" s="25">
        <f t="shared" ref="CY24" ca="1" si="94">(CY23/12)</f>
        <v>12241.830000000002</v>
      </c>
      <c r="CZ24" s="25">
        <f t="shared" ref="CZ24" ca="1" si="95">(CZ23/12)</f>
        <v>12241.830000000002</v>
      </c>
      <c r="DA24" s="25">
        <f t="shared" ref="DA24" ca="1" si="96">(DA23/12)</f>
        <v>-92.915489700000023</v>
      </c>
      <c r="DB24" s="25">
        <f t="shared" ref="DB24" si="97">(DB23/12)</f>
        <v>5737.5</v>
      </c>
      <c r="DC24" s="25">
        <f t="shared" ref="DC24" si="98">(DC23/12)</f>
        <v>-43.547625000000004</v>
      </c>
      <c r="DD24" s="25">
        <f t="shared" ref="DD24" ca="1" si="99">(DD23/12)</f>
        <v>6504.3300000000008</v>
      </c>
      <c r="DE24" s="25">
        <f t="shared" ref="DE24" ca="1" si="100">(DE23/12)</f>
        <v>-49.367864700000013</v>
      </c>
      <c r="DF24" s="25">
        <f t="shared" ref="DF24" ca="1" si="101">(DF23/12)</f>
        <v>-49.367864700000013</v>
      </c>
      <c r="DG24" s="25">
        <f t="shared" ref="DG24" ca="1" si="102">(DG23/12)</f>
        <v>885.20500000000004</v>
      </c>
      <c r="DH24" s="25">
        <f t="shared" ref="DH24" ca="1" si="103">(DH23/12)</f>
        <v>11356.625000000002</v>
      </c>
      <c r="DI24" s="25">
        <f t="shared" ref="DI24" ca="1" si="104">(DI23/12)</f>
        <v>11356.625000000002</v>
      </c>
      <c r="DM24" s="46" t="s">
        <v>0</v>
      </c>
      <c r="DN24" s="46" t="s">
        <v>0</v>
      </c>
      <c r="DO24" s="25">
        <f t="shared" ca="1" si="86"/>
        <v>-2017.4854</v>
      </c>
      <c r="DP24" s="25">
        <f t="shared" ca="1" si="87"/>
        <v>-144.1061</v>
      </c>
      <c r="DQ24" s="25">
        <f ca="1">(BL9+BE25+BT25+CO25+BN5+BR5)</f>
        <v>908.51</v>
      </c>
      <c r="DR24" s="25">
        <f t="shared" ca="1" si="88"/>
        <v>12358.118499999999</v>
      </c>
      <c r="DS24" s="25">
        <f ca="1">SUM($DR$15:DR24)</f>
        <v>95402.44</v>
      </c>
      <c r="DT24" s="29">
        <f t="shared" ca="1" si="54"/>
        <v>0.27</v>
      </c>
      <c r="DU24" s="33">
        <f t="shared" ca="1" si="69"/>
        <v>0</v>
      </c>
      <c r="DV24" s="28">
        <f t="shared" ca="1" si="55"/>
        <v>0.27</v>
      </c>
      <c r="DW24" s="25">
        <f t="shared" ca="1" si="71"/>
        <v>-3336.69</v>
      </c>
      <c r="DX24" s="24">
        <v>22</v>
      </c>
      <c r="DY24" s="35">
        <v>11</v>
      </c>
      <c r="DZ24" s="36">
        <v>0.24</v>
      </c>
      <c r="EA24" s="49"/>
    </row>
    <row r="25" spans="1:131" ht="39.950000000000003" customHeight="1" x14ac:dyDescent="0.25">
      <c r="A25" s="3">
        <f t="shared" ca="1" si="44"/>
        <v>0.27</v>
      </c>
      <c r="B25" s="4" t="s">
        <v>23</v>
      </c>
      <c r="C25" s="51">
        <v>0</v>
      </c>
      <c r="D25" s="52">
        <v>0</v>
      </c>
      <c r="E25" s="52">
        <v>0</v>
      </c>
      <c r="F25" s="52">
        <v>0</v>
      </c>
      <c r="G25" s="51">
        <v>26</v>
      </c>
      <c r="H25" s="51">
        <v>104</v>
      </c>
      <c r="I25" s="51">
        <v>0</v>
      </c>
      <c r="J25" s="53" t="s">
        <v>1</v>
      </c>
      <c r="K25" s="51">
        <v>0</v>
      </c>
      <c r="L25" s="51">
        <v>0</v>
      </c>
      <c r="M25" s="51">
        <v>0</v>
      </c>
      <c r="N25" s="51">
        <v>0</v>
      </c>
      <c r="O25" s="54" t="s">
        <v>1</v>
      </c>
      <c r="P25" s="54" t="s">
        <v>1</v>
      </c>
      <c r="Q25" s="54" t="s">
        <v>1</v>
      </c>
      <c r="R25" s="55">
        <v>0</v>
      </c>
      <c r="S25" s="5">
        <f ca="1">(CZ21-BE17+BQ6+BS6+DF21+DO25+DP25+DI6-T25)</f>
        <v>6338.7542063999999</v>
      </c>
      <c r="T25" s="5">
        <f ca="1">(AX10+AZ10+BB10+BD10+BT6)</f>
        <v>778.32643979999989</v>
      </c>
      <c r="U25" s="6">
        <f t="shared" ca="1" si="56"/>
        <v>7117.0806462</v>
      </c>
      <c r="V25" s="15" t="s">
        <v>0</v>
      </c>
      <c r="W25" s="16" t="s">
        <v>0</v>
      </c>
      <c r="X25" s="16" t="s">
        <v>0</v>
      </c>
      <c r="Y25" s="64"/>
      <c r="Z25" s="68"/>
      <c r="AA25" s="18" t="s">
        <v>0</v>
      </c>
      <c r="AB25" s="20" t="s">
        <v>0</v>
      </c>
      <c r="AC25" s="56"/>
      <c r="AD25" s="58"/>
      <c r="AE25" s="60"/>
      <c r="AF25" s="59"/>
      <c r="AG25" s="34" t="s">
        <v>100</v>
      </c>
      <c r="AH25" s="32">
        <v>209.88</v>
      </c>
      <c r="AI25" s="22">
        <v>247.6</v>
      </c>
      <c r="AJ25" s="25">
        <f ca="1">(AN18*DE14)</f>
        <v>0</v>
      </c>
      <c r="AK25" s="25">
        <f>(AW18*E18)</f>
        <v>0</v>
      </c>
      <c r="AL25" s="25">
        <f ca="1">(AK25*DE14)</f>
        <v>0</v>
      </c>
      <c r="AM25" s="25">
        <f>(AY18/7.5*0.3*F18)</f>
        <v>0</v>
      </c>
      <c r="AN25" s="25">
        <f ca="1">(AM25*DE14)</f>
        <v>0</v>
      </c>
      <c r="AO25" s="25">
        <f>(46.53*G18)</f>
        <v>1209.78</v>
      </c>
      <c r="AP25" s="25">
        <f ca="1">(AR25+AS25+AV25+AW25+BC14)</f>
        <v>878.81334200405718</v>
      </c>
      <c r="AQ25" s="25">
        <f>(AO25)</f>
        <v>1209.78</v>
      </c>
      <c r="AR25" s="25">
        <f>(AO25)</f>
        <v>1209.78</v>
      </c>
      <c r="AS25" s="25">
        <f>(AR25*0.00759*-1)</f>
        <v>-9.1822302000000011</v>
      </c>
      <c r="AT25" s="25">
        <f>($AL$9*G18)</f>
        <v>260.26</v>
      </c>
      <c r="AU25" s="25">
        <f>(AR25-AT25)</f>
        <v>949.52</v>
      </c>
      <c r="AV25" s="25">
        <f>(AU25*0.14*-1)</f>
        <v>-132.93280000000001</v>
      </c>
      <c r="AW25" s="25">
        <f>(AU25*0.01*-1)</f>
        <v>-9.4952000000000005</v>
      </c>
      <c r="AX25" s="25">
        <f>(0)</f>
        <v>0</v>
      </c>
      <c r="AY25" s="25">
        <f>(BF9+BJ9+BK9-BL9)</f>
        <v>1078.779</v>
      </c>
      <c r="AZ25" s="25">
        <f ca="1">(AY25*DV24*-1)</f>
        <v>-291.27033</v>
      </c>
      <c r="BA25" s="25">
        <f ca="1">(ROUND((BB25+BC25),2))</f>
        <v>681.17</v>
      </c>
      <c r="BB25" s="25">
        <f>(6.5*H24)</f>
        <v>676</v>
      </c>
      <c r="BC25" s="25">
        <f ca="1">(BA25*0.00759)</f>
        <v>5.1700802999999995</v>
      </c>
      <c r="BD25" s="25">
        <f ca="1">(ROUND((BB25+BC25),2))</f>
        <v>681.17</v>
      </c>
      <c r="BE25" s="25">
        <f ca="1">(BA25)</f>
        <v>681.17</v>
      </c>
      <c r="BF25" s="27">
        <v>18</v>
      </c>
      <c r="BG25" s="25">
        <f>(AT13*BF25)</f>
        <v>4546.8</v>
      </c>
      <c r="BH25" s="25">
        <f ca="1">(BG25*CH13)</f>
        <v>2786.779188</v>
      </c>
      <c r="BI25" s="27">
        <v>30</v>
      </c>
      <c r="BJ25" s="25">
        <f>(773.25/30*BI25)</f>
        <v>773.25</v>
      </c>
      <c r="BK25" s="25">
        <f ca="1">(BJ25*CH13)</f>
        <v>473.93265749999995</v>
      </c>
      <c r="BL25" s="27">
        <v>30</v>
      </c>
      <c r="BM25" s="25">
        <f>(386.62/30*BL25)</f>
        <v>386.62</v>
      </c>
      <c r="BN25" s="25">
        <f ca="1">(BM25*CH13)</f>
        <v>236.9632642</v>
      </c>
      <c r="BO25" s="25">
        <f>COUNTIF($A$1,"1S-Çımacı / Palamarcı")*(8.28*I24)
+COUNTIF($A$1,"2S-Çımacı / Palamarcı")*(8.28*I24)
+COUNTIF($A$1,"1S-Temizlik Personeli")*(5.52*I24)
+COUNTIF($A$1,"2S-Temizlik Personeli")*(5.52*I24)</f>
        <v>0</v>
      </c>
      <c r="BP25" s="25">
        <f ca="1">(BO25*CH13)</f>
        <v>0</v>
      </c>
      <c r="BQ25" s="25">
        <f>COUNTIF(J24,"Var")*($AQ$1)</f>
        <v>0</v>
      </c>
      <c r="BR25" s="25">
        <f ca="1">COUNTIF(J24,"Var")*((BQ25+(BQ25*0.00759*-1)+((BQ25-BS25)*0.14*-1)+((BQ25-BS25)*0.01*-1)+(BQ25+((BQ25-BS25)*0.14*-1)+((BQ25-BS25)*0.01*-1))*DV24*-1))</f>
        <v>0</v>
      </c>
      <c r="BS25" s="25">
        <f>COUNTIF(J24,"Var")*($AM$1)</f>
        <v>0</v>
      </c>
      <c r="BT25" s="25">
        <f>(0)</f>
        <v>0</v>
      </c>
      <c r="BU25" s="25">
        <f>($AQ$2*K24)</f>
        <v>0</v>
      </c>
      <c r="BV25" s="25">
        <f ca="1">(BU25+(BU25*0.00759*-1)+((BU25-BW25)*0.14*-1)+((BU25-BW25)*0.01*-1)+(BU25+((BU25-BW25)*0.14*-1)+((BU25-BW25)*0.01*-1))*DV24*-1)</f>
        <v>0</v>
      </c>
      <c r="BW25" s="25">
        <f>($AM$2*K24)</f>
        <v>0</v>
      </c>
      <c r="BX25" s="25">
        <f>($AM$5*K24)</f>
        <v>0</v>
      </c>
      <c r="BY25" s="25">
        <f>($AQ$3*L24)</f>
        <v>0</v>
      </c>
      <c r="BZ25" s="25">
        <f ca="1">(BY25+(BY25*0.00759*-1)+((BY25-CA25)*0.14*-1)+((BY25-CA25)*0.01*-1)+(BY25+((BY25-CA25)*0.14*-1)+((BY25-CA25)*0.01*-1))*DV24*-1)</f>
        <v>0</v>
      </c>
      <c r="CA25" s="25">
        <f>($AM$3*L24)</f>
        <v>0</v>
      </c>
      <c r="CB25" s="25">
        <f>($AM$6*L24)</f>
        <v>0</v>
      </c>
      <c r="CC25" s="25">
        <f>($AQ$4*M24)</f>
        <v>0</v>
      </c>
      <c r="CD25" s="25">
        <f ca="1">(CC25+(CC25*0.00759*-1)+((CC25-CE25)*0.14*-1)+((CC25-CE25)*0.01*-1)+(CC25+((CC25-CE25)*0.14*-1)+((CC25-CE25)*0.01*-1))*DV24*-1)</f>
        <v>0</v>
      </c>
      <c r="CE25" s="25">
        <f>($AM$2*M24)</f>
        <v>0</v>
      </c>
      <c r="CF25" s="25">
        <f>($AM$5*M24)</f>
        <v>0</v>
      </c>
      <c r="CG25" s="25">
        <f>($AQ$5*N24)</f>
        <v>0</v>
      </c>
      <c r="CH25" s="25">
        <f ca="1">(CG25+(CG25*0.00759*-1)+((CG25-CI25)*0.14*-1)+((CG25-CI25)*0.01*-1)+(CG25+((CG25-CI25)*0.14*-1)+((CG25-CI25)*0.01*-1))*DV24*-1)</f>
        <v>0</v>
      </c>
      <c r="CI25" s="25">
        <f>($AM$3*N24)</f>
        <v>0</v>
      </c>
      <c r="CJ25" s="25">
        <f>($AM$6*N24)</f>
        <v>0</v>
      </c>
      <c r="CK25" s="44">
        <f>(K24+L24+M24+N24)</f>
        <v>0</v>
      </c>
      <c r="CL25" s="25">
        <f t="shared" si="89"/>
        <v>0</v>
      </c>
      <c r="CM25" s="25">
        <f t="shared" ca="1" si="89"/>
        <v>0</v>
      </c>
      <c r="CN25" s="25">
        <f>IF(BW25+CA25+CE25+CI25&gt;=$AM$5*2,$AM$5*2,BW25+CA25+CE25+CI25)</f>
        <v>0</v>
      </c>
      <c r="CO25" s="25">
        <f>(BX25+CB25+CF25+CJ25)</f>
        <v>0</v>
      </c>
      <c r="DM25" s="46" t="s">
        <v>0</v>
      </c>
      <c r="DN25" s="46" t="s">
        <v>0</v>
      </c>
      <c r="DO25" s="25">
        <f t="shared" ca="1" si="86"/>
        <v>-1345.5694000000003</v>
      </c>
      <c r="DP25" s="25">
        <f t="shared" ca="1" si="87"/>
        <v>-96.112100000000012</v>
      </c>
      <c r="DQ25" s="25">
        <f ca="1">(BL10+BH17+BW17+CR17+BN6+BR6)</f>
        <v>908.51</v>
      </c>
      <c r="DR25" s="25">
        <f t="shared" ca="1" si="88"/>
        <v>8278.6285000000007</v>
      </c>
      <c r="DS25" s="25">
        <f ca="1">SUM($DR$15:DR25)</f>
        <v>103681.06850000001</v>
      </c>
      <c r="DT25" s="29">
        <f t="shared" ca="1" si="54"/>
        <v>0.27</v>
      </c>
      <c r="DU25" s="33">
        <f t="shared" ca="1" si="69"/>
        <v>0</v>
      </c>
      <c r="DV25" s="28">
        <f t="shared" ca="1" si="55"/>
        <v>0.27</v>
      </c>
      <c r="DW25" s="25">
        <f t="shared" ca="1" si="71"/>
        <v>-2235.23</v>
      </c>
      <c r="DX25" s="24">
        <v>23</v>
      </c>
      <c r="DY25" s="35">
        <v>11.5</v>
      </c>
      <c r="DZ25" s="36">
        <v>0.25</v>
      </c>
      <c r="EA25" s="49"/>
    </row>
    <row r="26" spans="1:131" ht="39.950000000000003" customHeight="1" x14ac:dyDescent="0.25">
      <c r="A26" s="3">
        <f t="shared" ca="1" si="44"/>
        <v>0.27</v>
      </c>
      <c r="B26" s="4" t="s">
        <v>24</v>
      </c>
      <c r="C26" s="51">
        <v>0</v>
      </c>
      <c r="D26" s="52">
        <v>0</v>
      </c>
      <c r="E26" s="52">
        <v>0</v>
      </c>
      <c r="F26" s="52">
        <v>0</v>
      </c>
      <c r="G26" s="51">
        <v>26</v>
      </c>
      <c r="H26" s="51">
        <v>104</v>
      </c>
      <c r="I26" s="51">
        <v>0</v>
      </c>
      <c r="J26" s="53" t="s">
        <v>1</v>
      </c>
      <c r="K26" s="51">
        <v>0</v>
      </c>
      <c r="L26" s="51">
        <v>0</v>
      </c>
      <c r="M26" s="51">
        <v>0</v>
      </c>
      <c r="N26" s="51">
        <v>0</v>
      </c>
      <c r="O26" s="54" t="s">
        <v>1</v>
      </c>
      <c r="P26" s="54" t="s">
        <v>1</v>
      </c>
      <c r="Q26" s="54" t="s">
        <v>1</v>
      </c>
      <c r="R26" s="55">
        <v>0</v>
      </c>
      <c r="S26" s="5">
        <f ca="1">(CZ22-BE18+BQ7+BS7+DF22+DO26+DP26+DI7-T26)</f>
        <v>9899.6378243999989</v>
      </c>
      <c r="T26" s="5">
        <f ca="1">(AX11+AZ11+BB11+BD11+BT7)</f>
        <v>778.32643979999989</v>
      </c>
      <c r="U26" s="6">
        <f t="shared" ca="1" si="56"/>
        <v>10677.964264199998</v>
      </c>
      <c r="V26" s="15" t="s">
        <v>0</v>
      </c>
      <c r="W26" s="16" t="s">
        <v>0</v>
      </c>
      <c r="X26" s="16" t="s">
        <v>0</v>
      </c>
      <c r="Y26" s="64"/>
      <c r="Z26" s="68"/>
      <c r="AA26" s="18" t="s">
        <v>0</v>
      </c>
      <c r="AB26" s="20" t="s">
        <v>0</v>
      </c>
      <c r="AC26" s="56"/>
      <c r="AD26" s="58"/>
      <c r="AE26" s="60"/>
      <c r="AF26" s="59"/>
      <c r="AG26" s="34" t="s">
        <v>101</v>
      </c>
      <c r="AH26" s="32">
        <v>191.93</v>
      </c>
      <c r="AI26" s="22">
        <v>226.5</v>
      </c>
      <c r="AJ26" s="42">
        <f>(AK14+1)</f>
        <v>44896</v>
      </c>
      <c r="AK26" s="42">
        <f>EOMONTH(AJ26,0)</f>
        <v>44926</v>
      </c>
      <c r="AL26" s="43">
        <f>DAY(AK26)</f>
        <v>31</v>
      </c>
      <c r="AM26" s="43">
        <f>NETWORKDAYS.INTL(AJ26,AK26,11)</f>
        <v>27</v>
      </c>
      <c r="AN26" s="43">
        <f>(AL26-AM26)</f>
        <v>4</v>
      </c>
      <c r="AO26" s="41" t="s">
        <v>0</v>
      </c>
      <c r="AP26"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Q26" s="32">
        <f ca="1">(AP26*DK7)</f>
        <v>154.82106599999997</v>
      </c>
      <c r="AR26" s="32">
        <f>COUNTIF($A$1,"Mekanik / Teknik Sorumlusu")*($AI$1)
+COUNTIF($A$1,"Elektrik Sorumlusu")*($AI$2)
+COUNTIF($A$1,"Otomasyon Sistem Sorumlusu")*($AI$3)
+COUNTIF($A$1,"Bilgi İşlem Sorumlusu")*($AI$4)
+COUNTIF($A$1,"Bakım Onarım Sorumlusu")*($AI$5)
+COUNTIF($A$1,"İskeleler Sorumlusu")*($AI$6)
+COUNTIF($A$1,"Ambar ve Stok Kontrol Sorumlusu")*($AI$7)
+COUNTIF($A$1,"Akaryakıt Sorumlusu")*($AI$8)
+COUNTIF($A$1,"İnsan Kaynakları ve Eğitim Sorumlusu")*($AI$9)
+COUNTIF($A$1,"Muhasebe ve Finansman Sorumlusu")*($AI$10)
+COUNTIF($A$1,"İhale ve Satınalma Sorumlusu")*($AI$11)
+COUNTIF($A$1,"Halkla İlişkiler Sorumlusu")*($AI$12)
+COUNTIF($A$1,"Yazı İşleri Sorumlusu")*($AI$13)
+COUNTIF($A$1,"Gişeler Sorumlusu")*($AI$14)
+COUNTIF($A$1,"Temizlik / Güvenlik Sorumlusu")*($AI$15)
+COUNTIF($A$1,"İskele Sorumlusu")*($AI$16)
+COUNTIF($A$1,"1S-Atölye Personeli")*($AI$17)
+COUNTIF($A$1,"1S-Bilgi İşlem Büro Personeli")*($AI$18)
+COUNTIF($A$1,"1S-Şoför")*($AI$19)
+COUNTIF($A$1,"1S-Büro Personeli")*($AI$20)
+COUNTIF($A$1,"1S-Yönetim / Genel Müdür Sekreteri")*($AI$21)
+COUNTIF($A$1,"1S-İskele Personeli")*($AI$22)
+COUNTIF($A$1,"1S-Gişe Personeli")*($AI$23)
+COUNTIF($A$1,"1S-Çımacı / Palamarcı")*($AI$24)
+COUNTIF($A$1,"1S-Temizlik Personeli")*($AI$25)
+COUNTIF($A$1,"2S-Atölye Personeli")*($AI$26)
+COUNTIF($A$1,"2S-Bilgi İşlem Büro Personeli")*($AI$27)
+COUNTIF($A$1,"2S-Şoför")*($AI$28)
+COUNTIF($A$1,"2S-Büro Personeli")*($AI$29)
+COUNTIF($A$1,"2S-Yönetim / Genel Müdür Sekreteri")*($AI$30)
+COUNTIF($A$1,"2S-İskele Personeli")*($AI$31)
+COUNTIF($A$1,"2S-Gişe Personeli")*($AI$32)
+COUNTIF($A$1,"2S-Çımacı / Palamarcı")*($AI$33)
+COUNTIF($A$1,"2S-Temizlik Personeli")*($AI$34)</f>
        <v>252.6</v>
      </c>
      <c r="AS26" s="25">
        <f ca="1">(AR26*DK7+DC22/30*-1+DH7/30)</f>
        <v>193.12722899999994</v>
      </c>
      <c r="AT26" s="32">
        <f>COUNTIF($A$1,"Mekanik / Teknik Sorumlusu")*($AI$1+AS8)
+COUNTIF($A$1,"Elektrik Sorumlusu")*($AI$2+AS8)
+COUNTIF($A$1,"Otomasyon Sistem Sorumlusu")*($AI$3+AS8)
+COUNTIF($A$1,"Bilgi İşlem Sorumlusu")*($AI$4+AS8)
+COUNTIF($A$1,"Bakım Onarım Sorumlusu")*($AI$5+AS8)
+COUNTIF($A$1,"İskeleler Sorumlusu")*($AI$6+AS8)
+COUNTIF($A$1,"Ambar ve Stok Kontrol Sorumlusu")*($AI$7+AS8)
+COUNTIF($A$1,"Akaryakıt Sorumlusu")*($AI$8+AS8)
+COUNTIF($A$1,"İnsan Kaynakları ve Eğitim Sorumlusu")*($AI$9+AS8)
+COUNTIF($A$1,"Muhasebe ve Finansman Sorumlusu")*($AI$10+AS8)
+COUNTIF($A$1,"İhale ve Satınalma Sorumlusu")*($AI$11+AS8)
+COUNTIF($A$1,"Halkla İlişkiler Sorumlusu")*($AI$12+AS8)
+COUNTIF($A$1,"Yazı İşleri Sorumlusu")*($AI$13+AS8)
+COUNTIF($A$1,"Gişeler Sorumlusu")*($AI$14+AS8)
+COUNTIF($A$1,"Temizlik / Güvenlik Sorumlusu")*($AI$15+AS8)
+COUNTIF($A$1,"İskele Sorumlusu")*($AI$16+AS8)
+COUNTIF($A$1,"1S-Atölye Personeli")*($AI$17+AS8)
+COUNTIF($A$1,"1S-Bilgi İşlem Büro Personeli")*($AI$18+AS8)
+COUNTIF($A$1,"1S-Şoför")*($AI$19+AS8)
+COUNTIF($A$1,"1S-Büro Personeli")*($AI$20+AS8)
+COUNTIF($A$1,"1S-Yönetim / Genel Müdür Sekreteri")*($AI$21+AS8)
+COUNTIF($A$1,"1S-İskele Personeli")*($AI$22+AS8)
+COUNTIF($A$1,"1S-Gişe Personeli")*($AI$23+AS8)
+COUNTIF($A$1,"1S-Çımacı / Palamarcı")*($AI$24+AS8)
+COUNTIF($A$1,"1S-Temizlik Personeli")*($AI$25+AS8)
+COUNTIF($A$1,"2S-Atölye Personeli")*($AI$26+AS8)
+COUNTIF($A$1,"2S-Bilgi İşlem Büro Personeli")*($AI$27+AS8)
+COUNTIF($A$1,"2S-Şoför")*($AI$28+AS8)
+COUNTIF($A$1,"2S-Büro Personeli")*($AI$29+AS8)
+COUNTIF($A$1,"2S-Yönetim / Genel Müdür Sekreteri")*($AI$30+AS8)
+COUNTIF($A$1,"2S-İskele Personeli")*($AI$31+AS8)
+COUNTIF($A$1,"2S-Gişe Personeli")*($AI$32+AS8)
+COUNTIF($A$1,"2S-Çımacı / Palamarcı")*($AI$33+AS8)
+COUNTIF($A$1,"2S-Temizlik Personeli")*($AI$34+AS8)</f>
        <v>252.6</v>
      </c>
      <c r="AU26" s="25">
        <f ca="1">(AT26*DK7)</f>
        <v>154.82106599999997</v>
      </c>
      <c r="AV26" s="41" t="s">
        <v>0</v>
      </c>
      <c r="AW26" s="40">
        <f>(AT26*AL26)</f>
        <v>7830.5999999999995</v>
      </c>
      <c r="AX26" s="25">
        <f>($AL$2*M15)</f>
        <v>0</v>
      </c>
      <c r="AY26" s="25">
        <f>($AL$5*M15)</f>
        <v>0</v>
      </c>
      <c r="AZ26" s="25">
        <f>($AP$5*N15)</f>
        <v>0</v>
      </c>
      <c r="BA26" s="25">
        <f ca="1">(AZ26+(AZ26*0.00759*-1)+((AZ26-BB26)*0.14*-1)+((AZ26-BB26)*0.01*-1)+(AZ26+((AZ26-BB26)*0.14*-1)+((AZ26-BB26)*0.01*-1))*DV15*-1)</f>
        <v>0</v>
      </c>
      <c r="BB26" s="25">
        <f>($AL$3*N15)</f>
        <v>0</v>
      </c>
      <c r="BC26" s="25">
        <f>($AL$6*N15)</f>
        <v>0</v>
      </c>
      <c r="BD26" s="44">
        <f>(K15+L15+M15+N15)</f>
        <v>0</v>
      </c>
      <c r="BE26" s="25">
        <f t="shared" ref="BE26:BF28" si="105">(BV1+BZ1+CD1+AZ26)</f>
        <v>0</v>
      </c>
      <c r="BF26" s="25">
        <f t="shared" ca="1" si="105"/>
        <v>0</v>
      </c>
      <c r="BG26" s="25">
        <f>IF(BX1+CB1+AX26+BB26&gt;=$AL$5*2,$AL$5*2,BX1+CB1+AX26+BB26)</f>
        <v>0</v>
      </c>
      <c r="BH26" s="25">
        <f>(BY1+CC1+AY26+BC26)</f>
        <v>0</v>
      </c>
      <c r="DM26" s="46" t="s">
        <v>0</v>
      </c>
      <c r="DN26" s="46" t="s">
        <v>0</v>
      </c>
      <c r="DO26" s="25">
        <f t="shared" ca="1" si="86"/>
        <v>-2158.9414000000002</v>
      </c>
      <c r="DP26" s="25">
        <f t="shared" ca="1" si="87"/>
        <v>-154.21009999999998</v>
      </c>
      <c r="DQ26" s="25">
        <f ca="1">(BL11+BH18+BW18+CR18+BN7+BR7)</f>
        <v>908.51</v>
      </c>
      <c r="DR26" s="25">
        <f t="shared" ca="1" si="88"/>
        <v>13216.958499999999</v>
      </c>
      <c r="DS26" s="25">
        <f ca="1">SUM($DR$15:DR26)</f>
        <v>116898.027</v>
      </c>
      <c r="DT26" s="29">
        <f t="shared" ca="1" si="54"/>
        <v>0.27</v>
      </c>
      <c r="DU26" s="33">
        <f t="shared" ca="1" si="69"/>
        <v>0</v>
      </c>
      <c r="DV26" s="28">
        <f t="shared" ca="1" si="55"/>
        <v>0.27</v>
      </c>
      <c r="DW26" s="25">
        <f t="shared" ca="1" si="71"/>
        <v>-3568.58</v>
      </c>
      <c r="DX26" s="24">
        <v>24</v>
      </c>
      <c r="DY26" s="35">
        <v>12</v>
      </c>
      <c r="DZ26" s="36">
        <v>0.26</v>
      </c>
      <c r="EA26" s="49"/>
    </row>
    <row r="27" spans="1:131" ht="39.950000000000003" customHeight="1" x14ac:dyDescent="0.25">
      <c r="A27" s="69" t="s">
        <v>53</v>
      </c>
      <c r="B27" s="69"/>
      <c r="C27" s="7" t="s">
        <v>0</v>
      </c>
      <c r="D27" s="14">
        <f t="shared" ref="D27:I27" si="106">(D15+D16+D17+D18+D19+D20+D21+D22+D23+D24+D25+D26)</f>
        <v>0</v>
      </c>
      <c r="E27" s="14">
        <f t="shared" si="106"/>
        <v>0</v>
      </c>
      <c r="F27" s="14">
        <f t="shared" si="106"/>
        <v>0</v>
      </c>
      <c r="G27" s="11">
        <f t="shared" si="106"/>
        <v>312</v>
      </c>
      <c r="H27" s="11">
        <f t="shared" si="106"/>
        <v>1248</v>
      </c>
      <c r="I27" s="11">
        <f t="shared" si="106"/>
        <v>0</v>
      </c>
      <c r="J27" s="8" t="s">
        <v>0</v>
      </c>
      <c r="K27" s="7" t="s">
        <v>0</v>
      </c>
      <c r="L27" s="7" t="s">
        <v>0</v>
      </c>
      <c r="M27" s="7" t="s">
        <v>0</v>
      </c>
      <c r="N27" s="7" t="s">
        <v>0</v>
      </c>
      <c r="O27" s="7" t="s">
        <v>0</v>
      </c>
      <c r="P27" s="7" t="s">
        <v>0</v>
      </c>
      <c r="Q27" s="7" t="s">
        <v>0</v>
      </c>
      <c r="R27" s="1" t="s">
        <v>0</v>
      </c>
      <c r="S27" s="9">
        <f t="shared" ref="S27" ca="1" si="107">(S15+S16+S17+S18+S19+S20+S21+S22+S23+S24+S25+S26)</f>
        <v>91346.822796087334</v>
      </c>
      <c r="T27" s="9">
        <f t="shared" ref="T27" ca="1" si="108">(T15+T16+T17+T18+T19+T20+T21+T22+T23+T24+T25+T26)</f>
        <v>10054.279827512655</v>
      </c>
      <c r="U27" s="10">
        <f t="shared" ref="U27" ca="1" si="109">(U15+U16+U17+U18+U19+U20+U21+U22+U23+U24+U25+U26)</f>
        <v>101401.1026236</v>
      </c>
      <c r="V27" s="15" t="s">
        <v>0</v>
      </c>
      <c r="W27" s="16" t="s">
        <v>0</v>
      </c>
      <c r="X27" s="16" t="s">
        <v>0</v>
      </c>
      <c r="Y27" s="64"/>
      <c r="Z27" s="68"/>
      <c r="AA27" s="18" t="s">
        <v>0</v>
      </c>
      <c r="AB27" s="20" t="s">
        <v>0</v>
      </c>
      <c r="AC27" s="56"/>
      <c r="AD27" s="58"/>
      <c r="AE27" s="60"/>
      <c r="AF27" s="59"/>
      <c r="AG27" s="34" t="s">
        <v>102</v>
      </c>
      <c r="AH27" s="32">
        <v>191.93</v>
      </c>
      <c r="AI27" s="22">
        <v>226.5</v>
      </c>
      <c r="AJ27" s="41" t="s">
        <v>0</v>
      </c>
      <c r="AK27" s="41" t="s">
        <v>0</v>
      </c>
      <c r="AL27" s="27">
        <f>(AQ15+AQ16+AQ17+AQ18+AQ19+AQ20+AQ21+AL11+AL12+AL13+AL14+AL26)</f>
        <v>365</v>
      </c>
      <c r="AM27" s="27">
        <f>(AR15+AR16+AR17+AR18+AR19+AR20+AR21+AM11+AM12+AM13+AM14+AM26)</f>
        <v>313</v>
      </c>
      <c r="AN27" s="27">
        <f>(AS15+AS16+AS17+AS18+AS19+AS20+AS21+AN11+AN12+AN13+AN14+AN26)</f>
        <v>52</v>
      </c>
      <c r="AO27" s="41" t="s">
        <v>0</v>
      </c>
      <c r="AP27" s="25">
        <f t="shared" ref="AP27:AU27" si="110">(AU15+AU16+AU17+AU18+AU19+AU20+AU21+AP11+AP12+AP13+AP14+AP26)</f>
        <v>2799.72</v>
      </c>
      <c r="AQ27" s="25">
        <f t="shared" ca="1" si="110"/>
        <v>1849.7468396816976</v>
      </c>
      <c r="AR27" s="25">
        <f t="shared" si="110"/>
        <v>2799.72</v>
      </c>
      <c r="AS27" s="25">
        <f t="shared" ca="1" si="110"/>
        <v>2203.9825563483637</v>
      </c>
      <c r="AT27" s="25">
        <f t="shared" si="110"/>
        <v>2799.72</v>
      </c>
      <c r="AU27" s="25">
        <f t="shared" ca="1" si="110"/>
        <v>1849.7468396816976</v>
      </c>
      <c r="AV27" s="41" t="s">
        <v>0</v>
      </c>
      <c r="AW27" s="25">
        <f>(AJ15+AJ16+AJ17+AJ18+AJ19+AJ20+AJ21+AW11+AW12+AW13+AW14+AW26)</f>
        <v>85216.02</v>
      </c>
      <c r="AX27" s="25">
        <f>($AL$2*M16)</f>
        <v>0</v>
      </c>
      <c r="AY27" s="25">
        <f>($AL$5*M16)</f>
        <v>0</v>
      </c>
      <c r="AZ27" s="25">
        <f>($AP$5*N16)</f>
        <v>0</v>
      </c>
      <c r="BA27" s="25">
        <f ca="1">(AZ27+(AZ27*0.00759*-1)+((AZ27-BB27)*0.14*-1)+((AZ27-BB27)*0.01*-1)+(AZ27+((AZ27-BB27)*0.14*-1)+((AZ27-BB27)*0.01*-1))*DV16*-1)</f>
        <v>0</v>
      </c>
      <c r="BB27" s="25">
        <f>($AL$3*N16)</f>
        <v>0</v>
      </c>
      <c r="BC27" s="25">
        <f>($AL$6*N16)</f>
        <v>0</v>
      </c>
      <c r="BD27" s="44">
        <f>(K16+L16+M16+N16)</f>
        <v>0</v>
      </c>
      <c r="BE27" s="25">
        <f t="shared" si="105"/>
        <v>0</v>
      </c>
      <c r="BF27" s="25">
        <f t="shared" ca="1" si="105"/>
        <v>0</v>
      </c>
      <c r="BG27" s="25">
        <f>IF(BX2+CB2+AX27+BB27&gt;=$AL$5*2,$AL$5*2,BX2+CB2+AX27+BB27)</f>
        <v>0</v>
      </c>
      <c r="BH27" s="25">
        <f>(BY2+CC2+AY27+BC27)</f>
        <v>0</v>
      </c>
      <c r="DM27" s="46" t="s">
        <v>0</v>
      </c>
      <c r="DN27" s="46" t="s">
        <v>0</v>
      </c>
      <c r="DO27" s="25">
        <f t="shared" ref="DO27" ca="1" si="111">(DO15+DO16+DO17+DO18+DO19+DO20+DO21+DO22+DO23+DO24+DO25+DO26)</f>
        <v>-19079.13</v>
      </c>
      <c r="DP27" s="25">
        <f t="shared" ref="DP27" ca="1" si="112">(DP15+DP16+DP17+DP18+DP19+DP20+DP21+DP22+DP23+DP24+DP25+DP26)</f>
        <v>-1362.7950000000003</v>
      </c>
      <c r="DQ27" s="25">
        <f t="shared" ref="DQ27" ca="1" si="113">(DQ15+DQ16+DQ17+DQ18+DQ19+DQ20+DQ21+DQ22+DQ23+DQ24+DQ25+DQ26)</f>
        <v>9562.0080000000016</v>
      </c>
      <c r="DR27" s="25">
        <f t="shared" ref="DR27" ca="1" si="114">(DR15+DR16+DR17+DR18+DR19+DR20+DR21+DR22+DR23+DR24+DR25+DR26)</f>
        <v>116898.027</v>
      </c>
      <c r="DS27" s="41" t="s">
        <v>0</v>
      </c>
      <c r="DT27" s="24" t="s">
        <v>0</v>
      </c>
      <c r="DU27" s="24" t="s">
        <v>0</v>
      </c>
      <c r="DV27" s="24" t="s">
        <v>0</v>
      </c>
      <c r="DW27" s="25">
        <f t="shared" ref="DW27" ca="1" si="115">(DW15+DW16+DW17+DW18+DW19+DW20+DW21+DW22+DW23+DW24+DW25+DW26)</f>
        <v>-25062.47</v>
      </c>
      <c r="DX27" s="24">
        <v>25</v>
      </c>
      <c r="DY27" s="35">
        <v>12.5</v>
      </c>
      <c r="DZ27" s="36">
        <v>0.27</v>
      </c>
      <c r="EA27" s="49"/>
    </row>
    <row r="28" spans="1:131" ht="39.950000000000003" customHeight="1" x14ac:dyDescent="0.25">
      <c r="A28" s="69" t="s">
        <v>54</v>
      </c>
      <c r="B28" s="69"/>
      <c r="C28" s="7" t="s">
        <v>0</v>
      </c>
      <c r="D28" s="11" t="s">
        <v>0</v>
      </c>
      <c r="E28" s="7" t="s">
        <v>0</v>
      </c>
      <c r="F28" s="7" t="s">
        <v>0</v>
      </c>
      <c r="G28" s="7" t="s">
        <v>0</v>
      </c>
      <c r="H28" s="7" t="s">
        <v>0</v>
      </c>
      <c r="I28" s="7" t="s">
        <v>0</v>
      </c>
      <c r="J28" s="8" t="s">
        <v>0</v>
      </c>
      <c r="K28" s="7" t="s">
        <v>0</v>
      </c>
      <c r="L28" s="7" t="s">
        <v>0</v>
      </c>
      <c r="M28" s="7" t="s">
        <v>0</v>
      </c>
      <c r="N28" s="7" t="s">
        <v>0</v>
      </c>
      <c r="O28" s="7" t="s">
        <v>0</v>
      </c>
      <c r="P28" s="7" t="s">
        <v>0</v>
      </c>
      <c r="Q28" s="7" t="s">
        <v>0</v>
      </c>
      <c r="R28" s="7" t="s">
        <v>0</v>
      </c>
      <c r="S28" s="9">
        <f ca="1">(S27/12)</f>
        <v>7612.2352330072781</v>
      </c>
      <c r="T28" s="9">
        <f ca="1">(T27/12)</f>
        <v>837.85665229272126</v>
      </c>
      <c r="U28" s="10">
        <f ca="1">(U27/12)</f>
        <v>8450.0918853000003</v>
      </c>
      <c r="V28" s="15" t="s">
        <v>0</v>
      </c>
      <c r="W28" s="16" t="s">
        <v>0</v>
      </c>
      <c r="X28" s="16" t="s">
        <v>0</v>
      </c>
      <c r="Y28" s="64"/>
      <c r="Z28" s="68"/>
      <c r="AA28" s="18" t="s">
        <v>0</v>
      </c>
      <c r="AB28" s="20" t="s">
        <v>0</v>
      </c>
      <c r="AC28" s="56"/>
      <c r="AD28" s="65"/>
      <c r="AE28" s="66"/>
      <c r="AF28" s="67"/>
      <c r="AG28" s="34" t="s">
        <v>103</v>
      </c>
      <c r="AH28" s="32">
        <v>191.93</v>
      </c>
      <c r="AI28" s="22">
        <v>226.5</v>
      </c>
      <c r="AJ28" s="41" t="s">
        <v>0</v>
      </c>
      <c r="AK28" s="41" t="s">
        <v>0</v>
      </c>
      <c r="AL28" s="41" t="s">
        <v>0</v>
      </c>
      <c r="AM28" s="41" t="s">
        <v>0</v>
      </c>
      <c r="AN28" s="41" t="s">
        <v>0</v>
      </c>
      <c r="AO28" s="41" t="s">
        <v>0</v>
      </c>
      <c r="AP28" s="25">
        <f>(AP27/12)</f>
        <v>233.30999999999997</v>
      </c>
      <c r="AQ28" s="25">
        <f t="shared" ref="AQ28:AU28" ca="1" si="116">(AQ27/12)</f>
        <v>154.14556997347481</v>
      </c>
      <c r="AR28" s="25">
        <f t="shared" si="116"/>
        <v>233.30999999999997</v>
      </c>
      <c r="AS28" s="25">
        <f t="shared" ca="1" si="116"/>
        <v>183.6652130290303</v>
      </c>
      <c r="AT28" s="25">
        <f t="shared" si="116"/>
        <v>233.30999999999997</v>
      </c>
      <c r="AU28" s="25">
        <f t="shared" ca="1" si="116"/>
        <v>154.14556997347481</v>
      </c>
      <c r="AV28" s="41" t="s">
        <v>0</v>
      </c>
      <c r="AW28" s="25">
        <f>(AW27/12)</f>
        <v>7101.335</v>
      </c>
      <c r="AX28" s="25">
        <f>($AL$2*M17)</f>
        <v>0</v>
      </c>
      <c r="AY28" s="25">
        <f>($AL$5*M17)</f>
        <v>0</v>
      </c>
      <c r="AZ28" s="25">
        <f>($AP$5*N17)</f>
        <v>0</v>
      </c>
      <c r="BA28" s="25">
        <f ca="1">(AZ28+(AZ28*0.00759*-1)+((AZ28-BB28)*0.14*-1)+((AZ28-BB28)*0.01*-1)+(AZ28+((AZ28-BB28)*0.14*-1)+((AZ28-BB28)*0.01*-1))*DV17*-1)</f>
        <v>0</v>
      </c>
      <c r="BB28" s="25">
        <f>($AL$3*N17)</f>
        <v>0</v>
      </c>
      <c r="BC28" s="25">
        <f>($AL$6*N17)</f>
        <v>0</v>
      </c>
      <c r="BD28" s="44">
        <f>(K17+L17+M17+N17)</f>
        <v>0</v>
      </c>
      <c r="BE28" s="25">
        <f t="shared" si="105"/>
        <v>0</v>
      </c>
      <c r="BF28" s="25">
        <f t="shared" ca="1" si="105"/>
        <v>0</v>
      </c>
      <c r="BG28" s="25">
        <f>IF(BX3+CB3+AX28+BB28&gt;=$AL$5*2,$AL$5*2,BX3+CB3+AX28+BB28)</f>
        <v>0</v>
      </c>
      <c r="BH28" s="25">
        <f>(BY3+CC3+AY28+BC28)</f>
        <v>0</v>
      </c>
      <c r="DM28" s="46" t="s">
        <v>0</v>
      </c>
      <c r="DN28" s="46" t="s">
        <v>0</v>
      </c>
      <c r="DO28" s="25">
        <f t="shared" ref="DO28" ca="1" si="117">(DO27/12)</f>
        <v>-1589.9275</v>
      </c>
      <c r="DP28" s="25">
        <f t="shared" ref="DP28" ca="1" si="118">(DP27/12)</f>
        <v>-113.56625000000003</v>
      </c>
      <c r="DQ28" s="25">
        <f t="shared" ref="DQ28" ca="1" si="119">(DQ27/12)</f>
        <v>796.83400000000017</v>
      </c>
      <c r="DR28" s="25">
        <f t="shared" ref="DR28" ca="1" si="120">(DR27/12)</f>
        <v>9741.5022499999995</v>
      </c>
      <c r="DS28" s="41" t="s">
        <v>0</v>
      </c>
      <c r="DT28" s="41" t="s">
        <v>0</v>
      </c>
      <c r="DU28" s="41" t="s">
        <v>0</v>
      </c>
      <c r="DV28" s="41" t="s">
        <v>0</v>
      </c>
      <c r="DW28" s="25">
        <f t="shared" ref="DW28" ca="1" si="121">(DW27/12)</f>
        <v>-2088.5391666666669</v>
      </c>
      <c r="DX28" s="24">
        <v>26</v>
      </c>
      <c r="DY28" s="35">
        <v>13</v>
      </c>
      <c r="DZ28" s="36">
        <v>0.28000000000000003</v>
      </c>
      <c r="EA28" s="50"/>
    </row>
    <row r="29" spans="1:131" ht="39.950000000000003" hidden="1" customHeight="1" x14ac:dyDescent="0.25">
      <c r="AG29" s="34" t="s">
        <v>104</v>
      </c>
      <c r="AH29" s="32">
        <v>186.41</v>
      </c>
      <c r="AI29" s="22">
        <v>219.42</v>
      </c>
      <c r="DM29" s="30"/>
      <c r="DN29" s="30"/>
      <c r="DX29" s="24">
        <v>27</v>
      </c>
      <c r="DY29" s="35">
        <v>13.5</v>
      </c>
      <c r="DZ29" s="36">
        <v>0.28999999999999998</v>
      </c>
    </row>
    <row r="30" spans="1:131" ht="39.950000000000003" hidden="1" customHeight="1" x14ac:dyDescent="0.25">
      <c r="AG30" s="34" t="s">
        <v>105</v>
      </c>
      <c r="AH30" s="32">
        <v>186.41</v>
      </c>
      <c r="AI30" s="22">
        <v>219.42</v>
      </c>
      <c r="DM30" s="30"/>
      <c r="DN30" s="30"/>
      <c r="DX30" s="24">
        <v>28</v>
      </c>
      <c r="DY30" s="35">
        <v>14</v>
      </c>
      <c r="DZ30" s="36">
        <v>0.3</v>
      </c>
    </row>
    <row r="31" spans="1:131" ht="39.950000000000003" hidden="1" customHeight="1" x14ac:dyDescent="0.25">
      <c r="AG31" s="34" t="s">
        <v>106</v>
      </c>
      <c r="AH31" s="32">
        <v>186.41</v>
      </c>
      <c r="AI31" s="22">
        <v>219.9</v>
      </c>
      <c r="DM31" s="30"/>
      <c r="DN31" s="30"/>
      <c r="DX31" s="24">
        <v>29</v>
      </c>
      <c r="DY31" s="35">
        <v>14.5</v>
      </c>
      <c r="DZ31" s="36">
        <v>0.31</v>
      </c>
    </row>
    <row r="32" spans="1:131" ht="39.950000000000003" hidden="1" customHeight="1" x14ac:dyDescent="0.25">
      <c r="AG32" s="34" t="s">
        <v>107</v>
      </c>
      <c r="AH32" s="32">
        <v>186.41</v>
      </c>
      <c r="AI32" s="22">
        <v>219.9</v>
      </c>
      <c r="DM32" s="30"/>
      <c r="DN32" s="30"/>
      <c r="DX32" s="24">
        <v>30</v>
      </c>
      <c r="DY32" s="35">
        <v>15</v>
      </c>
      <c r="DZ32" s="36">
        <v>0.32</v>
      </c>
    </row>
    <row r="33" spans="33:130" ht="39.950000000000003" hidden="1" customHeight="1" x14ac:dyDescent="0.25">
      <c r="AG33" s="34" t="s">
        <v>108</v>
      </c>
      <c r="AH33" s="32">
        <v>182.27</v>
      </c>
      <c r="AI33" s="22">
        <v>215.7</v>
      </c>
      <c r="DM33" s="30"/>
      <c r="DN33" s="30"/>
      <c r="DX33" s="24">
        <v>31</v>
      </c>
      <c r="DY33" s="35">
        <v>15.5</v>
      </c>
      <c r="DZ33" s="36">
        <v>0.33</v>
      </c>
    </row>
    <row r="34" spans="33:130" ht="39.950000000000003" hidden="1" customHeight="1" x14ac:dyDescent="0.25">
      <c r="AG34" s="34" t="s">
        <v>109</v>
      </c>
      <c r="AH34" s="32">
        <v>182.27</v>
      </c>
      <c r="AI34" s="22">
        <v>215.7</v>
      </c>
      <c r="DM34" s="30"/>
      <c r="DN34" s="30"/>
      <c r="DX34" s="24">
        <v>32</v>
      </c>
      <c r="DY34" s="35">
        <v>16</v>
      </c>
      <c r="DZ34" s="36">
        <v>0.34</v>
      </c>
    </row>
    <row r="35" spans="33:130" ht="39.950000000000003" hidden="1" customHeight="1" x14ac:dyDescent="0.25">
      <c r="DX35" s="24">
        <v>33</v>
      </c>
      <c r="DY35" s="35">
        <v>16.5</v>
      </c>
      <c r="DZ35" s="36">
        <v>0.35</v>
      </c>
    </row>
    <row r="36" spans="33:130" ht="39.950000000000003" hidden="1" customHeight="1" x14ac:dyDescent="0.25">
      <c r="DX36" s="24">
        <v>34</v>
      </c>
      <c r="DY36" s="35">
        <v>17</v>
      </c>
      <c r="DZ36" s="36">
        <v>0.36</v>
      </c>
    </row>
    <row r="37" spans="33:130" ht="39.950000000000003" hidden="1" customHeight="1" x14ac:dyDescent="0.25">
      <c r="DX37" s="24">
        <v>35</v>
      </c>
      <c r="DY37" s="35">
        <v>17.5</v>
      </c>
      <c r="DZ37" s="36">
        <v>0.37</v>
      </c>
    </row>
    <row r="38" spans="33:130" ht="39.950000000000003" hidden="1" customHeight="1" x14ac:dyDescent="0.25">
      <c r="DX38" s="24">
        <v>36</v>
      </c>
      <c r="DY38" s="35">
        <v>18</v>
      </c>
      <c r="DZ38" s="36">
        <v>0.38</v>
      </c>
    </row>
    <row r="39" spans="33:130" ht="39.950000000000003" hidden="1" customHeight="1" x14ac:dyDescent="0.25">
      <c r="DX39" s="24">
        <v>37</v>
      </c>
      <c r="DY39" s="35">
        <v>18.5</v>
      </c>
      <c r="DZ39" s="36">
        <v>0.39</v>
      </c>
    </row>
    <row r="40" spans="33:130" ht="39.950000000000003" hidden="1" customHeight="1" x14ac:dyDescent="0.25">
      <c r="DX40" s="24">
        <v>38</v>
      </c>
      <c r="DY40" s="35">
        <v>19</v>
      </c>
      <c r="DZ40" s="36">
        <v>0.4</v>
      </c>
    </row>
    <row r="41" spans="33:130" ht="39.950000000000003" hidden="1" customHeight="1" x14ac:dyDescent="0.25">
      <c r="DX41" s="24">
        <v>39</v>
      </c>
      <c r="DY41" s="35">
        <v>19.5</v>
      </c>
      <c r="DZ41" s="36">
        <v>0.41</v>
      </c>
    </row>
    <row r="42" spans="33:130" ht="39.950000000000003" hidden="1" customHeight="1" x14ac:dyDescent="0.25">
      <c r="DX42" s="24">
        <v>40</v>
      </c>
      <c r="DY42" s="35">
        <v>20</v>
      </c>
      <c r="DZ42" s="36">
        <v>0.42</v>
      </c>
    </row>
    <row r="43" spans="33:130" ht="39.950000000000003" hidden="1" customHeight="1" x14ac:dyDescent="0.25">
      <c r="DX43" s="24">
        <v>41</v>
      </c>
      <c r="DY43" s="35">
        <v>20.5</v>
      </c>
      <c r="DZ43" s="36">
        <v>0.43</v>
      </c>
    </row>
    <row r="44" spans="33:130" ht="39.950000000000003" hidden="1" customHeight="1" x14ac:dyDescent="0.25">
      <c r="DX44" s="24">
        <v>42</v>
      </c>
      <c r="DY44" s="35">
        <v>21</v>
      </c>
      <c r="DZ44" s="36">
        <v>0.44</v>
      </c>
    </row>
    <row r="45" spans="33:130" ht="39.950000000000003" hidden="1" customHeight="1" x14ac:dyDescent="0.25">
      <c r="DX45" s="24">
        <v>43</v>
      </c>
      <c r="DY45" s="35">
        <v>21.5</v>
      </c>
      <c r="DZ45" s="36">
        <v>0.45</v>
      </c>
    </row>
    <row r="46" spans="33:130" ht="39.950000000000003" hidden="1" customHeight="1" x14ac:dyDescent="0.25">
      <c r="DX46" s="24">
        <v>44</v>
      </c>
      <c r="DY46" s="35">
        <v>22</v>
      </c>
      <c r="DZ46" s="36">
        <v>0.46</v>
      </c>
    </row>
    <row r="47" spans="33:130" ht="39.950000000000003" hidden="1" customHeight="1" x14ac:dyDescent="0.25">
      <c r="DX47" s="24">
        <v>45</v>
      </c>
      <c r="DY47" s="35">
        <v>22.5</v>
      </c>
      <c r="DZ47" s="36">
        <v>0.47</v>
      </c>
    </row>
    <row r="48" spans="33:130" ht="39.950000000000003" hidden="1" customHeight="1" x14ac:dyDescent="0.25">
      <c r="DX48" s="24">
        <v>46</v>
      </c>
      <c r="DY48" s="35">
        <v>23</v>
      </c>
      <c r="DZ48" s="36">
        <v>0.48</v>
      </c>
    </row>
    <row r="49" spans="128:130" ht="39.950000000000003" hidden="1" customHeight="1" x14ac:dyDescent="0.25">
      <c r="DX49" s="24">
        <v>47</v>
      </c>
      <c r="DY49" s="35">
        <v>23.5</v>
      </c>
      <c r="DZ49" s="36">
        <v>0.49</v>
      </c>
    </row>
    <row r="50" spans="128:130" ht="39.950000000000003" hidden="1" customHeight="1" x14ac:dyDescent="0.25">
      <c r="DX50" s="24">
        <v>48</v>
      </c>
      <c r="DY50" s="35">
        <v>24</v>
      </c>
      <c r="DZ50" s="36">
        <v>0.5</v>
      </c>
    </row>
    <row r="51" spans="128:130" ht="39.950000000000003" hidden="1" customHeight="1" x14ac:dyDescent="0.25">
      <c r="DX51" s="24">
        <v>49</v>
      </c>
      <c r="DY51" s="35">
        <v>24.5</v>
      </c>
      <c r="DZ51" s="47" t="s">
        <v>0</v>
      </c>
    </row>
    <row r="52" spans="128:130" ht="39.950000000000003" hidden="1" customHeight="1" x14ac:dyDescent="0.25">
      <c r="DX52" s="24">
        <v>50</v>
      </c>
      <c r="DY52" s="35">
        <v>25</v>
      </c>
      <c r="DZ52" s="47" t="s">
        <v>0</v>
      </c>
    </row>
    <row r="53" spans="128:130" ht="39.950000000000003" hidden="1" customHeight="1" x14ac:dyDescent="0.25">
      <c r="DX53" s="24">
        <v>51</v>
      </c>
      <c r="DY53" s="35">
        <v>25.5</v>
      </c>
      <c r="DZ53" s="47" t="s">
        <v>0</v>
      </c>
    </row>
    <row r="54" spans="128:130" ht="39.950000000000003" hidden="1" customHeight="1" x14ac:dyDescent="0.25">
      <c r="DX54" s="24">
        <v>52</v>
      </c>
      <c r="DY54" s="35">
        <v>26</v>
      </c>
      <c r="DZ54" s="47" t="s">
        <v>0</v>
      </c>
    </row>
    <row r="55" spans="128:130" ht="39.950000000000003" hidden="1" customHeight="1" x14ac:dyDescent="0.25">
      <c r="DX55" s="24">
        <v>53</v>
      </c>
      <c r="DY55" s="35">
        <v>26.5</v>
      </c>
      <c r="DZ55" s="47" t="s">
        <v>0</v>
      </c>
    </row>
    <row r="56" spans="128:130" ht="39.950000000000003" hidden="1" customHeight="1" x14ac:dyDescent="0.25">
      <c r="DX56" s="24">
        <v>54</v>
      </c>
      <c r="DY56" s="35">
        <v>27</v>
      </c>
      <c r="DZ56" s="47" t="s">
        <v>0</v>
      </c>
    </row>
    <row r="57" spans="128:130" ht="39.950000000000003" hidden="1" customHeight="1" x14ac:dyDescent="0.25">
      <c r="DX57" s="24">
        <v>55</v>
      </c>
      <c r="DY57" s="35">
        <v>27.5</v>
      </c>
      <c r="DZ57" s="47" t="s">
        <v>0</v>
      </c>
    </row>
    <row r="58" spans="128:130" ht="39.950000000000003" hidden="1" customHeight="1" x14ac:dyDescent="0.25">
      <c r="DX58" s="24">
        <v>56</v>
      </c>
      <c r="DY58" s="35">
        <v>28</v>
      </c>
      <c r="DZ58" s="47" t="s">
        <v>0</v>
      </c>
    </row>
    <row r="59" spans="128:130" ht="39.950000000000003" hidden="1" customHeight="1" x14ac:dyDescent="0.25">
      <c r="DX59" s="24">
        <v>57</v>
      </c>
      <c r="DY59" s="35">
        <v>28.5</v>
      </c>
      <c r="DZ59" s="47" t="s">
        <v>0</v>
      </c>
    </row>
    <row r="60" spans="128:130" ht="39.950000000000003" hidden="1" customHeight="1" x14ac:dyDescent="0.25">
      <c r="DX60" s="24">
        <v>58</v>
      </c>
      <c r="DY60" s="35">
        <v>29</v>
      </c>
      <c r="DZ60" s="47" t="s">
        <v>0</v>
      </c>
    </row>
    <row r="61" spans="128:130" ht="39.950000000000003" hidden="1" customHeight="1" x14ac:dyDescent="0.25">
      <c r="DX61" s="24">
        <v>59</v>
      </c>
      <c r="DY61" s="35">
        <v>29.5</v>
      </c>
      <c r="DZ61" s="47" t="s">
        <v>0</v>
      </c>
    </row>
    <row r="62" spans="128:130" ht="39.950000000000003" hidden="1" customHeight="1" x14ac:dyDescent="0.25">
      <c r="DX62" s="24">
        <v>60</v>
      </c>
      <c r="DY62" s="35">
        <v>30</v>
      </c>
      <c r="DZ62" s="47" t="s">
        <v>0</v>
      </c>
    </row>
    <row r="63" spans="128:130" ht="39.950000000000003" hidden="1" customHeight="1" x14ac:dyDescent="0.25">
      <c r="DX63" s="24">
        <v>61</v>
      </c>
      <c r="DY63" s="35">
        <v>30.5</v>
      </c>
      <c r="DZ63" s="47" t="s">
        <v>0</v>
      </c>
    </row>
    <row r="64" spans="128:130" ht="39.950000000000003" hidden="1" customHeight="1" x14ac:dyDescent="0.25">
      <c r="DX64" s="24">
        <v>62</v>
      </c>
      <c r="DY64" s="35">
        <v>31</v>
      </c>
      <c r="DZ64" s="47" t="s">
        <v>0</v>
      </c>
    </row>
    <row r="65" spans="128:130" ht="39.950000000000003" hidden="1" customHeight="1" x14ac:dyDescent="0.25">
      <c r="DX65" s="24">
        <v>63</v>
      </c>
      <c r="DY65" s="35">
        <v>31.5</v>
      </c>
      <c r="DZ65" s="47" t="s">
        <v>0</v>
      </c>
    </row>
    <row r="66" spans="128:130" ht="39.950000000000003" hidden="1" customHeight="1" x14ac:dyDescent="0.25">
      <c r="DX66" s="24">
        <v>64</v>
      </c>
      <c r="DY66" s="35">
        <v>32</v>
      </c>
      <c r="DZ66" s="47" t="s">
        <v>0</v>
      </c>
    </row>
    <row r="67" spans="128:130" ht="39.950000000000003" hidden="1" customHeight="1" x14ac:dyDescent="0.25">
      <c r="DX67" s="24">
        <v>65</v>
      </c>
      <c r="DY67" s="35">
        <v>32.5</v>
      </c>
      <c r="DZ67" s="47" t="s">
        <v>0</v>
      </c>
    </row>
    <row r="68" spans="128:130" ht="39.950000000000003" hidden="1" customHeight="1" x14ac:dyDescent="0.25">
      <c r="DX68" s="24">
        <v>66</v>
      </c>
      <c r="DY68" s="35">
        <v>33</v>
      </c>
      <c r="DZ68" s="47" t="s">
        <v>0</v>
      </c>
    </row>
    <row r="69" spans="128:130" ht="39.950000000000003" hidden="1" customHeight="1" x14ac:dyDescent="0.25">
      <c r="DX69" s="24">
        <v>67</v>
      </c>
      <c r="DY69" s="35">
        <v>33.5</v>
      </c>
      <c r="DZ69" s="47" t="s">
        <v>0</v>
      </c>
    </row>
    <row r="70" spans="128:130" ht="39.950000000000003" hidden="1" customHeight="1" x14ac:dyDescent="0.25">
      <c r="DX70" s="24">
        <v>68</v>
      </c>
      <c r="DY70" s="35">
        <v>34</v>
      </c>
      <c r="DZ70" s="47" t="s">
        <v>0</v>
      </c>
    </row>
    <row r="71" spans="128:130" ht="39.950000000000003" hidden="1" customHeight="1" x14ac:dyDescent="0.25">
      <c r="DX71" s="24">
        <v>69</v>
      </c>
      <c r="DY71" s="35">
        <v>34.5</v>
      </c>
      <c r="DZ71" s="47" t="s">
        <v>0</v>
      </c>
    </row>
    <row r="72" spans="128:130" ht="39.950000000000003" hidden="1" customHeight="1" x14ac:dyDescent="0.25">
      <c r="DX72" s="24">
        <v>70</v>
      </c>
      <c r="DY72" s="35">
        <v>35</v>
      </c>
      <c r="DZ72" s="47" t="s">
        <v>0</v>
      </c>
    </row>
    <row r="73" spans="128:130" ht="39.950000000000003" hidden="1" customHeight="1" x14ac:dyDescent="0.25">
      <c r="DX73" s="24">
        <v>71</v>
      </c>
      <c r="DY73" s="35">
        <v>35.5</v>
      </c>
      <c r="DZ73" s="47" t="s">
        <v>0</v>
      </c>
    </row>
    <row r="74" spans="128:130" ht="39.950000000000003" hidden="1" customHeight="1" x14ac:dyDescent="0.25">
      <c r="DX74" s="24">
        <v>72</v>
      </c>
      <c r="DY74" s="35">
        <v>36</v>
      </c>
      <c r="DZ74" s="47" t="s">
        <v>0</v>
      </c>
    </row>
    <row r="75" spans="128:130" ht="39.950000000000003" hidden="1" customHeight="1" x14ac:dyDescent="0.25">
      <c r="DX75" s="24">
        <v>73</v>
      </c>
      <c r="DY75" s="35">
        <v>36.5</v>
      </c>
      <c r="DZ75" s="47" t="s">
        <v>0</v>
      </c>
    </row>
    <row r="76" spans="128:130" ht="39.950000000000003" hidden="1" customHeight="1" x14ac:dyDescent="0.25">
      <c r="DX76" s="24">
        <v>74</v>
      </c>
      <c r="DY76" s="35">
        <v>37</v>
      </c>
      <c r="DZ76" s="47" t="s">
        <v>0</v>
      </c>
    </row>
    <row r="77" spans="128:130" ht="39.950000000000003" hidden="1" customHeight="1" x14ac:dyDescent="0.25">
      <c r="DX77" s="24">
        <v>75</v>
      </c>
      <c r="DY77" s="35">
        <v>37.5</v>
      </c>
      <c r="DZ77" s="47" t="s">
        <v>0</v>
      </c>
    </row>
    <row r="78" spans="128:130" ht="39.950000000000003" hidden="1" customHeight="1" x14ac:dyDescent="0.25">
      <c r="DX78" s="24">
        <v>76</v>
      </c>
      <c r="DY78" s="35">
        <v>38</v>
      </c>
      <c r="DZ78" s="47" t="s">
        <v>0</v>
      </c>
    </row>
    <row r="79" spans="128:130" ht="39.950000000000003" hidden="1" customHeight="1" x14ac:dyDescent="0.25">
      <c r="DX79" s="24">
        <v>77</v>
      </c>
      <c r="DY79" s="35">
        <v>38.5</v>
      </c>
      <c r="DZ79" s="47" t="s">
        <v>0</v>
      </c>
    </row>
    <row r="80" spans="128:130" ht="39.950000000000003" hidden="1" customHeight="1" x14ac:dyDescent="0.25">
      <c r="DX80" s="24">
        <v>78</v>
      </c>
      <c r="DY80" s="35">
        <v>39</v>
      </c>
      <c r="DZ80" s="47" t="s">
        <v>0</v>
      </c>
    </row>
    <row r="81" spans="128:130" ht="39.950000000000003" hidden="1" customHeight="1" x14ac:dyDescent="0.25">
      <c r="DX81" s="24">
        <v>79</v>
      </c>
      <c r="DY81" s="35">
        <v>39.5</v>
      </c>
      <c r="DZ81" s="47" t="s">
        <v>0</v>
      </c>
    </row>
    <row r="82" spans="128:130" ht="39.950000000000003" hidden="1" customHeight="1" x14ac:dyDescent="0.25">
      <c r="DX82" s="24">
        <v>80</v>
      </c>
      <c r="DY82" s="35">
        <v>40</v>
      </c>
      <c r="DZ82" s="47" t="s">
        <v>0</v>
      </c>
    </row>
    <row r="83" spans="128:130" ht="39.950000000000003" hidden="1" customHeight="1" x14ac:dyDescent="0.25">
      <c r="DX83" s="24">
        <v>81</v>
      </c>
      <c r="DY83" s="35">
        <v>40.5</v>
      </c>
      <c r="DZ83" s="47" t="s">
        <v>0</v>
      </c>
    </row>
    <row r="84" spans="128:130" ht="39.950000000000003" hidden="1" customHeight="1" x14ac:dyDescent="0.25">
      <c r="DX84" s="24">
        <v>82</v>
      </c>
      <c r="DY84" s="35">
        <v>41</v>
      </c>
      <c r="DZ84" s="47" t="s">
        <v>0</v>
      </c>
    </row>
    <row r="85" spans="128:130" ht="39.950000000000003" hidden="1" customHeight="1" x14ac:dyDescent="0.25">
      <c r="DX85" s="24">
        <v>83</v>
      </c>
      <c r="DY85" s="35">
        <v>41.5</v>
      </c>
      <c r="DZ85" s="47" t="s">
        <v>0</v>
      </c>
    </row>
    <row r="86" spans="128:130" ht="39.950000000000003" hidden="1" customHeight="1" x14ac:dyDescent="0.25">
      <c r="DX86" s="24">
        <v>84</v>
      </c>
      <c r="DY86" s="35">
        <v>42</v>
      </c>
      <c r="DZ86" s="47" t="s">
        <v>0</v>
      </c>
    </row>
    <row r="87" spans="128:130" ht="39.950000000000003" hidden="1" customHeight="1" x14ac:dyDescent="0.25">
      <c r="DX87" s="24">
        <v>85</v>
      </c>
      <c r="DY87" s="35">
        <v>42.5</v>
      </c>
      <c r="DZ87" s="47" t="s">
        <v>0</v>
      </c>
    </row>
    <row r="88" spans="128:130" ht="39.950000000000003" hidden="1" customHeight="1" x14ac:dyDescent="0.25">
      <c r="DX88" s="24">
        <v>86</v>
      </c>
      <c r="DY88" s="35">
        <v>43</v>
      </c>
      <c r="DZ88" s="47" t="s">
        <v>0</v>
      </c>
    </row>
    <row r="89" spans="128:130" ht="39.950000000000003" hidden="1" customHeight="1" x14ac:dyDescent="0.25">
      <c r="DX89" s="24">
        <v>87</v>
      </c>
      <c r="DY89" s="35">
        <v>43.5</v>
      </c>
      <c r="DZ89" s="47" t="s">
        <v>0</v>
      </c>
    </row>
    <row r="90" spans="128:130" ht="39.950000000000003" hidden="1" customHeight="1" x14ac:dyDescent="0.25">
      <c r="DX90" s="24">
        <v>88</v>
      </c>
      <c r="DY90" s="35">
        <v>44</v>
      </c>
      <c r="DZ90" s="47" t="s">
        <v>0</v>
      </c>
    </row>
    <row r="91" spans="128:130" ht="39.950000000000003" hidden="1" customHeight="1" x14ac:dyDescent="0.25">
      <c r="DX91" s="24">
        <v>89</v>
      </c>
      <c r="DY91" s="35">
        <v>44.5</v>
      </c>
      <c r="DZ91" s="47" t="s">
        <v>0</v>
      </c>
    </row>
    <row r="92" spans="128:130" ht="39.950000000000003" hidden="1" customHeight="1" x14ac:dyDescent="0.25">
      <c r="DX92" s="24">
        <v>90</v>
      </c>
      <c r="DY92" s="35">
        <v>45</v>
      </c>
      <c r="DZ92" s="47" t="s">
        <v>0</v>
      </c>
    </row>
    <row r="93" spans="128:130" ht="39.950000000000003" hidden="1" customHeight="1" x14ac:dyDescent="0.25">
      <c r="DX93" s="24">
        <v>91</v>
      </c>
      <c r="DY93" s="35">
        <v>45.5</v>
      </c>
      <c r="DZ93" s="47" t="s">
        <v>0</v>
      </c>
    </row>
    <row r="94" spans="128:130" ht="39.950000000000003" hidden="1" customHeight="1" x14ac:dyDescent="0.25">
      <c r="DX94" s="24">
        <v>92</v>
      </c>
      <c r="DY94" s="35">
        <v>46</v>
      </c>
      <c r="DZ94" s="47" t="s">
        <v>0</v>
      </c>
    </row>
    <row r="95" spans="128:130" ht="39.950000000000003" hidden="1" customHeight="1" x14ac:dyDescent="0.25">
      <c r="DX95" s="24">
        <v>93</v>
      </c>
      <c r="DY95" s="35">
        <v>46.5</v>
      </c>
      <c r="DZ95" s="47" t="s">
        <v>0</v>
      </c>
    </row>
    <row r="96" spans="128:130" ht="39.950000000000003" hidden="1" customHeight="1" x14ac:dyDescent="0.25">
      <c r="DX96" s="24">
        <v>94</v>
      </c>
      <c r="DY96" s="35">
        <v>47</v>
      </c>
      <c r="DZ96" s="47" t="s">
        <v>0</v>
      </c>
    </row>
    <row r="97" spans="128:130" ht="39.950000000000003" hidden="1" customHeight="1" x14ac:dyDescent="0.25">
      <c r="DX97" s="24">
        <v>95</v>
      </c>
      <c r="DY97" s="35">
        <v>47.5</v>
      </c>
      <c r="DZ97" s="47" t="s">
        <v>0</v>
      </c>
    </row>
    <row r="98" spans="128:130" ht="39.950000000000003" hidden="1" customHeight="1" x14ac:dyDescent="0.25">
      <c r="DX98" s="24">
        <v>96</v>
      </c>
      <c r="DY98" s="35">
        <v>48</v>
      </c>
      <c r="DZ98" s="47" t="s">
        <v>0</v>
      </c>
    </row>
    <row r="99" spans="128:130" ht="39.950000000000003" hidden="1" customHeight="1" x14ac:dyDescent="0.25">
      <c r="DX99" s="24">
        <v>97</v>
      </c>
      <c r="DY99" s="35">
        <v>48.5</v>
      </c>
      <c r="DZ99" s="47" t="s">
        <v>0</v>
      </c>
    </row>
    <row r="100" spans="128:130" ht="39.950000000000003" hidden="1" customHeight="1" x14ac:dyDescent="0.25">
      <c r="DX100" s="24">
        <v>98</v>
      </c>
      <c r="DY100" s="35">
        <v>49</v>
      </c>
      <c r="DZ100" s="47" t="s">
        <v>0</v>
      </c>
    </row>
    <row r="101" spans="128:130" ht="39.950000000000003" hidden="1" customHeight="1" x14ac:dyDescent="0.25">
      <c r="DX101" s="24">
        <v>99</v>
      </c>
      <c r="DY101" s="35">
        <v>49.5</v>
      </c>
      <c r="DZ101" s="47" t="s">
        <v>0</v>
      </c>
    </row>
    <row r="102" spans="128:130" ht="39.950000000000003" hidden="1" customHeight="1" x14ac:dyDescent="0.25">
      <c r="DX102" s="24">
        <v>100</v>
      </c>
      <c r="DY102" s="35">
        <v>50</v>
      </c>
      <c r="DZ102" s="47" t="s">
        <v>0</v>
      </c>
    </row>
    <row r="103" spans="128:130" ht="39.950000000000003" hidden="1" customHeight="1" x14ac:dyDescent="0.25">
      <c r="DX103" s="24">
        <v>101</v>
      </c>
      <c r="DY103" s="35">
        <v>50.5</v>
      </c>
      <c r="DZ103" s="47" t="s">
        <v>0</v>
      </c>
    </row>
    <row r="104" spans="128:130" ht="39.950000000000003" hidden="1" customHeight="1" x14ac:dyDescent="0.25">
      <c r="DX104" s="24">
        <v>102</v>
      </c>
      <c r="DY104" s="35">
        <v>51</v>
      </c>
      <c r="DZ104" s="47" t="s">
        <v>0</v>
      </c>
    </row>
    <row r="105" spans="128:130" ht="39.950000000000003" hidden="1" customHeight="1" x14ac:dyDescent="0.25">
      <c r="DX105" s="24">
        <v>103</v>
      </c>
      <c r="DY105" s="35">
        <v>51.5</v>
      </c>
      <c r="DZ105" s="47" t="s">
        <v>0</v>
      </c>
    </row>
    <row r="106" spans="128:130" ht="39.950000000000003" hidden="1" customHeight="1" x14ac:dyDescent="0.25">
      <c r="DX106" s="24">
        <v>104</v>
      </c>
      <c r="DY106" s="35">
        <v>52</v>
      </c>
      <c r="DZ106" s="47" t="s">
        <v>0</v>
      </c>
    </row>
    <row r="107" spans="128:130" ht="39.950000000000003" hidden="1" customHeight="1" x14ac:dyDescent="0.25">
      <c r="DX107" s="24">
        <v>105</v>
      </c>
      <c r="DY107" s="35">
        <v>52.5</v>
      </c>
      <c r="DZ107" s="47" t="s">
        <v>0</v>
      </c>
    </row>
    <row r="108" spans="128:130" ht="39.950000000000003" hidden="1" customHeight="1" x14ac:dyDescent="0.25">
      <c r="DX108" s="24">
        <v>106</v>
      </c>
      <c r="DY108" s="35">
        <v>53</v>
      </c>
      <c r="DZ108" s="47" t="s">
        <v>0</v>
      </c>
    </row>
    <row r="109" spans="128:130" ht="39.950000000000003" hidden="1" customHeight="1" x14ac:dyDescent="0.25">
      <c r="DX109" s="24">
        <v>107</v>
      </c>
      <c r="DY109" s="35">
        <v>53.5</v>
      </c>
      <c r="DZ109" s="47" t="s">
        <v>0</v>
      </c>
    </row>
    <row r="110" spans="128:130" ht="39.950000000000003" hidden="1" customHeight="1" x14ac:dyDescent="0.25">
      <c r="DX110" s="24">
        <v>108</v>
      </c>
      <c r="DY110" s="35">
        <v>54</v>
      </c>
      <c r="DZ110" s="47" t="s">
        <v>0</v>
      </c>
    </row>
    <row r="111" spans="128:130" ht="39.950000000000003" hidden="1" customHeight="1" x14ac:dyDescent="0.25">
      <c r="DX111" s="24">
        <v>109</v>
      </c>
      <c r="DY111" s="35">
        <v>54.5</v>
      </c>
      <c r="DZ111" s="47" t="s">
        <v>0</v>
      </c>
    </row>
    <row r="112" spans="128:130" ht="39.950000000000003" hidden="1" customHeight="1" x14ac:dyDescent="0.25">
      <c r="DX112" s="24">
        <v>110</v>
      </c>
      <c r="DY112" s="35">
        <v>55</v>
      </c>
      <c r="DZ112" s="47" t="s">
        <v>0</v>
      </c>
    </row>
    <row r="113" spans="128:130" ht="39.950000000000003" hidden="1" customHeight="1" x14ac:dyDescent="0.25">
      <c r="DX113" s="24">
        <v>111</v>
      </c>
      <c r="DY113" s="35">
        <v>55.5</v>
      </c>
      <c r="DZ113" s="47" t="s">
        <v>0</v>
      </c>
    </row>
    <row r="114" spans="128:130" ht="39.950000000000003" hidden="1" customHeight="1" x14ac:dyDescent="0.25">
      <c r="DX114" s="24">
        <v>112</v>
      </c>
      <c r="DY114" s="35">
        <v>56</v>
      </c>
      <c r="DZ114" s="47" t="s">
        <v>0</v>
      </c>
    </row>
    <row r="115" spans="128:130" ht="39.950000000000003" hidden="1" customHeight="1" x14ac:dyDescent="0.25">
      <c r="DX115" s="24">
        <v>113</v>
      </c>
      <c r="DY115" s="35">
        <v>56.5</v>
      </c>
      <c r="DZ115" s="47" t="s">
        <v>0</v>
      </c>
    </row>
    <row r="116" spans="128:130" ht="39.950000000000003" hidden="1" customHeight="1" x14ac:dyDescent="0.25">
      <c r="DX116" s="24">
        <v>114</v>
      </c>
      <c r="DY116" s="35">
        <v>57</v>
      </c>
      <c r="DZ116" s="47" t="s">
        <v>0</v>
      </c>
    </row>
    <row r="117" spans="128:130" ht="39.950000000000003" hidden="1" customHeight="1" x14ac:dyDescent="0.25">
      <c r="DX117" s="24">
        <v>115</v>
      </c>
      <c r="DY117" s="35">
        <v>57.5</v>
      </c>
      <c r="DZ117" s="47" t="s">
        <v>0</v>
      </c>
    </row>
    <row r="118" spans="128:130" ht="39.950000000000003" hidden="1" customHeight="1" x14ac:dyDescent="0.25">
      <c r="DX118" s="24">
        <v>116</v>
      </c>
      <c r="DY118" s="35">
        <v>58</v>
      </c>
      <c r="DZ118" s="47" t="s">
        <v>0</v>
      </c>
    </row>
    <row r="119" spans="128:130" ht="39.950000000000003" hidden="1" customHeight="1" x14ac:dyDescent="0.25">
      <c r="DX119" s="24">
        <v>117</v>
      </c>
      <c r="DY119" s="35">
        <v>58.5</v>
      </c>
      <c r="DZ119" s="47" t="s">
        <v>0</v>
      </c>
    </row>
    <row r="120" spans="128:130" ht="39.950000000000003" hidden="1" customHeight="1" x14ac:dyDescent="0.25">
      <c r="DX120" s="24">
        <v>118</v>
      </c>
      <c r="DY120" s="35">
        <v>59</v>
      </c>
      <c r="DZ120" s="47" t="s">
        <v>0</v>
      </c>
    </row>
    <row r="121" spans="128:130" ht="39.950000000000003" hidden="1" customHeight="1" x14ac:dyDescent="0.25">
      <c r="DX121" s="24">
        <v>119</v>
      </c>
      <c r="DY121" s="35">
        <v>59.5</v>
      </c>
      <c r="DZ121" s="47" t="s">
        <v>0</v>
      </c>
    </row>
    <row r="122" spans="128:130" ht="39.950000000000003" hidden="1" customHeight="1" x14ac:dyDescent="0.25">
      <c r="DX122" s="24">
        <v>120</v>
      </c>
      <c r="DY122" s="35">
        <v>60</v>
      </c>
      <c r="DZ122" s="47" t="s">
        <v>0</v>
      </c>
    </row>
    <row r="123" spans="128:130" ht="39.950000000000003" hidden="1" customHeight="1" x14ac:dyDescent="0.25">
      <c r="DX123" s="24">
        <v>121</v>
      </c>
      <c r="DY123" s="35">
        <v>60.5</v>
      </c>
      <c r="DZ123" s="47" t="s">
        <v>0</v>
      </c>
    </row>
    <row r="124" spans="128:130" ht="39.950000000000003" hidden="1" customHeight="1" x14ac:dyDescent="0.25">
      <c r="DX124" s="24">
        <v>122</v>
      </c>
      <c r="DY124" s="35">
        <v>61</v>
      </c>
      <c r="DZ124" s="47" t="s">
        <v>0</v>
      </c>
    </row>
    <row r="125" spans="128:130" ht="39.950000000000003" hidden="1" customHeight="1" x14ac:dyDescent="0.25">
      <c r="DX125" s="24">
        <v>123</v>
      </c>
      <c r="DY125" s="35">
        <v>61.5</v>
      </c>
      <c r="DZ125" s="47" t="s">
        <v>0</v>
      </c>
    </row>
    <row r="126" spans="128:130" ht="39.950000000000003" hidden="1" customHeight="1" x14ac:dyDescent="0.25">
      <c r="DX126" s="24">
        <v>124</v>
      </c>
      <c r="DY126" s="35">
        <v>62</v>
      </c>
      <c r="DZ126" s="47" t="s">
        <v>0</v>
      </c>
    </row>
    <row r="127" spans="128:130" ht="39.950000000000003" hidden="1" customHeight="1" x14ac:dyDescent="0.25">
      <c r="DX127" s="24">
        <v>125</v>
      </c>
      <c r="DY127" s="35">
        <v>62.5</v>
      </c>
      <c r="DZ127" s="47" t="s">
        <v>0</v>
      </c>
    </row>
    <row r="128" spans="128:130" ht="39.950000000000003" hidden="1" customHeight="1" x14ac:dyDescent="0.25">
      <c r="DX128" s="24">
        <v>126</v>
      </c>
      <c r="DY128" s="35">
        <v>63</v>
      </c>
      <c r="DZ128" s="47" t="s">
        <v>0</v>
      </c>
    </row>
    <row r="129" spans="128:130" ht="39.950000000000003" hidden="1" customHeight="1" x14ac:dyDescent="0.25">
      <c r="DX129" s="24">
        <v>127</v>
      </c>
      <c r="DY129" s="35">
        <v>63.5</v>
      </c>
      <c r="DZ129" s="47" t="s">
        <v>0</v>
      </c>
    </row>
    <row r="130" spans="128:130" ht="39.950000000000003" hidden="1" customHeight="1" x14ac:dyDescent="0.25">
      <c r="DX130" s="24">
        <v>128</v>
      </c>
      <c r="DY130" s="35">
        <v>64</v>
      </c>
      <c r="DZ130" s="47" t="s">
        <v>0</v>
      </c>
    </row>
    <row r="131" spans="128:130" ht="39.950000000000003" hidden="1" customHeight="1" x14ac:dyDescent="0.25">
      <c r="DX131" s="24">
        <v>129</v>
      </c>
      <c r="DY131" s="35">
        <v>64.5</v>
      </c>
      <c r="DZ131" s="47" t="s">
        <v>0</v>
      </c>
    </row>
    <row r="132" spans="128:130" ht="39.950000000000003" hidden="1" customHeight="1" x14ac:dyDescent="0.25">
      <c r="DX132" s="24">
        <v>130</v>
      </c>
      <c r="DY132" s="35">
        <v>65</v>
      </c>
      <c r="DZ132" s="47" t="s">
        <v>0</v>
      </c>
    </row>
    <row r="133" spans="128:130" ht="39.950000000000003" hidden="1" customHeight="1" x14ac:dyDescent="0.25">
      <c r="DX133" s="24">
        <v>131</v>
      </c>
      <c r="DY133" s="35">
        <v>65.5</v>
      </c>
      <c r="DZ133" s="47" t="s">
        <v>0</v>
      </c>
    </row>
    <row r="134" spans="128:130" ht="39.950000000000003" hidden="1" customHeight="1" x14ac:dyDescent="0.25">
      <c r="DX134" s="24">
        <v>132</v>
      </c>
      <c r="DY134" s="35">
        <v>66</v>
      </c>
      <c r="DZ134" s="47" t="s">
        <v>0</v>
      </c>
    </row>
    <row r="135" spans="128:130" ht="39.950000000000003" hidden="1" customHeight="1" x14ac:dyDescent="0.25">
      <c r="DX135" s="24">
        <v>133</v>
      </c>
      <c r="DY135" s="35">
        <v>66.5</v>
      </c>
      <c r="DZ135" s="47" t="s">
        <v>0</v>
      </c>
    </row>
    <row r="136" spans="128:130" ht="39.950000000000003" hidden="1" customHeight="1" x14ac:dyDescent="0.25">
      <c r="DX136" s="24">
        <v>134</v>
      </c>
      <c r="DY136" s="35">
        <v>67</v>
      </c>
      <c r="DZ136" s="47" t="s">
        <v>0</v>
      </c>
    </row>
    <row r="137" spans="128:130" ht="39.950000000000003" hidden="1" customHeight="1" x14ac:dyDescent="0.25">
      <c r="DX137" s="24">
        <v>135</v>
      </c>
      <c r="DY137" s="35">
        <v>67.5</v>
      </c>
      <c r="DZ137" s="47" t="s">
        <v>0</v>
      </c>
    </row>
    <row r="138" spans="128:130" ht="39.950000000000003" hidden="1" customHeight="1" x14ac:dyDescent="0.25">
      <c r="DX138" s="24">
        <v>136</v>
      </c>
      <c r="DY138" s="35">
        <v>68</v>
      </c>
      <c r="DZ138" s="47" t="s">
        <v>0</v>
      </c>
    </row>
    <row r="139" spans="128:130" ht="39.950000000000003" hidden="1" customHeight="1" x14ac:dyDescent="0.25">
      <c r="DX139" s="24">
        <v>137</v>
      </c>
      <c r="DY139" s="35">
        <v>68.5</v>
      </c>
      <c r="DZ139" s="47" t="s">
        <v>0</v>
      </c>
    </row>
    <row r="140" spans="128:130" ht="39.950000000000003" hidden="1" customHeight="1" x14ac:dyDescent="0.25">
      <c r="DX140" s="24">
        <v>138</v>
      </c>
      <c r="DY140" s="35">
        <v>69</v>
      </c>
      <c r="DZ140" s="47" t="s">
        <v>0</v>
      </c>
    </row>
    <row r="141" spans="128:130" ht="39.950000000000003" hidden="1" customHeight="1" x14ac:dyDescent="0.25">
      <c r="DX141" s="24">
        <v>139</v>
      </c>
      <c r="DY141" s="35">
        <v>69.5</v>
      </c>
      <c r="DZ141" s="47" t="s">
        <v>0</v>
      </c>
    </row>
    <row r="142" spans="128:130" ht="39.950000000000003" hidden="1" customHeight="1" x14ac:dyDescent="0.25">
      <c r="DX142" s="24">
        <v>140</v>
      </c>
      <c r="DY142" s="35">
        <v>70</v>
      </c>
      <c r="DZ142" s="47" t="s">
        <v>0</v>
      </c>
    </row>
    <row r="143" spans="128:130" ht="39.950000000000003" hidden="1" customHeight="1" x14ac:dyDescent="0.25">
      <c r="DX143" s="24">
        <v>141</v>
      </c>
      <c r="DY143" s="35">
        <v>70.5</v>
      </c>
      <c r="DZ143" s="47" t="s">
        <v>0</v>
      </c>
    </row>
    <row r="144" spans="128:130" ht="39.950000000000003" hidden="1" customHeight="1" x14ac:dyDescent="0.25">
      <c r="DX144" s="24">
        <v>142</v>
      </c>
      <c r="DY144" s="35">
        <v>71</v>
      </c>
      <c r="DZ144" s="47" t="s">
        <v>0</v>
      </c>
    </row>
    <row r="145" spans="128:130" ht="39.950000000000003" hidden="1" customHeight="1" x14ac:dyDescent="0.25">
      <c r="DX145" s="24">
        <v>143</v>
      </c>
      <c r="DY145" s="35">
        <v>71.5</v>
      </c>
      <c r="DZ145" s="47" t="s">
        <v>0</v>
      </c>
    </row>
    <row r="146" spans="128:130" ht="39.950000000000003" hidden="1" customHeight="1" x14ac:dyDescent="0.25">
      <c r="DX146" s="24">
        <v>144</v>
      </c>
      <c r="DY146" s="35">
        <v>72</v>
      </c>
      <c r="DZ146" s="47" t="s">
        <v>0</v>
      </c>
    </row>
    <row r="147" spans="128:130" ht="39.950000000000003" hidden="1" customHeight="1" x14ac:dyDescent="0.25">
      <c r="DX147" s="24">
        <v>145</v>
      </c>
      <c r="DY147" s="35">
        <v>72.5</v>
      </c>
      <c r="DZ147" s="47" t="s">
        <v>0</v>
      </c>
    </row>
    <row r="148" spans="128:130" ht="39.950000000000003" hidden="1" customHeight="1" x14ac:dyDescent="0.25">
      <c r="DX148" s="24">
        <v>146</v>
      </c>
      <c r="DY148" s="35">
        <v>73</v>
      </c>
      <c r="DZ148" s="47" t="s">
        <v>0</v>
      </c>
    </row>
    <row r="149" spans="128:130" ht="39.950000000000003" hidden="1" customHeight="1" x14ac:dyDescent="0.25">
      <c r="DX149" s="24">
        <v>147</v>
      </c>
      <c r="DY149" s="35">
        <v>73.5</v>
      </c>
      <c r="DZ149" s="47" t="s">
        <v>0</v>
      </c>
    </row>
    <row r="150" spans="128:130" ht="39.950000000000003" hidden="1" customHeight="1" x14ac:dyDescent="0.25">
      <c r="DX150" s="24">
        <v>148</v>
      </c>
      <c r="DY150" s="35">
        <v>74</v>
      </c>
      <c r="DZ150" s="47" t="s">
        <v>0</v>
      </c>
    </row>
    <row r="151" spans="128:130" ht="39.950000000000003" hidden="1" customHeight="1" x14ac:dyDescent="0.25">
      <c r="DX151" s="24">
        <v>149</v>
      </c>
      <c r="DY151" s="35">
        <v>74.5</v>
      </c>
      <c r="DZ151" s="47" t="s">
        <v>0</v>
      </c>
    </row>
    <row r="152" spans="128:130" ht="39.950000000000003" hidden="1" customHeight="1" x14ac:dyDescent="0.25">
      <c r="DX152" s="24">
        <v>150</v>
      </c>
      <c r="DY152" s="35">
        <v>75</v>
      </c>
      <c r="DZ152" s="47" t="s">
        <v>0</v>
      </c>
    </row>
    <row r="153" spans="128:130" ht="39.950000000000003" hidden="1" customHeight="1" x14ac:dyDescent="0.25">
      <c r="DX153" s="24">
        <v>151</v>
      </c>
      <c r="DY153" s="35">
        <v>75.5</v>
      </c>
      <c r="DZ153" s="47" t="s">
        <v>0</v>
      </c>
    </row>
    <row r="154" spans="128:130" ht="39.950000000000003" hidden="1" customHeight="1" x14ac:dyDescent="0.25">
      <c r="DX154" s="24">
        <v>152</v>
      </c>
      <c r="DY154" s="35">
        <v>76</v>
      </c>
      <c r="DZ154" s="47" t="s">
        <v>0</v>
      </c>
    </row>
    <row r="155" spans="128:130" ht="39.950000000000003" hidden="1" customHeight="1" x14ac:dyDescent="0.25">
      <c r="DX155" s="24">
        <v>153</v>
      </c>
      <c r="DY155" s="35">
        <v>76.5</v>
      </c>
      <c r="DZ155" s="47" t="s">
        <v>0</v>
      </c>
    </row>
    <row r="156" spans="128:130" ht="39.950000000000003" hidden="1" customHeight="1" x14ac:dyDescent="0.25">
      <c r="DX156" s="24">
        <v>154</v>
      </c>
      <c r="DY156" s="35">
        <v>77</v>
      </c>
      <c r="DZ156" s="47" t="s">
        <v>0</v>
      </c>
    </row>
    <row r="157" spans="128:130" ht="39.950000000000003" hidden="1" customHeight="1" x14ac:dyDescent="0.25">
      <c r="DX157" s="24">
        <v>155</v>
      </c>
      <c r="DY157" s="35">
        <v>77.5</v>
      </c>
      <c r="DZ157" s="47" t="s">
        <v>0</v>
      </c>
    </row>
    <row r="158" spans="128:130" ht="39.950000000000003" hidden="1" customHeight="1" x14ac:dyDescent="0.25">
      <c r="DX158" s="24">
        <v>156</v>
      </c>
      <c r="DY158" s="35">
        <v>78</v>
      </c>
      <c r="DZ158" s="47" t="s">
        <v>0</v>
      </c>
    </row>
    <row r="159" spans="128:130" ht="39.950000000000003" hidden="1" customHeight="1" x14ac:dyDescent="0.25">
      <c r="DX159" s="24">
        <v>157</v>
      </c>
      <c r="DY159" s="35">
        <v>78.5</v>
      </c>
      <c r="DZ159" s="47" t="s">
        <v>0</v>
      </c>
    </row>
    <row r="160" spans="128:130" ht="39.950000000000003" hidden="1" customHeight="1" x14ac:dyDescent="0.25">
      <c r="DX160" s="24">
        <v>158</v>
      </c>
      <c r="DY160" s="35">
        <v>79</v>
      </c>
      <c r="DZ160" s="47" t="s">
        <v>0</v>
      </c>
    </row>
    <row r="161" spans="128:130" ht="39.950000000000003" hidden="1" customHeight="1" x14ac:dyDescent="0.25">
      <c r="DX161" s="24">
        <v>159</v>
      </c>
      <c r="DY161" s="35">
        <v>79.5</v>
      </c>
      <c r="DZ161" s="47" t="s">
        <v>0</v>
      </c>
    </row>
    <row r="162" spans="128:130" ht="39.950000000000003" hidden="1" customHeight="1" x14ac:dyDescent="0.25">
      <c r="DX162" s="24">
        <v>160</v>
      </c>
      <c r="DY162" s="35">
        <v>80</v>
      </c>
      <c r="DZ162" s="47" t="s">
        <v>0</v>
      </c>
    </row>
    <row r="163" spans="128:130" ht="39.950000000000003" hidden="1" customHeight="1" x14ac:dyDescent="0.25">
      <c r="DX163" s="24">
        <v>161</v>
      </c>
      <c r="DY163" s="35">
        <v>80.5</v>
      </c>
      <c r="DZ163" s="47" t="s">
        <v>0</v>
      </c>
    </row>
    <row r="164" spans="128:130" ht="39.950000000000003" hidden="1" customHeight="1" x14ac:dyDescent="0.25">
      <c r="DX164" s="24">
        <v>162</v>
      </c>
      <c r="DY164" s="35">
        <v>81</v>
      </c>
      <c r="DZ164" s="47" t="s">
        <v>0</v>
      </c>
    </row>
    <row r="165" spans="128:130" ht="39.950000000000003" hidden="1" customHeight="1" x14ac:dyDescent="0.25">
      <c r="DX165" s="24">
        <v>163</v>
      </c>
      <c r="DY165" s="35">
        <v>81.5</v>
      </c>
      <c r="DZ165" s="47" t="s">
        <v>0</v>
      </c>
    </row>
    <row r="166" spans="128:130" ht="39.950000000000003" hidden="1" customHeight="1" x14ac:dyDescent="0.25">
      <c r="DX166" s="24">
        <v>164</v>
      </c>
      <c r="DY166" s="35">
        <v>82</v>
      </c>
      <c r="DZ166" s="47" t="s">
        <v>0</v>
      </c>
    </row>
    <row r="167" spans="128:130" ht="39.950000000000003" hidden="1" customHeight="1" x14ac:dyDescent="0.25">
      <c r="DX167" s="24">
        <v>165</v>
      </c>
      <c r="DY167" s="35">
        <v>82.5</v>
      </c>
      <c r="DZ167" s="47" t="s">
        <v>0</v>
      </c>
    </row>
    <row r="168" spans="128:130" ht="39.950000000000003" hidden="1" customHeight="1" x14ac:dyDescent="0.25">
      <c r="DX168" s="24">
        <v>166</v>
      </c>
      <c r="DY168" s="35">
        <v>83</v>
      </c>
      <c r="DZ168" s="47" t="s">
        <v>0</v>
      </c>
    </row>
    <row r="169" spans="128:130" ht="39.950000000000003" hidden="1" customHeight="1" x14ac:dyDescent="0.25">
      <c r="DX169" s="24">
        <v>167</v>
      </c>
      <c r="DY169" s="35">
        <v>83.5</v>
      </c>
      <c r="DZ169" s="47" t="s">
        <v>0</v>
      </c>
    </row>
    <row r="170" spans="128:130" ht="39.950000000000003" hidden="1" customHeight="1" x14ac:dyDescent="0.25">
      <c r="DX170" s="24">
        <v>168</v>
      </c>
      <c r="DY170" s="35">
        <v>84</v>
      </c>
      <c r="DZ170" s="47" t="s">
        <v>0</v>
      </c>
    </row>
    <row r="171" spans="128:130" ht="39.950000000000003" hidden="1" customHeight="1" x14ac:dyDescent="0.25">
      <c r="DX171" s="24">
        <v>169</v>
      </c>
      <c r="DY171" s="35">
        <v>84.5</v>
      </c>
      <c r="DZ171" s="47" t="s">
        <v>0</v>
      </c>
    </row>
    <row r="172" spans="128:130" ht="39.950000000000003" hidden="1" customHeight="1" x14ac:dyDescent="0.25">
      <c r="DX172" s="24">
        <v>170</v>
      </c>
      <c r="DY172" s="35">
        <v>85</v>
      </c>
      <c r="DZ172" s="47" t="s">
        <v>0</v>
      </c>
    </row>
    <row r="173" spans="128:130" ht="39.950000000000003" hidden="1" customHeight="1" x14ac:dyDescent="0.25">
      <c r="DX173" s="24">
        <v>171</v>
      </c>
      <c r="DY173" s="35">
        <v>85.5</v>
      </c>
      <c r="DZ173" s="47" t="s">
        <v>0</v>
      </c>
    </row>
    <row r="174" spans="128:130" ht="39.950000000000003" hidden="1" customHeight="1" x14ac:dyDescent="0.25">
      <c r="DX174" s="24">
        <v>172</v>
      </c>
      <c r="DY174" s="35">
        <v>86</v>
      </c>
      <c r="DZ174" s="47" t="s">
        <v>0</v>
      </c>
    </row>
    <row r="175" spans="128:130" ht="39.950000000000003" hidden="1" customHeight="1" x14ac:dyDescent="0.25">
      <c r="DX175" s="24">
        <v>173</v>
      </c>
      <c r="DY175" s="35">
        <v>86.5</v>
      </c>
      <c r="DZ175" s="47" t="s">
        <v>0</v>
      </c>
    </row>
    <row r="176" spans="128:130" ht="39.950000000000003" hidden="1" customHeight="1" x14ac:dyDescent="0.25">
      <c r="DX176" s="24">
        <v>174</v>
      </c>
      <c r="DY176" s="35">
        <v>87</v>
      </c>
      <c r="DZ176" s="47" t="s">
        <v>0</v>
      </c>
    </row>
    <row r="177" spans="128:130" ht="39.950000000000003" hidden="1" customHeight="1" x14ac:dyDescent="0.25">
      <c r="DX177" s="24">
        <v>175</v>
      </c>
      <c r="DY177" s="35">
        <v>87.5</v>
      </c>
      <c r="DZ177" s="47" t="s">
        <v>0</v>
      </c>
    </row>
    <row r="178" spans="128:130" ht="39.950000000000003" hidden="1" customHeight="1" x14ac:dyDescent="0.25">
      <c r="DX178" s="24">
        <v>176</v>
      </c>
      <c r="DY178" s="35">
        <v>88</v>
      </c>
      <c r="DZ178" s="47" t="s">
        <v>0</v>
      </c>
    </row>
    <row r="179" spans="128:130" ht="39.950000000000003" hidden="1" customHeight="1" x14ac:dyDescent="0.25">
      <c r="DX179" s="24">
        <v>177</v>
      </c>
      <c r="DY179" s="35">
        <v>88.5</v>
      </c>
      <c r="DZ179" s="47" t="s">
        <v>0</v>
      </c>
    </row>
    <row r="180" spans="128:130" ht="39.950000000000003" hidden="1" customHeight="1" x14ac:dyDescent="0.25">
      <c r="DX180" s="24">
        <v>178</v>
      </c>
      <c r="DY180" s="35">
        <v>89</v>
      </c>
      <c r="DZ180" s="47" t="s">
        <v>0</v>
      </c>
    </row>
    <row r="181" spans="128:130" ht="39.950000000000003" hidden="1" customHeight="1" x14ac:dyDescent="0.25">
      <c r="DX181" s="24">
        <v>179</v>
      </c>
      <c r="DY181" s="35">
        <v>89.5</v>
      </c>
      <c r="DZ181" s="47" t="s">
        <v>0</v>
      </c>
    </row>
    <row r="182" spans="128:130" ht="39.950000000000003" hidden="1" customHeight="1" x14ac:dyDescent="0.25">
      <c r="DX182" s="24">
        <v>180</v>
      </c>
      <c r="DY182" s="35">
        <v>90</v>
      </c>
      <c r="DZ182" s="47" t="s">
        <v>0</v>
      </c>
    </row>
    <row r="183" spans="128:130" ht="39.950000000000003" hidden="1" customHeight="1" x14ac:dyDescent="0.25">
      <c r="DX183" s="24">
        <v>181</v>
      </c>
      <c r="DY183" s="35">
        <v>90.5</v>
      </c>
      <c r="DZ183" s="47" t="s">
        <v>0</v>
      </c>
    </row>
    <row r="184" spans="128:130" ht="39.950000000000003" hidden="1" customHeight="1" x14ac:dyDescent="0.25">
      <c r="DX184" s="24">
        <v>182</v>
      </c>
      <c r="DY184" s="35">
        <v>91</v>
      </c>
      <c r="DZ184" s="47" t="s">
        <v>0</v>
      </c>
    </row>
    <row r="185" spans="128:130" ht="39.950000000000003" hidden="1" customHeight="1" x14ac:dyDescent="0.25">
      <c r="DX185" s="24">
        <v>183</v>
      </c>
      <c r="DY185" s="35">
        <v>91.5</v>
      </c>
      <c r="DZ185" s="47" t="s">
        <v>0</v>
      </c>
    </row>
    <row r="186" spans="128:130" ht="39.950000000000003" hidden="1" customHeight="1" x14ac:dyDescent="0.25">
      <c r="DX186" s="24">
        <v>184</v>
      </c>
      <c r="DY186" s="35">
        <v>92</v>
      </c>
      <c r="DZ186" s="47" t="s">
        <v>0</v>
      </c>
    </row>
    <row r="187" spans="128:130" ht="39.950000000000003" hidden="1" customHeight="1" x14ac:dyDescent="0.25">
      <c r="DX187" s="24">
        <v>185</v>
      </c>
      <c r="DY187" s="35">
        <v>92.5</v>
      </c>
      <c r="DZ187" s="47" t="s">
        <v>0</v>
      </c>
    </row>
    <row r="188" spans="128:130" ht="39.950000000000003" hidden="1" customHeight="1" x14ac:dyDescent="0.25">
      <c r="DX188" s="24">
        <v>186</v>
      </c>
      <c r="DY188" s="35">
        <v>93</v>
      </c>
      <c r="DZ188" s="47" t="s">
        <v>0</v>
      </c>
    </row>
    <row r="189" spans="128:130" ht="39.950000000000003" hidden="1" customHeight="1" x14ac:dyDescent="0.25">
      <c r="DX189" s="24">
        <v>187</v>
      </c>
      <c r="DY189" s="35">
        <v>93.5</v>
      </c>
      <c r="DZ189" s="47" t="s">
        <v>0</v>
      </c>
    </row>
    <row r="190" spans="128:130" ht="39.950000000000003" hidden="1" customHeight="1" x14ac:dyDescent="0.25">
      <c r="DX190" s="24">
        <v>188</v>
      </c>
      <c r="DY190" s="35">
        <v>94</v>
      </c>
      <c r="DZ190" s="47" t="s">
        <v>0</v>
      </c>
    </row>
    <row r="191" spans="128:130" ht="39.950000000000003" hidden="1" customHeight="1" x14ac:dyDescent="0.25">
      <c r="DX191" s="24">
        <v>189</v>
      </c>
      <c r="DY191" s="35">
        <v>94.5</v>
      </c>
      <c r="DZ191" s="47" t="s">
        <v>0</v>
      </c>
    </row>
    <row r="192" spans="128:130" ht="39.950000000000003" hidden="1" customHeight="1" x14ac:dyDescent="0.25">
      <c r="DX192" s="24">
        <v>190</v>
      </c>
      <c r="DY192" s="35">
        <v>95</v>
      </c>
      <c r="DZ192" s="47" t="s">
        <v>0</v>
      </c>
    </row>
    <row r="193" spans="128:130" ht="39.950000000000003" hidden="1" customHeight="1" x14ac:dyDescent="0.25">
      <c r="DX193" s="24">
        <v>191</v>
      </c>
      <c r="DY193" s="35">
        <v>95.5</v>
      </c>
      <c r="DZ193" s="47" t="s">
        <v>0</v>
      </c>
    </row>
    <row r="194" spans="128:130" ht="39.950000000000003" hidden="1" customHeight="1" x14ac:dyDescent="0.25">
      <c r="DX194" s="24">
        <v>192</v>
      </c>
      <c r="DY194" s="35">
        <v>96</v>
      </c>
      <c r="DZ194" s="47" t="s">
        <v>0</v>
      </c>
    </row>
    <row r="195" spans="128:130" ht="39.950000000000003" hidden="1" customHeight="1" x14ac:dyDescent="0.25">
      <c r="DX195" s="24">
        <v>193</v>
      </c>
      <c r="DY195" s="35">
        <v>96.5</v>
      </c>
      <c r="DZ195" s="47" t="s">
        <v>0</v>
      </c>
    </row>
    <row r="196" spans="128:130" ht="39.950000000000003" hidden="1" customHeight="1" x14ac:dyDescent="0.25">
      <c r="DX196" s="24">
        <v>194</v>
      </c>
      <c r="DY196" s="35">
        <v>97</v>
      </c>
      <c r="DZ196" s="47" t="s">
        <v>0</v>
      </c>
    </row>
    <row r="197" spans="128:130" ht="39.950000000000003" hidden="1" customHeight="1" x14ac:dyDescent="0.25">
      <c r="DX197" s="24">
        <v>195</v>
      </c>
      <c r="DY197" s="35">
        <v>97.5</v>
      </c>
      <c r="DZ197" s="47" t="s">
        <v>0</v>
      </c>
    </row>
    <row r="198" spans="128:130" ht="39.950000000000003" hidden="1" customHeight="1" x14ac:dyDescent="0.25">
      <c r="DX198" s="24">
        <v>196</v>
      </c>
      <c r="DY198" s="35">
        <v>98</v>
      </c>
      <c r="DZ198" s="47" t="s">
        <v>0</v>
      </c>
    </row>
    <row r="199" spans="128:130" ht="39.950000000000003" hidden="1" customHeight="1" x14ac:dyDescent="0.25">
      <c r="DX199" s="24">
        <v>197</v>
      </c>
      <c r="DY199" s="35">
        <v>98.5</v>
      </c>
      <c r="DZ199" s="47" t="s">
        <v>0</v>
      </c>
    </row>
    <row r="200" spans="128:130" ht="39.950000000000003" hidden="1" customHeight="1" x14ac:dyDescent="0.25">
      <c r="DX200" s="24">
        <v>198</v>
      </c>
      <c r="DY200" s="35">
        <v>99</v>
      </c>
      <c r="DZ200" s="47" t="s">
        <v>0</v>
      </c>
    </row>
    <row r="201" spans="128:130" ht="39.950000000000003" hidden="1" customHeight="1" x14ac:dyDescent="0.25">
      <c r="DX201" s="24">
        <v>199</v>
      </c>
      <c r="DY201" s="35">
        <v>99.5</v>
      </c>
      <c r="DZ201" s="47" t="s">
        <v>0</v>
      </c>
    </row>
    <row r="202" spans="128:130" ht="39.950000000000003" hidden="1" customHeight="1" x14ac:dyDescent="0.25">
      <c r="DX202" s="24">
        <v>200</v>
      </c>
      <c r="DY202" s="35">
        <v>100</v>
      </c>
      <c r="DZ202" s="47" t="s">
        <v>0</v>
      </c>
    </row>
    <row r="203" spans="128:130" ht="39.950000000000003" hidden="1" customHeight="1" x14ac:dyDescent="0.25">
      <c r="DX203" s="24">
        <v>201</v>
      </c>
      <c r="DY203" s="35">
        <v>100.5</v>
      </c>
      <c r="DZ203" s="47" t="s">
        <v>0</v>
      </c>
    </row>
    <row r="204" spans="128:130" ht="39.950000000000003" hidden="1" customHeight="1" x14ac:dyDescent="0.25">
      <c r="DX204" s="24">
        <v>202</v>
      </c>
      <c r="DY204" s="35">
        <v>101</v>
      </c>
      <c r="DZ204" s="47" t="s">
        <v>0</v>
      </c>
    </row>
    <row r="205" spans="128:130" ht="39.950000000000003" hidden="1" customHeight="1" x14ac:dyDescent="0.25">
      <c r="DX205" s="24">
        <v>203</v>
      </c>
      <c r="DY205" s="35">
        <v>101.5</v>
      </c>
      <c r="DZ205" s="47" t="s">
        <v>0</v>
      </c>
    </row>
    <row r="206" spans="128:130" ht="39.950000000000003" hidden="1" customHeight="1" x14ac:dyDescent="0.25">
      <c r="DX206" s="24">
        <v>204</v>
      </c>
      <c r="DY206" s="35">
        <v>102</v>
      </c>
      <c r="DZ206" s="47" t="s">
        <v>0</v>
      </c>
    </row>
    <row r="207" spans="128:130" ht="39.950000000000003" hidden="1" customHeight="1" x14ac:dyDescent="0.25">
      <c r="DX207" s="24">
        <v>205</v>
      </c>
      <c r="DY207" s="35">
        <v>102.5</v>
      </c>
      <c r="DZ207" s="47" t="s">
        <v>0</v>
      </c>
    </row>
    <row r="208" spans="128:130" ht="39.950000000000003" hidden="1" customHeight="1" x14ac:dyDescent="0.25">
      <c r="DX208" s="24">
        <v>206</v>
      </c>
      <c r="DY208" s="35">
        <v>103</v>
      </c>
      <c r="DZ208" s="47" t="s">
        <v>0</v>
      </c>
    </row>
    <row r="209" spans="128:130" ht="39.950000000000003" hidden="1" customHeight="1" x14ac:dyDescent="0.25">
      <c r="DX209" s="24">
        <v>207</v>
      </c>
      <c r="DY209" s="35">
        <v>103.5</v>
      </c>
      <c r="DZ209" s="47" t="s">
        <v>0</v>
      </c>
    </row>
    <row r="210" spans="128:130" ht="39.950000000000003" hidden="1" customHeight="1" x14ac:dyDescent="0.25">
      <c r="DX210" s="24">
        <v>208</v>
      </c>
      <c r="DY210" s="35">
        <v>104</v>
      </c>
      <c r="DZ210" s="47" t="s">
        <v>0</v>
      </c>
    </row>
    <row r="211" spans="128:130" ht="39.950000000000003" hidden="1" customHeight="1" x14ac:dyDescent="0.25">
      <c r="DX211" s="24">
        <v>209</v>
      </c>
      <c r="DY211" s="35">
        <v>104.5</v>
      </c>
      <c r="DZ211" s="47" t="s">
        <v>0</v>
      </c>
    </row>
    <row r="212" spans="128:130" ht="39.950000000000003" hidden="1" customHeight="1" x14ac:dyDescent="0.25">
      <c r="DX212" s="24">
        <v>210</v>
      </c>
      <c r="DY212" s="35">
        <v>105</v>
      </c>
      <c r="DZ212" s="47" t="s">
        <v>0</v>
      </c>
    </row>
    <row r="213" spans="128:130" ht="39.950000000000003" hidden="1" customHeight="1" x14ac:dyDescent="0.25">
      <c r="DX213" s="24">
        <v>211</v>
      </c>
      <c r="DY213" s="35">
        <v>105.5</v>
      </c>
      <c r="DZ213" s="47" t="s">
        <v>0</v>
      </c>
    </row>
    <row r="214" spans="128:130" ht="39.950000000000003" hidden="1" customHeight="1" x14ac:dyDescent="0.25">
      <c r="DX214" s="24">
        <v>212</v>
      </c>
      <c r="DY214" s="35">
        <v>106</v>
      </c>
      <c r="DZ214" s="47" t="s">
        <v>0</v>
      </c>
    </row>
    <row r="215" spans="128:130" ht="39.950000000000003" hidden="1" customHeight="1" x14ac:dyDescent="0.25">
      <c r="DX215" s="24">
        <v>213</v>
      </c>
      <c r="DY215" s="35">
        <v>106.5</v>
      </c>
      <c r="DZ215" s="47" t="s">
        <v>0</v>
      </c>
    </row>
    <row r="216" spans="128:130" ht="39.950000000000003" hidden="1" customHeight="1" x14ac:dyDescent="0.25">
      <c r="DX216" s="24">
        <v>214</v>
      </c>
      <c r="DY216" s="35">
        <v>107</v>
      </c>
      <c r="DZ216" s="47" t="s">
        <v>0</v>
      </c>
    </row>
    <row r="217" spans="128:130" ht="39.950000000000003" hidden="1" customHeight="1" x14ac:dyDescent="0.25">
      <c r="DX217" s="24">
        <v>215</v>
      </c>
      <c r="DY217" s="35">
        <v>107.5</v>
      </c>
      <c r="DZ217" s="47" t="s">
        <v>0</v>
      </c>
    </row>
    <row r="218" spans="128:130" ht="39.950000000000003" hidden="1" customHeight="1" x14ac:dyDescent="0.25">
      <c r="DX218" s="24">
        <v>216</v>
      </c>
      <c r="DY218" s="35">
        <v>108</v>
      </c>
      <c r="DZ218" s="47" t="s">
        <v>0</v>
      </c>
    </row>
    <row r="219" spans="128:130" ht="39.950000000000003" hidden="1" customHeight="1" x14ac:dyDescent="0.25">
      <c r="DX219" s="24">
        <v>217</v>
      </c>
      <c r="DY219" s="35">
        <v>108.5</v>
      </c>
      <c r="DZ219" s="47" t="s">
        <v>0</v>
      </c>
    </row>
    <row r="220" spans="128:130" ht="39.950000000000003" hidden="1" customHeight="1" x14ac:dyDescent="0.25">
      <c r="DX220" s="24">
        <v>218</v>
      </c>
      <c r="DY220" s="35">
        <v>109</v>
      </c>
      <c r="DZ220" s="47" t="s">
        <v>0</v>
      </c>
    </row>
    <row r="221" spans="128:130" ht="39.950000000000003" hidden="1" customHeight="1" x14ac:dyDescent="0.25">
      <c r="DX221" s="24">
        <v>219</v>
      </c>
      <c r="DY221" s="35">
        <v>109.5</v>
      </c>
      <c r="DZ221" s="47" t="s">
        <v>0</v>
      </c>
    </row>
    <row r="222" spans="128:130" ht="39.950000000000003" hidden="1" customHeight="1" x14ac:dyDescent="0.25">
      <c r="DX222" s="24">
        <v>220</v>
      </c>
      <c r="DY222" s="35">
        <v>110</v>
      </c>
      <c r="DZ222" s="47" t="s">
        <v>0</v>
      </c>
    </row>
    <row r="223" spans="128:130" ht="39.950000000000003" hidden="1" customHeight="1" x14ac:dyDescent="0.25">
      <c r="DX223" s="24">
        <v>221</v>
      </c>
      <c r="DY223" s="35">
        <v>110.5</v>
      </c>
      <c r="DZ223" s="47" t="s">
        <v>0</v>
      </c>
    </row>
    <row r="224" spans="128:130" ht="39.950000000000003" hidden="1" customHeight="1" x14ac:dyDescent="0.25">
      <c r="DX224" s="24">
        <v>222</v>
      </c>
      <c r="DY224" s="35">
        <v>111</v>
      </c>
      <c r="DZ224" s="47" t="s">
        <v>0</v>
      </c>
    </row>
    <row r="225" spans="128:130" ht="39.950000000000003" hidden="1" customHeight="1" x14ac:dyDescent="0.25">
      <c r="DX225" s="24">
        <v>223</v>
      </c>
      <c r="DY225" s="35">
        <v>111.5</v>
      </c>
      <c r="DZ225" s="47" t="s">
        <v>0</v>
      </c>
    </row>
    <row r="226" spans="128:130" ht="39.950000000000003" hidden="1" customHeight="1" x14ac:dyDescent="0.25">
      <c r="DX226" s="24">
        <v>224</v>
      </c>
      <c r="DY226" s="35">
        <v>112</v>
      </c>
      <c r="DZ226" s="47" t="s">
        <v>0</v>
      </c>
    </row>
    <row r="227" spans="128:130" ht="39.950000000000003" hidden="1" customHeight="1" x14ac:dyDescent="0.25">
      <c r="DX227" s="24">
        <v>225</v>
      </c>
      <c r="DY227" s="35">
        <v>112.5</v>
      </c>
      <c r="DZ227" s="47" t="s">
        <v>0</v>
      </c>
    </row>
    <row r="228" spans="128:130" ht="39.950000000000003" hidden="1" customHeight="1" x14ac:dyDescent="0.25">
      <c r="DX228" s="24">
        <v>226</v>
      </c>
      <c r="DY228" s="35">
        <v>113</v>
      </c>
      <c r="DZ228" s="47" t="s">
        <v>0</v>
      </c>
    </row>
    <row r="229" spans="128:130" ht="39.950000000000003" hidden="1" customHeight="1" x14ac:dyDescent="0.25">
      <c r="DX229" s="24">
        <v>227</v>
      </c>
      <c r="DY229" s="35">
        <v>113.5</v>
      </c>
      <c r="DZ229" s="47" t="s">
        <v>0</v>
      </c>
    </row>
    <row r="230" spans="128:130" ht="39.950000000000003" hidden="1" customHeight="1" x14ac:dyDescent="0.25">
      <c r="DX230" s="24">
        <v>228</v>
      </c>
      <c r="DY230" s="35">
        <v>114</v>
      </c>
      <c r="DZ230" s="47" t="s">
        <v>0</v>
      </c>
    </row>
    <row r="231" spans="128:130" ht="39.950000000000003" hidden="1" customHeight="1" x14ac:dyDescent="0.25">
      <c r="DX231" s="24">
        <v>229</v>
      </c>
      <c r="DY231" s="35">
        <v>114.5</v>
      </c>
      <c r="DZ231" s="47" t="s">
        <v>0</v>
      </c>
    </row>
    <row r="232" spans="128:130" ht="39.950000000000003" hidden="1" customHeight="1" x14ac:dyDescent="0.25">
      <c r="DX232" s="24">
        <v>230</v>
      </c>
      <c r="DY232" s="35">
        <v>115</v>
      </c>
      <c r="DZ232" s="47" t="s">
        <v>0</v>
      </c>
    </row>
    <row r="233" spans="128:130" ht="39.950000000000003" hidden="1" customHeight="1" x14ac:dyDescent="0.25">
      <c r="DX233" s="24">
        <v>231</v>
      </c>
      <c r="DY233" s="35">
        <v>115.5</v>
      </c>
      <c r="DZ233" s="47" t="s">
        <v>0</v>
      </c>
    </row>
    <row r="234" spans="128:130" ht="39.950000000000003" hidden="1" customHeight="1" x14ac:dyDescent="0.25">
      <c r="DX234" s="24">
        <v>232</v>
      </c>
      <c r="DY234" s="35">
        <v>116</v>
      </c>
      <c r="DZ234" s="47" t="s">
        <v>0</v>
      </c>
    </row>
    <row r="235" spans="128:130" ht="39.950000000000003" hidden="1" customHeight="1" x14ac:dyDescent="0.25">
      <c r="DX235" s="24">
        <v>233</v>
      </c>
      <c r="DY235" s="35">
        <v>116.5</v>
      </c>
      <c r="DZ235" s="47" t="s">
        <v>0</v>
      </c>
    </row>
    <row r="236" spans="128:130" ht="39.950000000000003" hidden="1" customHeight="1" x14ac:dyDescent="0.25">
      <c r="DX236" s="24">
        <v>234</v>
      </c>
      <c r="DY236" s="35">
        <v>117</v>
      </c>
      <c r="DZ236" s="47" t="s">
        <v>0</v>
      </c>
    </row>
    <row r="237" spans="128:130" ht="39.950000000000003" hidden="1" customHeight="1" x14ac:dyDescent="0.25">
      <c r="DX237" s="24">
        <v>235</v>
      </c>
      <c r="DY237" s="35">
        <v>117.5</v>
      </c>
      <c r="DZ237" s="47" t="s">
        <v>0</v>
      </c>
    </row>
    <row r="238" spans="128:130" ht="39.950000000000003" hidden="1" customHeight="1" x14ac:dyDescent="0.25">
      <c r="DX238" s="24">
        <v>236</v>
      </c>
      <c r="DY238" s="35">
        <v>118</v>
      </c>
      <c r="DZ238" s="47" t="s">
        <v>0</v>
      </c>
    </row>
    <row r="239" spans="128:130" ht="39.950000000000003" hidden="1" customHeight="1" x14ac:dyDescent="0.25">
      <c r="DX239" s="24">
        <v>237</v>
      </c>
      <c r="DY239" s="35">
        <v>118.5</v>
      </c>
      <c r="DZ239" s="47" t="s">
        <v>0</v>
      </c>
    </row>
    <row r="240" spans="128:130" ht="39.950000000000003" hidden="1" customHeight="1" x14ac:dyDescent="0.25">
      <c r="DX240" s="24">
        <v>238</v>
      </c>
      <c r="DY240" s="35">
        <v>119</v>
      </c>
      <c r="DZ240" s="47" t="s">
        <v>0</v>
      </c>
    </row>
    <row r="241" spans="1:130" ht="39.950000000000003" hidden="1" customHeight="1" x14ac:dyDescent="0.25">
      <c r="DX241" s="24">
        <v>239</v>
      </c>
      <c r="DY241" s="35">
        <v>119.5</v>
      </c>
      <c r="DZ241" s="47" t="s">
        <v>0</v>
      </c>
    </row>
    <row r="242" spans="1:130" ht="39.950000000000003" hidden="1" customHeight="1" x14ac:dyDescent="0.25">
      <c r="DX242" s="24">
        <v>240</v>
      </c>
      <c r="DY242" s="35">
        <v>120</v>
      </c>
      <c r="DZ242" s="47" t="s">
        <v>0</v>
      </c>
    </row>
    <row r="243" spans="1:130" ht="39.950000000000003" hidden="1" customHeight="1" x14ac:dyDescent="0.25">
      <c r="DX243" s="24">
        <v>241</v>
      </c>
      <c r="DY243" s="35">
        <v>120.5</v>
      </c>
      <c r="DZ243" s="47" t="s">
        <v>0</v>
      </c>
    </row>
    <row r="244" spans="1:130" ht="39.950000000000003" hidden="1" customHeight="1" x14ac:dyDescent="0.25">
      <c r="DX244" s="24">
        <v>242</v>
      </c>
      <c r="DY244" s="35">
        <v>121</v>
      </c>
      <c r="DZ244" s="47" t="s">
        <v>0</v>
      </c>
    </row>
    <row r="245" spans="1:130" ht="39.950000000000003" hidden="1" customHeight="1" x14ac:dyDescent="0.25">
      <c r="DX245" s="24">
        <v>243</v>
      </c>
      <c r="DY245" s="35">
        <v>121.5</v>
      </c>
      <c r="DZ245" s="47" t="s">
        <v>0</v>
      </c>
    </row>
    <row r="246" spans="1:130" ht="39.950000000000003" hidden="1" customHeight="1" x14ac:dyDescent="0.25">
      <c r="DX246" s="24">
        <v>244</v>
      </c>
      <c r="DY246" s="35">
        <v>122</v>
      </c>
      <c r="DZ246" s="47" t="s">
        <v>0</v>
      </c>
    </row>
    <row r="247" spans="1:130" ht="39.950000000000003" hidden="1" customHeight="1" x14ac:dyDescent="0.25">
      <c r="DX247" s="24">
        <v>245</v>
      </c>
      <c r="DY247" s="35">
        <v>122.5</v>
      </c>
      <c r="DZ247" s="47" t="s">
        <v>0</v>
      </c>
    </row>
    <row r="248" spans="1:130" ht="39.950000000000003" hidden="1" customHeight="1" x14ac:dyDescent="0.25">
      <c r="DX248" s="24">
        <v>246</v>
      </c>
      <c r="DY248" s="35">
        <v>123</v>
      </c>
      <c r="DZ248" s="47" t="s">
        <v>0</v>
      </c>
    </row>
    <row r="249" spans="1:130" ht="39.950000000000003" hidden="1" customHeight="1" x14ac:dyDescent="0.25">
      <c r="DX249" s="24">
        <v>247</v>
      </c>
      <c r="DY249" s="35">
        <v>123.5</v>
      </c>
      <c r="DZ249" s="47" t="s">
        <v>0</v>
      </c>
    </row>
    <row r="250" spans="1:130" ht="39.950000000000003" hidden="1" customHeight="1" x14ac:dyDescent="0.25">
      <c r="DX250" s="24">
        <v>248</v>
      </c>
      <c r="DY250" s="35">
        <v>124</v>
      </c>
      <c r="DZ250" s="47" t="s">
        <v>0</v>
      </c>
    </row>
    <row r="251" spans="1:130" ht="39.950000000000003" hidden="1" customHeight="1" x14ac:dyDescent="0.25">
      <c r="DX251" s="24">
        <v>249</v>
      </c>
      <c r="DY251" s="35">
        <v>124.5</v>
      </c>
      <c r="DZ251" s="47" t="s">
        <v>0</v>
      </c>
    </row>
    <row r="252" spans="1:130" ht="39.950000000000003" hidden="1" customHeight="1" x14ac:dyDescent="0.25">
      <c r="DX252" s="24">
        <v>250</v>
      </c>
      <c r="DY252" s="35">
        <v>125</v>
      </c>
      <c r="DZ252" s="47" t="s">
        <v>0</v>
      </c>
    </row>
    <row r="253" spans="1:130" ht="39.950000000000003" hidden="1" customHeight="1" x14ac:dyDescent="0.25">
      <c r="DX253" s="24">
        <v>251</v>
      </c>
      <c r="DY253" s="35">
        <v>125.5</v>
      </c>
      <c r="DZ253" s="47" t="s">
        <v>0</v>
      </c>
    </row>
    <row r="254" spans="1:130" s="13" customFormat="1" ht="39.950000000000003" hidden="1" customHeight="1" x14ac:dyDescent="0.25">
      <c r="A254" s="2"/>
      <c r="B254" s="2"/>
      <c r="C254" s="2"/>
      <c r="D254" s="2"/>
      <c r="E254" s="2"/>
      <c r="F254" s="2"/>
      <c r="G254" s="2"/>
      <c r="H254" s="2"/>
      <c r="I254" s="2"/>
      <c r="J254" s="2"/>
      <c r="K254" s="2"/>
      <c r="L254" s="2"/>
      <c r="M254" s="2"/>
      <c r="N254" s="2"/>
      <c r="O254" s="2"/>
      <c r="P254" s="2"/>
      <c r="Q254" s="2"/>
      <c r="R254" s="2"/>
      <c r="S254" s="2"/>
      <c r="T254" s="2"/>
      <c r="U254" s="2"/>
      <c r="V254" s="19"/>
      <c r="W254" s="19"/>
      <c r="X254" s="19"/>
      <c r="Y254" s="12"/>
      <c r="Z254" s="2"/>
      <c r="AA254" s="75"/>
      <c r="AB254" s="75"/>
      <c r="AC254" s="12"/>
      <c r="AD254" s="12"/>
      <c r="AE254" s="12"/>
      <c r="AF254" s="12"/>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c r="CW254" s="24"/>
      <c r="CX254" s="24"/>
      <c r="CY254" s="24"/>
      <c r="CZ254" s="24"/>
      <c r="DA254" s="24"/>
      <c r="DB254" s="24"/>
      <c r="DC254" s="24"/>
      <c r="DD254" s="24"/>
      <c r="DE254" s="24"/>
      <c r="DF254" s="24"/>
      <c r="DG254" s="24"/>
      <c r="DH254" s="24"/>
      <c r="DI254" s="24"/>
      <c r="DJ254" s="24"/>
      <c r="DK254" s="24"/>
      <c r="DL254" s="24"/>
      <c r="DM254" s="24"/>
      <c r="DN254" s="24"/>
      <c r="DO254" s="24"/>
      <c r="DP254" s="24"/>
      <c r="DQ254" s="24"/>
      <c r="DR254" s="24"/>
      <c r="DS254" s="24"/>
      <c r="DT254" s="24"/>
      <c r="DU254" s="24"/>
      <c r="DV254" s="24"/>
      <c r="DW254" s="24"/>
      <c r="DX254" s="24">
        <v>252</v>
      </c>
      <c r="DY254" s="35">
        <v>126</v>
      </c>
      <c r="DZ254" s="47" t="s">
        <v>0</v>
      </c>
    </row>
    <row r="255" spans="1:130" s="13" customFormat="1" ht="39.950000000000003" hidden="1" customHeight="1" x14ac:dyDescent="0.25">
      <c r="A255" s="2"/>
      <c r="B255" s="2"/>
      <c r="C255" s="2"/>
      <c r="D255" s="2"/>
      <c r="E255" s="2"/>
      <c r="F255" s="2"/>
      <c r="G255" s="2"/>
      <c r="H255" s="2"/>
      <c r="I255" s="2"/>
      <c r="J255" s="2"/>
      <c r="K255" s="2"/>
      <c r="L255" s="2"/>
      <c r="M255" s="2"/>
      <c r="N255" s="2"/>
      <c r="O255" s="2"/>
      <c r="P255" s="2"/>
      <c r="Q255" s="2"/>
      <c r="R255" s="2"/>
      <c r="S255" s="2"/>
      <c r="T255" s="2"/>
      <c r="U255" s="2"/>
      <c r="V255" s="19"/>
      <c r="W255" s="19"/>
      <c r="X255" s="19"/>
      <c r="Y255" s="12"/>
      <c r="Z255" s="2"/>
      <c r="AA255" s="75"/>
      <c r="AB255" s="75"/>
      <c r="AC255" s="12"/>
      <c r="AD255" s="12"/>
      <c r="AE255" s="12"/>
      <c r="AF255" s="12"/>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c r="CM255" s="24"/>
      <c r="CN255" s="24"/>
      <c r="CO255" s="24"/>
      <c r="CP255" s="24"/>
      <c r="CQ255" s="24"/>
      <c r="CR255" s="24"/>
      <c r="CS255" s="24"/>
      <c r="CT255" s="24"/>
      <c r="CU255" s="24"/>
      <c r="CV255" s="24"/>
      <c r="CW255" s="24"/>
      <c r="CX255" s="24"/>
      <c r="CY255" s="24"/>
      <c r="CZ255" s="24"/>
      <c r="DA255" s="24"/>
      <c r="DB255" s="24"/>
      <c r="DC255" s="24"/>
      <c r="DD255" s="24"/>
      <c r="DE255" s="24"/>
      <c r="DF255" s="24"/>
      <c r="DG255" s="24"/>
      <c r="DH255" s="24"/>
      <c r="DI255" s="24"/>
      <c r="DJ255" s="24"/>
      <c r="DK255" s="24"/>
      <c r="DL255" s="24"/>
      <c r="DM255" s="24"/>
      <c r="DN255" s="24"/>
      <c r="DO255" s="24"/>
      <c r="DP255" s="24"/>
      <c r="DQ255" s="24"/>
      <c r="DR255" s="24"/>
      <c r="DS255" s="24"/>
      <c r="DT255" s="24"/>
      <c r="DU255" s="24"/>
      <c r="DV255" s="24"/>
      <c r="DW255" s="24"/>
      <c r="DX255" s="24">
        <v>253</v>
      </c>
      <c r="DY255" s="35">
        <v>126.5</v>
      </c>
      <c r="DZ255" s="47" t="s">
        <v>0</v>
      </c>
    </row>
    <row r="256" spans="1:130" s="13" customFormat="1" ht="39.950000000000003" hidden="1" customHeight="1" x14ac:dyDescent="0.25">
      <c r="A256" s="2"/>
      <c r="B256" s="2"/>
      <c r="C256" s="2"/>
      <c r="D256" s="2"/>
      <c r="E256" s="2"/>
      <c r="F256" s="2"/>
      <c r="G256" s="2"/>
      <c r="H256" s="2"/>
      <c r="I256" s="2"/>
      <c r="J256" s="2"/>
      <c r="K256" s="2"/>
      <c r="L256" s="2"/>
      <c r="M256" s="2"/>
      <c r="N256" s="2"/>
      <c r="O256" s="2"/>
      <c r="P256" s="2"/>
      <c r="Q256" s="2"/>
      <c r="R256" s="2"/>
      <c r="S256" s="2"/>
      <c r="T256" s="2"/>
      <c r="U256" s="2"/>
      <c r="V256" s="19"/>
      <c r="W256" s="19"/>
      <c r="X256" s="19"/>
      <c r="Y256" s="12"/>
      <c r="Z256" s="2"/>
      <c r="AA256" s="75"/>
      <c r="AB256" s="75"/>
      <c r="AC256" s="12"/>
      <c r="AD256" s="12"/>
      <c r="AE256" s="12"/>
      <c r="AF256" s="12"/>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c r="CM256" s="24"/>
      <c r="CN256" s="24"/>
      <c r="CO256" s="24"/>
      <c r="CP256" s="24"/>
      <c r="CQ256" s="24"/>
      <c r="CR256" s="24"/>
      <c r="CS256" s="24"/>
      <c r="CT256" s="24"/>
      <c r="CU256" s="24"/>
      <c r="CV256" s="24"/>
      <c r="CW256" s="24"/>
      <c r="CX256" s="24"/>
      <c r="CY256" s="24"/>
      <c r="CZ256" s="24"/>
      <c r="DA256" s="24"/>
      <c r="DB256" s="24"/>
      <c r="DC256" s="24"/>
      <c r="DD256" s="24"/>
      <c r="DE256" s="24"/>
      <c r="DF256" s="24"/>
      <c r="DG256" s="24"/>
      <c r="DH256" s="24"/>
      <c r="DI256" s="24"/>
      <c r="DJ256" s="24"/>
      <c r="DK256" s="24"/>
      <c r="DL256" s="24"/>
      <c r="DM256" s="24"/>
      <c r="DN256" s="24"/>
      <c r="DO256" s="24"/>
      <c r="DP256" s="24"/>
      <c r="DQ256" s="24"/>
      <c r="DR256" s="24"/>
      <c r="DS256" s="24"/>
      <c r="DT256" s="24"/>
      <c r="DU256" s="24"/>
      <c r="DV256" s="24"/>
      <c r="DW256" s="24"/>
      <c r="DX256" s="24">
        <v>254</v>
      </c>
      <c r="DY256" s="35">
        <v>127</v>
      </c>
      <c r="DZ256" s="47" t="s">
        <v>0</v>
      </c>
    </row>
    <row r="257" spans="1:130" s="13" customFormat="1" ht="39.950000000000003" hidden="1" customHeight="1" x14ac:dyDescent="0.25">
      <c r="A257" s="2"/>
      <c r="B257" s="2"/>
      <c r="C257" s="2"/>
      <c r="D257" s="2"/>
      <c r="E257" s="2"/>
      <c r="F257" s="2"/>
      <c r="G257" s="2"/>
      <c r="H257" s="2"/>
      <c r="I257" s="2"/>
      <c r="J257" s="2"/>
      <c r="K257" s="2"/>
      <c r="L257" s="2"/>
      <c r="M257" s="2"/>
      <c r="N257" s="2"/>
      <c r="O257" s="2"/>
      <c r="P257" s="2"/>
      <c r="Q257" s="2"/>
      <c r="R257" s="2"/>
      <c r="S257" s="2"/>
      <c r="T257" s="2"/>
      <c r="U257" s="2"/>
      <c r="V257" s="19"/>
      <c r="W257" s="19"/>
      <c r="X257" s="19"/>
      <c r="Y257" s="12"/>
      <c r="Z257" s="2"/>
      <c r="AA257" s="75"/>
      <c r="AB257" s="75"/>
      <c r="AC257" s="12"/>
      <c r="AD257" s="12"/>
      <c r="AE257" s="12"/>
      <c r="AF257" s="12"/>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c r="DU257" s="24"/>
      <c r="DV257" s="24"/>
      <c r="DW257" s="24"/>
      <c r="DX257" s="24">
        <v>255</v>
      </c>
      <c r="DY257" s="35">
        <v>127.5</v>
      </c>
      <c r="DZ257" s="47" t="s">
        <v>0</v>
      </c>
    </row>
    <row r="258" spans="1:130" s="13" customFormat="1" ht="39.950000000000003" hidden="1" customHeight="1" x14ac:dyDescent="0.25">
      <c r="A258" s="2"/>
      <c r="B258" s="2"/>
      <c r="C258" s="2"/>
      <c r="D258" s="2"/>
      <c r="E258" s="2"/>
      <c r="F258" s="2"/>
      <c r="G258" s="2"/>
      <c r="H258" s="2"/>
      <c r="I258" s="2"/>
      <c r="J258" s="2"/>
      <c r="K258" s="2"/>
      <c r="L258" s="2"/>
      <c r="M258" s="2"/>
      <c r="N258" s="2"/>
      <c r="O258" s="2"/>
      <c r="P258" s="2"/>
      <c r="Q258" s="2"/>
      <c r="R258" s="2"/>
      <c r="S258" s="2"/>
      <c r="T258" s="2"/>
      <c r="U258" s="2"/>
      <c r="V258" s="19"/>
      <c r="W258" s="19"/>
      <c r="X258" s="19"/>
      <c r="Y258" s="12"/>
      <c r="Z258" s="2"/>
      <c r="AA258" s="75"/>
      <c r="AB258" s="75"/>
      <c r="AC258" s="12"/>
      <c r="AD258" s="12"/>
      <c r="AE258" s="12"/>
      <c r="AF258" s="12"/>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c r="CU258" s="24"/>
      <c r="CV258" s="24"/>
      <c r="CW258" s="24"/>
      <c r="CX258" s="24"/>
      <c r="CY258" s="24"/>
      <c r="CZ258" s="24"/>
      <c r="DA258" s="24"/>
      <c r="DB258" s="24"/>
      <c r="DC258" s="24"/>
      <c r="DD258" s="24"/>
      <c r="DE258" s="24"/>
      <c r="DF258" s="24"/>
      <c r="DG258" s="24"/>
      <c r="DH258" s="24"/>
      <c r="DI258" s="24"/>
      <c r="DJ258" s="24"/>
      <c r="DK258" s="24"/>
      <c r="DL258" s="24"/>
      <c r="DM258" s="24"/>
      <c r="DN258" s="24"/>
      <c r="DO258" s="24"/>
      <c r="DP258" s="24"/>
      <c r="DQ258" s="24"/>
      <c r="DR258" s="24"/>
      <c r="DS258" s="24"/>
      <c r="DT258" s="24"/>
      <c r="DU258" s="24"/>
      <c r="DV258" s="24"/>
      <c r="DW258" s="24"/>
      <c r="DX258" s="24">
        <v>256</v>
      </c>
      <c r="DY258" s="35">
        <v>128</v>
      </c>
      <c r="DZ258" s="47" t="s">
        <v>0</v>
      </c>
    </row>
    <row r="259" spans="1:130" s="13" customFormat="1" ht="39.950000000000003" hidden="1" customHeight="1" x14ac:dyDescent="0.25">
      <c r="A259" s="2"/>
      <c r="B259" s="2"/>
      <c r="C259" s="2"/>
      <c r="D259" s="2"/>
      <c r="E259" s="2"/>
      <c r="F259" s="2"/>
      <c r="G259" s="2"/>
      <c r="H259" s="2"/>
      <c r="I259" s="2"/>
      <c r="J259" s="2"/>
      <c r="K259" s="2"/>
      <c r="L259" s="2"/>
      <c r="M259" s="2"/>
      <c r="N259" s="2"/>
      <c r="O259" s="2"/>
      <c r="P259" s="2"/>
      <c r="Q259" s="2"/>
      <c r="R259" s="2"/>
      <c r="S259" s="2"/>
      <c r="T259" s="2"/>
      <c r="U259" s="2"/>
      <c r="V259" s="19"/>
      <c r="W259" s="19"/>
      <c r="X259" s="19"/>
      <c r="Y259" s="12"/>
      <c r="Z259" s="2"/>
      <c r="AA259" s="75"/>
      <c r="AB259" s="75"/>
      <c r="AC259" s="12"/>
      <c r="AD259" s="12"/>
      <c r="AE259" s="12"/>
      <c r="AF259" s="12"/>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c r="CQ259" s="24"/>
      <c r="CR259" s="24"/>
      <c r="CS259" s="24"/>
      <c r="CT259" s="24"/>
      <c r="CU259" s="24"/>
      <c r="CV259" s="24"/>
      <c r="CW259" s="24"/>
      <c r="CX259" s="24"/>
      <c r="CY259" s="24"/>
      <c r="CZ259" s="24"/>
      <c r="DA259" s="24"/>
      <c r="DB259" s="24"/>
      <c r="DC259" s="24"/>
      <c r="DD259" s="24"/>
      <c r="DE259" s="24"/>
      <c r="DF259" s="24"/>
      <c r="DG259" s="24"/>
      <c r="DH259" s="24"/>
      <c r="DI259" s="24"/>
      <c r="DJ259" s="24"/>
      <c r="DK259" s="24"/>
      <c r="DL259" s="24"/>
      <c r="DM259" s="24"/>
      <c r="DN259" s="24"/>
      <c r="DO259" s="24"/>
      <c r="DP259" s="24"/>
      <c r="DQ259" s="24"/>
      <c r="DR259" s="24"/>
      <c r="DS259" s="24"/>
      <c r="DT259" s="24"/>
      <c r="DU259" s="24"/>
      <c r="DV259" s="24"/>
      <c r="DW259" s="24"/>
      <c r="DX259" s="24">
        <v>257</v>
      </c>
      <c r="DY259" s="35">
        <v>128.5</v>
      </c>
      <c r="DZ259" s="47" t="s">
        <v>0</v>
      </c>
    </row>
    <row r="260" spans="1:130" s="13" customFormat="1" ht="39.950000000000003" hidden="1" customHeight="1" x14ac:dyDescent="0.25">
      <c r="A260" s="2"/>
      <c r="B260" s="2"/>
      <c r="C260" s="2"/>
      <c r="D260" s="2"/>
      <c r="E260" s="2"/>
      <c r="F260" s="2"/>
      <c r="G260" s="2"/>
      <c r="H260" s="2"/>
      <c r="I260" s="2"/>
      <c r="J260" s="2"/>
      <c r="K260" s="2"/>
      <c r="L260" s="2"/>
      <c r="M260" s="2"/>
      <c r="N260" s="2"/>
      <c r="O260" s="2"/>
      <c r="P260" s="2"/>
      <c r="Q260" s="2"/>
      <c r="R260" s="2"/>
      <c r="S260" s="2"/>
      <c r="T260" s="2"/>
      <c r="U260" s="2"/>
      <c r="V260" s="19"/>
      <c r="W260" s="19"/>
      <c r="X260" s="19"/>
      <c r="Y260" s="12"/>
      <c r="Z260" s="2"/>
      <c r="AA260" s="75"/>
      <c r="AB260" s="75"/>
      <c r="AC260" s="12"/>
      <c r="AD260" s="12"/>
      <c r="AE260" s="12"/>
      <c r="AF260" s="12"/>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c r="CM260" s="24"/>
      <c r="CN260" s="24"/>
      <c r="CO260" s="24"/>
      <c r="CP260" s="24"/>
      <c r="CQ260" s="24"/>
      <c r="CR260" s="24"/>
      <c r="CS260" s="24"/>
      <c r="CT260" s="24"/>
      <c r="CU260" s="24"/>
      <c r="CV260" s="24"/>
      <c r="CW260" s="24"/>
      <c r="CX260" s="24"/>
      <c r="CY260" s="24"/>
      <c r="CZ260" s="24"/>
      <c r="DA260" s="24"/>
      <c r="DB260" s="24"/>
      <c r="DC260" s="24"/>
      <c r="DD260" s="24"/>
      <c r="DE260" s="24"/>
      <c r="DF260" s="24"/>
      <c r="DG260" s="24"/>
      <c r="DH260" s="24"/>
      <c r="DI260" s="24"/>
      <c r="DJ260" s="24"/>
      <c r="DK260" s="24"/>
      <c r="DL260" s="24"/>
      <c r="DM260" s="24"/>
      <c r="DN260" s="24"/>
      <c r="DO260" s="24"/>
      <c r="DP260" s="24"/>
      <c r="DQ260" s="24"/>
      <c r="DR260" s="24"/>
      <c r="DS260" s="24"/>
      <c r="DT260" s="24"/>
      <c r="DU260" s="24"/>
      <c r="DV260" s="24"/>
      <c r="DW260" s="24"/>
      <c r="DX260" s="24">
        <v>258</v>
      </c>
      <c r="DY260" s="35">
        <v>129</v>
      </c>
      <c r="DZ260" s="47" t="s">
        <v>0</v>
      </c>
    </row>
    <row r="261" spans="1:130" s="13" customFormat="1" ht="39.950000000000003" hidden="1" customHeight="1" x14ac:dyDescent="0.25">
      <c r="A261" s="2"/>
      <c r="B261" s="2"/>
      <c r="C261" s="2"/>
      <c r="D261" s="2"/>
      <c r="E261" s="2"/>
      <c r="F261" s="2"/>
      <c r="G261" s="2"/>
      <c r="H261" s="2"/>
      <c r="I261" s="2"/>
      <c r="J261" s="2"/>
      <c r="K261" s="2"/>
      <c r="L261" s="2"/>
      <c r="M261" s="2"/>
      <c r="N261" s="2"/>
      <c r="O261" s="2"/>
      <c r="P261" s="2"/>
      <c r="Q261" s="2"/>
      <c r="R261" s="2"/>
      <c r="S261" s="2"/>
      <c r="T261" s="2"/>
      <c r="U261" s="2"/>
      <c r="V261" s="19"/>
      <c r="W261" s="19"/>
      <c r="X261" s="19"/>
      <c r="Y261" s="12"/>
      <c r="Z261" s="2"/>
      <c r="AA261" s="75"/>
      <c r="AB261" s="75"/>
      <c r="AC261" s="12"/>
      <c r="AD261" s="12"/>
      <c r="AE261" s="12"/>
      <c r="AF261" s="12"/>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c r="CQ261" s="24"/>
      <c r="CR261" s="24"/>
      <c r="CS261" s="24"/>
      <c r="CT261" s="24"/>
      <c r="CU261" s="24"/>
      <c r="CV261" s="24"/>
      <c r="CW261" s="24"/>
      <c r="CX261" s="24"/>
      <c r="CY261" s="24"/>
      <c r="CZ261" s="24"/>
      <c r="DA261" s="24"/>
      <c r="DB261" s="24"/>
      <c r="DC261" s="24"/>
      <c r="DD261" s="24"/>
      <c r="DE261" s="24"/>
      <c r="DF261" s="24"/>
      <c r="DG261" s="24"/>
      <c r="DH261" s="24"/>
      <c r="DI261" s="24"/>
      <c r="DJ261" s="24"/>
      <c r="DK261" s="24"/>
      <c r="DL261" s="24"/>
      <c r="DM261" s="24"/>
      <c r="DN261" s="24"/>
      <c r="DO261" s="24"/>
      <c r="DP261" s="24"/>
      <c r="DQ261" s="24"/>
      <c r="DR261" s="24"/>
      <c r="DS261" s="24"/>
      <c r="DT261" s="24"/>
      <c r="DU261" s="24"/>
      <c r="DV261" s="24"/>
      <c r="DW261" s="24"/>
      <c r="DX261" s="24">
        <v>259</v>
      </c>
      <c r="DY261" s="35">
        <v>129.5</v>
      </c>
      <c r="DZ261" s="47" t="s">
        <v>0</v>
      </c>
    </row>
    <row r="262" spans="1:130" s="13" customFormat="1" ht="39.950000000000003" hidden="1" customHeight="1" x14ac:dyDescent="0.25">
      <c r="A262" s="2"/>
      <c r="B262" s="2"/>
      <c r="C262" s="2"/>
      <c r="D262" s="2"/>
      <c r="E262" s="2"/>
      <c r="F262" s="2"/>
      <c r="G262" s="2"/>
      <c r="H262" s="2"/>
      <c r="I262" s="2"/>
      <c r="J262" s="2"/>
      <c r="K262" s="2"/>
      <c r="L262" s="2"/>
      <c r="M262" s="2"/>
      <c r="N262" s="2"/>
      <c r="O262" s="2"/>
      <c r="P262" s="2"/>
      <c r="Q262" s="2"/>
      <c r="R262" s="2"/>
      <c r="S262" s="2"/>
      <c r="T262" s="2"/>
      <c r="U262" s="2"/>
      <c r="V262" s="19"/>
      <c r="W262" s="19"/>
      <c r="X262" s="19"/>
      <c r="Y262" s="12"/>
      <c r="Z262" s="2"/>
      <c r="AA262" s="75"/>
      <c r="AB262" s="75"/>
      <c r="AC262" s="12"/>
      <c r="AD262" s="12"/>
      <c r="AE262" s="12"/>
      <c r="AF262" s="12"/>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c r="DU262" s="24"/>
      <c r="DV262" s="24"/>
      <c r="DW262" s="24"/>
      <c r="DX262" s="24">
        <v>260</v>
      </c>
      <c r="DY262" s="35">
        <v>130</v>
      </c>
      <c r="DZ262" s="47" t="s">
        <v>0</v>
      </c>
    </row>
    <row r="263" spans="1:130" s="13" customFormat="1" ht="39.950000000000003" hidden="1" customHeight="1" x14ac:dyDescent="0.25">
      <c r="A263" s="2"/>
      <c r="B263" s="2"/>
      <c r="C263" s="2"/>
      <c r="D263" s="2"/>
      <c r="E263" s="2"/>
      <c r="F263" s="2"/>
      <c r="G263" s="2"/>
      <c r="H263" s="2"/>
      <c r="I263" s="2"/>
      <c r="J263" s="2"/>
      <c r="K263" s="2"/>
      <c r="L263" s="2"/>
      <c r="M263" s="2"/>
      <c r="N263" s="2"/>
      <c r="O263" s="2"/>
      <c r="P263" s="2"/>
      <c r="Q263" s="2"/>
      <c r="R263" s="2"/>
      <c r="S263" s="2"/>
      <c r="T263" s="2"/>
      <c r="U263" s="2"/>
      <c r="V263" s="19"/>
      <c r="W263" s="19"/>
      <c r="X263" s="19"/>
      <c r="Y263" s="12"/>
      <c r="Z263" s="2"/>
      <c r="AA263" s="75"/>
      <c r="AB263" s="75"/>
      <c r="AC263" s="12"/>
      <c r="AD263" s="12"/>
      <c r="AE263" s="12"/>
      <c r="AF263" s="12"/>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24"/>
      <c r="DX263" s="24">
        <v>261</v>
      </c>
      <c r="DY263" s="35">
        <v>130.5</v>
      </c>
      <c r="DZ263" s="47" t="s">
        <v>0</v>
      </c>
    </row>
    <row r="264" spans="1:130" s="13" customFormat="1" ht="39.950000000000003" hidden="1" customHeight="1" x14ac:dyDescent="0.25">
      <c r="A264" s="2"/>
      <c r="B264" s="2"/>
      <c r="C264" s="2"/>
      <c r="D264" s="2"/>
      <c r="E264" s="2"/>
      <c r="F264" s="2"/>
      <c r="G264" s="2"/>
      <c r="H264" s="2"/>
      <c r="I264" s="2"/>
      <c r="J264" s="2"/>
      <c r="K264" s="2"/>
      <c r="L264" s="2"/>
      <c r="M264" s="2"/>
      <c r="N264" s="2"/>
      <c r="O264" s="2"/>
      <c r="P264" s="2"/>
      <c r="Q264" s="2"/>
      <c r="R264" s="2"/>
      <c r="S264" s="2"/>
      <c r="T264" s="2"/>
      <c r="U264" s="2"/>
      <c r="V264" s="19"/>
      <c r="W264" s="19"/>
      <c r="X264" s="19"/>
      <c r="Y264" s="12"/>
      <c r="Z264" s="2"/>
      <c r="AA264" s="75"/>
      <c r="AB264" s="75"/>
      <c r="AC264" s="12"/>
      <c r="AD264" s="12"/>
      <c r="AE264" s="12"/>
      <c r="AF264" s="12"/>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c r="DU264" s="24"/>
      <c r="DV264" s="24"/>
      <c r="DW264" s="24"/>
      <c r="DX264" s="24">
        <v>262</v>
      </c>
      <c r="DY264" s="35">
        <v>131</v>
      </c>
      <c r="DZ264" s="47" t="s">
        <v>0</v>
      </c>
    </row>
    <row r="265" spans="1:130" s="13" customFormat="1" ht="39.950000000000003" hidden="1" customHeight="1" x14ac:dyDescent="0.25">
      <c r="A265" s="2"/>
      <c r="B265" s="2"/>
      <c r="C265" s="2"/>
      <c r="D265" s="2"/>
      <c r="E265" s="2"/>
      <c r="F265" s="2"/>
      <c r="G265" s="2"/>
      <c r="H265" s="2"/>
      <c r="I265" s="2"/>
      <c r="J265" s="2"/>
      <c r="K265" s="2"/>
      <c r="L265" s="2"/>
      <c r="M265" s="2"/>
      <c r="N265" s="2"/>
      <c r="O265" s="2"/>
      <c r="P265" s="2"/>
      <c r="Q265" s="2"/>
      <c r="R265" s="2"/>
      <c r="S265" s="2"/>
      <c r="T265" s="2"/>
      <c r="U265" s="2"/>
      <c r="V265" s="19"/>
      <c r="W265" s="19"/>
      <c r="X265" s="19"/>
      <c r="Y265" s="12"/>
      <c r="Z265" s="2"/>
      <c r="AA265" s="75"/>
      <c r="AB265" s="75"/>
      <c r="AC265" s="12"/>
      <c r="AD265" s="12"/>
      <c r="AE265" s="12"/>
      <c r="AF265" s="12"/>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c r="DU265" s="24"/>
      <c r="DV265" s="24"/>
      <c r="DW265" s="24"/>
      <c r="DX265" s="24">
        <v>263</v>
      </c>
      <c r="DY265" s="35">
        <v>131.5</v>
      </c>
      <c r="DZ265" s="47" t="s">
        <v>0</v>
      </c>
    </row>
    <row r="266" spans="1:130" s="13" customFormat="1" ht="39.950000000000003" hidden="1" customHeight="1" x14ac:dyDescent="0.25">
      <c r="A266" s="2"/>
      <c r="B266" s="2"/>
      <c r="C266" s="2"/>
      <c r="D266" s="2"/>
      <c r="E266" s="2"/>
      <c r="F266" s="2"/>
      <c r="G266" s="2"/>
      <c r="H266" s="2"/>
      <c r="I266" s="2"/>
      <c r="J266" s="2"/>
      <c r="K266" s="2"/>
      <c r="L266" s="2"/>
      <c r="M266" s="2"/>
      <c r="N266" s="2"/>
      <c r="O266" s="2"/>
      <c r="P266" s="2"/>
      <c r="Q266" s="2"/>
      <c r="R266" s="2"/>
      <c r="S266" s="2"/>
      <c r="T266" s="2"/>
      <c r="U266" s="2"/>
      <c r="V266" s="19"/>
      <c r="W266" s="19"/>
      <c r="X266" s="19"/>
      <c r="Y266" s="12"/>
      <c r="Z266" s="2"/>
      <c r="AA266" s="75"/>
      <c r="AB266" s="75"/>
      <c r="AC266" s="12"/>
      <c r="AD266" s="12"/>
      <c r="AE266" s="12"/>
      <c r="AF266" s="12"/>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c r="CQ266" s="24"/>
      <c r="CR266" s="24"/>
      <c r="CS266" s="24"/>
      <c r="CT266" s="24"/>
      <c r="CU266" s="24"/>
      <c r="CV266" s="24"/>
      <c r="CW266" s="24"/>
      <c r="CX266" s="24"/>
      <c r="CY266" s="24"/>
      <c r="CZ266" s="24"/>
      <c r="DA266" s="24"/>
      <c r="DB266" s="24"/>
      <c r="DC266" s="24"/>
      <c r="DD266" s="24"/>
      <c r="DE266" s="24"/>
      <c r="DF266" s="24"/>
      <c r="DG266" s="24"/>
      <c r="DH266" s="24"/>
      <c r="DI266" s="24"/>
      <c r="DJ266" s="24"/>
      <c r="DK266" s="24"/>
      <c r="DL266" s="24"/>
      <c r="DM266" s="24"/>
      <c r="DN266" s="24"/>
      <c r="DO266" s="24"/>
      <c r="DP266" s="24"/>
      <c r="DQ266" s="24"/>
      <c r="DR266" s="24"/>
      <c r="DS266" s="24"/>
      <c r="DT266" s="24"/>
      <c r="DU266" s="24"/>
      <c r="DV266" s="24"/>
      <c r="DW266" s="24"/>
      <c r="DX266" s="24">
        <v>264</v>
      </c>
      <c r="DY266" s="35">
        <v>132</v>
      </c>
      <c r="DZ266" s="47" t="s">
        <v>0</v>
      </c>
    </row>
    <row r="267" spans="1:130" s="13" customFormat="1" ht="39.950000000000003" hidden="1" customHeight="1" x14ac:dyDescent="0.25">
      <c r="A267" s="2"/>
      <c r="B267" s="2"/>
      <c r="C267" s="2"/>
      <c r="D267" s="2"/>
      <c r="E267" s="2"/>
      <c r="F267" s="2"/>
      <c r="G267" s="2"/>
      <c r="H267" s="2"/>
      <c r="I267" s="2"/>
      <c r="J267" s="2"/>
      <c r="K267" s="2"/>
      <c r="L267" s="2"/>
      <c r="M267" s="2"/>
      <c r="N267" s="2"/>
      <c r="O267" s="2"/>
      <c r="P267" s="2"/>
      <c r="Q267" s="2"/>
      <c r="R267" s="2"/>
      <c r="S267" s="2"/>
      <c r="T267" s="2"/>
      <c r="U267" s="2"/>
      <c r="V267" s="19"/>
      <c r="W267" s="19"/>
      <c r="X267" s="19"/>
      <c r="Y267" s="12"/>
      <c r="Z267" s="2"/>
      <c r="AA267" s="75"/>
      <c r="AB267" s="75"/>
      <c r="AC267" s="12"/>
      <c r="AD267" s="12"/>
      <c r="AE267" s="12"/>
      <c r="AF267" s="12"/>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v>265</v>
      </c>
      <c r="DY267" s="35">
        <v>132.5</v>
      </c>
      <c r="DZ267" s="47" t="s">
        <v>0</v>
      </c>
    </row>
    <row r="268" spans="1:130" s="13" customFormat="1" ht="39.950000000000003" hidden="1" customHeight="1" x14ac:dyDescent="0.25">
      <c r="A268" s="2"/>
      <c r="B268" s="2"/>
      <c r="C268" s="2"/>
      <c r="D268" s="2"/>
      <c r="E268" s="2"/>
      <c r="F268" s="2"/>
      <c r="G268" s="2"/>
      <c r="H268" s="2"/>
      <c r="I268" s="2"/>
      <c r="J268" s="2"/>
      <c r="K268" s="2"/>
      <c r="L268" s="2"/>
      <c r="M268" s="2"/>
      <c r="N268" s="2"/>
      <c r="O268" s="2"/>
      <c r="P268" s="2"/>
      <c r="Q268" s="2"/>
      <c r="R268" s="2"/>
      <c r="S268" s="2"/>
      <c r="T268" s="2"/>
      <c r="U268" s="2"/>
      <c r="V268" s="19"/>
      <c r="W268" s="19"/>
      <c r="X268" s="19"/>
      <c r="Y268" s="12"/>
      <c r="Z268" s="2"/>
      <c r="AA268" s="75"/>
      <c r="AB268" s="75"/>
      <c r="AC268" s="12"/>
      <c r="AD268" s="12"/>
      <c r="AE268" s="12"/>
      <c r="AF268" s="12"/>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c r="DU268" s="24"/>
      <c r="DV268" s="24"/>
      <c r="DW268" s="24"/>
      <c r="DX268" s="24">
        <v>266</v>
      </c>
      <c r="DY268" s="35">
        <v>133</v>
      </c>
      <c r="DZ268" s="47" t="s">
        <v>0</v>
      </c>
    </row>
    <row r="269" spans="1:130" s="13" customFormat="1" ht="39.950000000000003" hidden="1" customHeight="1" x14ac:dyDescent="0.25">
      <c r="A269" s="2"/>
      <c r="B269" s="2"/>
      <c r="C269" s="2"/>
      <c r="D269" s="2"/>
      <c r="E269" s="2"/>
      <c r="F269" s="2"/>
      <c r="G269" s="2"/>
      <c r="H269" s="2"/>
      <c r="I269" s="2"/>
      <c r="J269" s="2"/>
      <c r="K269" s="2"/>
      <c r="L269" s="2"/>
      <c r="M269" s="2"/>
      <c r="N269" s="2"/>
      <c r="O269" s="2"/>
      <c r="P269" s="2"/>
      <c r="Q269" s="2"/>
      <c r="R269" s="2"/>
      <c r="S269" s="2"/>
      <c r="T269" s="2"/>
      <c r="U269" s="2"/>
      <c r="V269" s="19"/>
      <c r="W269" s="19"/>
      <c r="X269" s="19"/>
      <c r="Y269" s="12"/>
      <c r="Z269" s="2"/>
      <c r="AA269" s="75"/>
      <c r="AB269" s="75"/>
      <c r="AC269" s="12"/>
      <c r="AD269" s="12"/>
      <c r="AE269" s="12"/>
      <c r="AF269" s="12"/>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c r="CM269" s="24"/>
      <c r="CN269" s="24"/>
      <c r="CO269" s="24"/>
      <c r="CP269" s="24"/>
      <c r="CQ269" s="24"/>
      <c r="CR269" s="24"/>
      <c r="CS269" s="24"/>
      <c r="CT269" s="24"/>
      <c r="CU269" s="24"/>
      <c r="CV269" s="24"/>
      <c r="CW269" s="24"/>
      <c r="CX269" s="24"/>
      <c r="CY269" s="24"/>
      <c r="CZ269" s="24"/>
      <c r="DA269" s="24"/>
      <c r="DB269" s="24"/>
      <c r="DC269" s="24"/>
      <c r="DD269" s="24"/>
      <c r="DE269" s="24"/>
      <c r="DF269" s="24"/>
      <c r="DG269" s="24"/>
      <c r="DH269" s="24"/>
      <c r="DI269" s="24"/>
      <c r="DJ269" s="24"/>
      <c r="DK269" s="24"/>
      <c r="DL269" s="24"/>
      <c r="DM269" s="24"/>
      <c r="DN269" s="24"/>
      <c r="DO269" s="24"/>
      <c r="DP269" s="24"/>
      <c r="DQ269" s="24"/>
      <c r="DR269" s="24"/>
      <c r="DS269" s="24"/>
      <c r="DT269" s="24"/>
      <c r="DU269" s="24"/>
      <c r="DV269" s="24"/>
      <c r="DW269" s="24"/>
      <c r="DX269" s="24">
        <v>267</v>
      </c>
      <c r="DY269" s="35">
        <v>133.5</v>
      </c>
      <c r="DZ269" s="47" t="s">
        <v>0</v>
      </c>
    </row>
    <row r="270" spans="1:130" ht="39.950000000000003" hidden="1" customHeight="1" x14ac:dyDescent="0.25">
      <c r="DX270" s="24">
        <v>268</v>
      </c>
      <c r="DY270" s="35">
        <v>134</v>
      </c>
      <c r="DZ270" s="47" t="s">
        <v>0</v>
      </c>
    </row>
    <row r="271" spans="1:130" ht="39.950000000000003" hidden="1" customHeight="1" x14ac:dyDescent="0.25">
      <c r="DX271" s="24">
        <v>269</v>
      </c>
      <c r="DY271" s="35">
        <v>134.5</v>
      </c>
      <c r="DZ271" s="47" t="s">
        <v>0</v>
      </c>
    </row>
    <row r="272" spans="1:130" ht="39.950000000000003" hidden="1" customHeight="1" x14ac:dyDescent="0.25">
      <c r="DX272" s="24">
        <v>270</v>
      </c>
      <c r="DY272" s="35">
        <v>135</v>
      </c>
      <c r="DZ272" s="47" t="s">
        <v>0</v>
      </c>
    </row>
    <row r="273" spans="128:130" ht="39.950000000000003" hidden="1" customHeight="1" x14ac:dyDescent="0.25">
      <c r="DX273" s="24">
        <v>271</v>
      </c>
      <c r="DY273" s="35">
        <v>135.5</v>
      </c>
      <c r="DZ273" s="47" t="s">
        <v>0</v>
      </c>
    </row>
    <row r="274" spans="128:130" ht="39.950000000000003" hidden="1" customHeight="1" x14ac:dyDescent="0.25">
      <c r="DX274" s="24">
        <v>272</v>
      </c>
      <c r="DY274" s="35">
        <v>136</v>
      </c>
      <c r="DZ274" s="47" t="s">
        <v>0</v>
      </c>
    </row>
    <row r="275" spans="128:130" ht="39.950000000000003" hidden="1" customHeight="1" x14ac:dyDescent="0.25">
      <c r="DX275" s="24">
        <v>273</v>
      </c>
      <c r="DY275" s="35">
        <v>136.5</v>
      </c>
      <c r="DZ275" s="47" t="s">
        <v>0</v>
      </c>
    </row>
    <row r="276" spans="128:130" ht="39.950000000000003" hidden="1" customHeight="1" x14ac:dyDescent="0.25">
      <c r="DX276" s="24">
        <v>274</v>
      </c>
      <c r="DY276" s="35">
        <v>137</v>
      </c>
      <c r="DZ276" s="47" t="s">
        <v>0</v>
      </c>
    </row>
    <row r="277" spans="128:130" ht="39.950000000000003" hidden="1" customHeight="1" x14ac:dyDescent="0.25">
      <c r="DX277" s="24">
        <v>275</v>
      </c>
      <c r="DY277" s="35">
        <v>137.5</v>
      </c>
      <c r="DZ277" s="47" t="s">
        <v>0</v>
      </c>
    </row>
    <row r="278" spans="128:130" ht="39.950000000000003" hidden="1" customHeight="1" x14ac:dyDescent="0.25">
      <c r="DX278" s="24">
        <v>276</v>
      </c>
      <c r="DY278" s="35">
        <v>138</v>
      </c>
      <c r="DZ278" s="47" t="s">
        <v>0</v>
      </c>
    </row>
    <row r="279" spans="128:130" ht="39.950000000000003" hidden="1" customHeight="1" x14ac:dyDescent="0.25">
      <c r="DX279" s="24">
        <v>277</v>
      </c>
      <c r="DY279" s="35">
        <v>138.5</v>
      </c>
      <c r="DZ279" s="47" t="s">
        <v>0</v>
      </c>
    </row>
    <row r="280" spans="128:130" ht="39.950000000000003" hidden="1" customHeight="1" x14ac:dyDescent="0.25">
      <c r="DX280" s="24">
        <v>278</v>
      </c>
      <c r="DY280" s="35">
        <v>139</v>
      </c>
      <c r="DZ280" s="47" t="s">
        <v>0</v>
      </c>
    </row>
    <row r="281" spans="128:130" ht="39.950000000000003" hidden="1" customHeight="1" x14ac:dyDescent="0.25">
      <c r="DX281" s="24">
        <v>279</v>
      </c>
      <c r="DY281" s="35">
        <v>139.5</v>
      </c>
      <c r="DZ281" s="47" t="s">
        <v>0</v>
      </c>
    </row>
    <row r="282" spans="128:130" ht="39.950000000000003" hidden="1" customHeight="1" x14ac:dyDescent="0.25">
      <c r="DX282" s="24">
        <v>280</v>
      </c>
      <c r="DY282" s="35">
        <v>140</v>
      </c>
      <c r="DZ282" s="47" t="s">
        <v>0</v>
      </c>
    </row>
    <row r="283" spans="128:130" ht="39.950000000000003" hidden="1" customHeight="1" x14ac:dyDescent="0.25">
      <c r="DX283" s="24">
        <v>281</v>
      </c>
      <c r="DY283" s="35">
        <v>140.5</v>
      </c>
      <c r="DZ283" s="47" t="s">
        <v>0</v>
      </c>
    </row>
    <row r="284" spans="128:130" ht="39.950000000000003" hidden="1" customHeight="1" x14ac:dyDescent="0.25">
      <c r="DX284" s="24">
        <v>282</v>
      </c>
      <c r="DY284" s="35">
        <v>141</v>
      </c>
      <c r="DZ284" s="47" t="s">
        <v>0</v>
      </c>
    </row>
    <row r="285" spans="128:130" ht="39.950000000000003" hidden="1" customHeight="1" x14ac:dyDescent="0.25">
      <c r="DX285" s="24">
        <v>283</v>
      </c>
      <c r="DY285" s="35">
        <v>141.5</v>
      </c>
      <c r="DZ285" s="47" t="s">
        <v>0</v>
      </c>
    </row>
    <row r="286" spans="128:130" ht="39.950000000000003" hidden="1" customHeight="1" x14ac:dyDescent="0.25">
      <c r="DX286" s="24">
        <v>284</v>
      </c>
      <c r="DY286" s="35">
        <v>142</v>
      </c>
      <c r="DZ286" s="47" t="s">
        <v>0</v>
      </c>
    </row>
    <row r="287" spans="128:130" ht="39.950000000000003" hidden="1" customHeight="1" x14ac:dyDescent="0.25">
      <c r="DX287" s="24">
        <v>285</v>
      </c>
      <c r="DY287" s="35">
        <v>142.5</v>
      </c>
      <c r="DZ287" s="47" t="s">
        <v>0</v>
      </c>
    </row>
    <row r="288" spans="128:130" ht="39.950000000000003" hidden="1" customHeight="1" x14ac:dyDescent="0.25">
      <c r="DX288" s="24">
        <v>286</v>
      </c>
      <c r="DY288" s="35">
        <v>143</v>
      </c>
      <c r="DZ288" s="47" t="s">
        <v>0</v>
      </c>
    </row>
    <row r="289" spans="128:130" ht="39.950000000000003" hidden="1" customHeight="1" x14ac:dyDescent="0.25">
      <c r="DX289" s="24">
        <v>287</v>
      </c>
      <c r="DY289" s="35">
        <v>143.5</v>
      </c>
      <c r="DZ289" s="47" t="s">
        <v>0</v>
      </c>
    </row>
    <row r="290" spans="128:130" ht="39.950000000000003" hidden="1" customHeight="1" x14ac:dyDescent="0.25">
      <c r="DX290" s="24">
        <v>288</v>
      </c>
      <c r="DY290" s="35">
        <v>144</v>
      </c>
      <c r="DZ290" s="47" t="s">
        <v>0</v>
      </c>
    </row>
    <row r="291" spans="128:130" ht="39.950000000000003" hidden="1" customHeight="1" x14ac:dyDescent="0.25">
      <c r="DX291" s="24">
        <v>289</v>
      </c>
      <c r="DY291" s="35">
        <v>144.5</v>
      </c>
      <c r="DZ291" s="47" t="s">
        <v>0</v>
      </c>
    </row>
    <row r="292" spans="128:130" ht="39.950000000000003" hidden="1" customHeight="1" x14ac:dyDescent="0.25">
      <c r="DX292" s="24">
        <v>290</v>
      </c>
      <c r="DY292" s="35">
        <v>145</v>
      </c>
      <c r="DZ292" s="47" t="s">
        <v>0</v>
      </c>
    </row>
    <row r="293" spans="128:130" ht="39.950000000000003" hidden="1" customHeight="1" x14ac:dyDescent="0.25">
      <c r="DX293" s="24">
        <v>291</v>
      </c>
      <c r="DY293" s="35">
        <v>145.5</v>
      </c>
      <c r="DZ293" s="47" t="s">
        <v>0</v>
      </c>
    </row>
    <row r="294" spans="128:130" ht="39.950000000000003" hidden="1" customHeight="1" x14ac:dyDescent="0.25">
      <c r="DX294" s="24">
        <v>292</v>
      </c>
      <c r="DY294" s="35">
        <v>146</v>
      </c>
      <c r="DZ294" s="47" t="s">
        <v>0</v>
      </c>
    </row>
    <row r="295" spans="128:130" ht="39.950000000000003" hidden="1" customHeight="1" x14ac:dyDescent="0.25">
      <c r="DX295" s="24">
        <v>293</v>
      </c>
      <c r="DY295" s="35">
        <v>146.5</v>
      </c>
      <c r="DZ295" s="47" t="s">
        <v>0</v>
      </c>
    </row>
    <row r="296" spans="128:130" ht="39.950000000000003" hidden="1" customHeight="1" x14ac:dyDescent="0.25">
      <c r="DX296" s="24">
        <v>294</v>
      </c>
      <c r="DY296" s="35">
        <v>147</v>
      </c>
      <c r="DZ296" s="47" t="s">
        <v>0</v>
      </c>
    </row>
    <row r="297" spans="128:130" ht="39.950000000000003" hidden="1" customHeight="1" x14ac:dyDescent="0.25">
      <c r="DX297" s="24">
        <v>295</v>
      </c>
      <c r="DY297" s="35">
        <v>147.5</v>
      </c>
      <c r="DZ297" s="47" t="s">
        <v>0</v>
      </c>
    </row>
    <row r="298" spans="128:130" ht="39.950000000000003" hidden="1" customHeight="1" x14ac:dyDescent="0.25">
      <c r="DX298" s="24">
        <v>296</v>
      </c>
      <c r="DY298" s="35">
        <v>148</v>
      </c>
      <c r="DZ298" s="47" t="s">
        <v>0</v>
      </c>
    </row>
    <row r="299" spans="128:130" ht="39.950000000000003" hidden="1" customHeight="1" x14ac:dyDescent="0.25">
      <c r="DX299" s="24">
        <v>297</v>
      </c>
      <c r="DY299" s="35">
        <v>148.5</v>
      </c>
      <c r="DZ299" s="47" t="s">
        <v>0</v>
      </c>
    </row>
    <row r="300" spans="128:130" ht="39.950000000000003" hidden="1" customHeight="1" x14ac:dyDescent="0.25">
      <c r="DX300" s="24">
        <v>298</v>
      </c>
      <c r="DY300" s="35">
        <v>149</v>
      </c>
      <c r="DZ300" s="47" t="s">
        <v>0</v>
      </c>
    </row>
    <row r="301" spans="128:130" ht="39.950000000000003" hidden="1" customHeight="1" x14ac:dyDescent="0.25">
      <c r="DX301" s="24">
        <v>299</v>
      </c>
      <c r="DY301" s="35">
        <v>149.5</v>
      </c>
      <c r="DZ301" s="47" t="s">
        <v>0</v>
      </c>
    </row>
    <row r="302" spans="128:130" ht="39.950000000000003" hidden="1" customHeight="1" x14ac:dyDescent="0.25">
      <c r="DX302" s="24">
        <v>300</v>
      </c>
      <c r="DY302" s="35">
        <v>150</v>
      </c>
      <c r="DZ302" s="47" t="s">
        <v>0</v>
      </c>
    </row>
    <row r="303" spans="128:130" ht="39.950000000000003" hidden="1" customHeight="1" x14ac:dyDescent="0.25">
      <c r="DX303" s="24">
        <v>301</v>
      </c>
      <c r="DY303" s="35">
        <v>150.5</v>
      </c>
      <c r="DZ303" s="47" t="s">
        <v>0</v>
      </c>
    </row>
    <row r="304" spans="128:130" ht="39.950000000000003" hidden="1" customHeight="1" x14ac:dyDescent="0.25">
      <c r="DX304" s="24">
        <v>302</v>
      </c>
      <c r="DY304" s="35">
        <v>151</v>
      </c>
      <c r="DZ304" s="47" t="s">
        <v>0</v>
      </c>
    </row>
    <row r="305" spans="128:130" ht="39.950000000000003" hidden="1" customHeight="1" x14ac:dyDescent="0.25">
      <c r="DX305" s="24">
        <v>303</v>
      </c>
      <c r="DY305" s="35">
        <v>151.5</v>
      </c>
      <c r="DZ305" s="47" t="s">
        <v>0</v>
      </c>
    </row>
    <row r="306" spans="128:130" ht="39.950000000000003" hidden="1" customHeight="1" x14ac:dyDescent="0.25">
      <c r="DX306" s="24">
        <v>304</v>
      </c>
      <c r="DY306" s="35">
        <v>152</v>
      </c>
      <c r="DZ306" s="47" t="s">
        <v>0</v>
      </c>
    </row>
    <row r="307" spans="128:130" ht="39.950000000000003" hidden="1" customHeight="1" x14ac:dyDescent="0.25">
      <c r="DX307" s="24">
        <v>305</v>
      </c>
      <c r="DY307" s="35">
        <v>152.5</v>
      </c>
      <c r="DZ307" s="47" t="s">
        <v>0</v>
      </c>
    </row>
    <row r="308" spans="128:130" ht="39.950000000000003" hidden="1" customHeight="1" x14ac:dyDescent="0.25">
      <c r="DX308" s="24">
        <v>306</v>
      </c>
      <c r="DY308" s="35">
        <v>153</v>
      </c>
      <c r="DZ308" s="47" t="s">
        <v>0</v>
      </c>
    </row>
    <row r="309" spans="128:130" ht="39.950000000000003" hidden="1" customHeight="1" x14ac:dyDescent="0.25">
      <c r="DX309" s="24">
        <v>307</v>
      </c>
      <c r="DY309" s="35">
        <v>153.5</v>
      </c>
      <c r="DZ309" s="47" t="s">
        <v>0</v>
      </c>
    </row>
    <row r="310" spans="128:130" ht="39.950000000000003" hidden="1" customHeight="1" x14ac:dyDescent="0.25">
      <c r="DX310" s="24">
        <v>308</v>
      </c>
      <c r="DY310" s="35">
        <v>154</v>
      </c>
      <c r="DZ310" s="47" t="s">
        <v>0</v>
      </c>
    </row>
    <row r="311" spans="128:130" ht="39.950000000000003" hidden="1" customHeight="1" x14ac:dyDescent="0.25">
      <c r="DX311" s="24">
        <v>309</v>
      </c>
      <c r="DY311" s="35">
        <v>154.5</v>
      </c>
      <c r="DZ311" s="47" t="s">
        <v>0</v>
      </c>
    </row>
    <row r="312" spans="128:130" ht="39.950000000000003" hidden="1" customHeight="1" x14ac:dyDescent="0.25">
      <c r="DX312" s="24">
        <v>310</v>
      </c>
      <c r="DY312" s="35">
        <v>155</v>
      </c>
      <c r="DZ312" s="47" t="s">
        <v>0</v>
      </c>
    </row>
    <row r="313" spans="128:130" ht="39.950000000000003" hidden="1" customHeight="1" x14ac:dyDescent="0.25">
      <c r="DX313" s="24">
        <v>311</v>
      </c>
      <c r="DY313" s="35">
        <v>155.5</v>
      </c>
      <c r="DZ313" s="47" t="s">
        <v>0</v>
      </c>
    </row>
    <row r="314" spans="128:130" ht="39.950000000000003" hidden="1" customHeight="1" x14ac:dyDescent="0.25">
      <c r="DX314" s="24">
        <v>312</v>
      </c>
      <c r="DY314" s="35">
        <v>156</v>
      </c>
      <c r="DZ314" s="47" t="s">
        <v>0</v>
      </c>
    </row>
    <row r="315" spans="128:130" ht="39.950000000000003" hidden="1" customHeight="1" x14ac:dyDescent="0.25">
      <c r="DX315" s="24">
        <v>313</v>
      </c>
      <c r="DY315" s="35">
        <v>156.5</v>
      </c>
      <c r="DZ315" s="47" t="s">
        <v>0</v>
      </c>
    </row>
    <row r="316" spans="128:130" ht="39.950000000000003" hidden="1" customHeight="1" x14ac:dyDescent="0.25">
      <c r="DX316" s="24">
        <v>314</v>
      </c>
      <c r="DY316" s="35">
        <v>157</v>
      </c>
      <c r="DZ316" s="47" t="s">
        <v>0</v>
      </c>
    </row>
    <row r="317" spans="128:130" ht="39.950000000000003" hidden="1" customHeight="1" x14ac:dyDescent="0.25">
      <c r="DX317" s="24">
        <v>315</v>
      </c>
      <c r="DY317" s="35">
        <v>157.5</v>
      </c>
      <c r="DZ317" s="47" t="s">
        <v>0</v>
      </c>
    </row>
    <row r="318" spans="128:130" ht="39.950000000000003" hidden="1" customHeight="1" x14ac:dyDescent="0.25">
      <c r="DX318" s="24">
        <v>316</v>
      </c>
      <c r="DY318" s="35">
        <v>158</v>
      </c>
      <c r="DZ318" s="47" t="s">
        <v>0</v>
      </c>
    </row>
    <row r="319" spans="128:130" ht="39.950000000000003" hidden="1" customHeight="1" x14ac:dyDescent="0.25">
      <c r="DX319" s="24">
        <v>317</v>
      </c>
      <c r="DY319" s="35">
        <v>158.5</v>
      </c>
      <c r="DZ319" s="47" t="s">
        <v>0</v>
      </c>
    </row>
    <row r="320" spans="128:130" ht="39.950000000000003" hidden="1" customHeight="1" x14ac:dyDescent="0.25">
      <c r="DX320" s="24">
        <v>318</v>
      </c>
      <c r="DY320" s="35">
        <v>159</v>
      </c>
      <c r="DZ320" s="47" t="s">
        <v>0</v>
      </c>
    </row>
    <row r="321" spans="128:130" ht="39.950000000000003" hidden="1" customHeight="1" x14ac:dyDescent="0.25">
      <c r="DX321" s="24">
        <v>319</v>
      </c>
      <c r="DY321" s="35">
        <v>159.5</v>
      </c>
      <c r="DZ321" s="47" t="s">
        <v>0</v>
      </c>
    </row>
    <row r="322" spans="128:130" ht="39.950000000000003" hidden="1" customHeight="1" x14ac:dyDescent="0.25">
      <c r="DX322" s="24">
        <v>320</v>
      </c>
      <c r="DY322" s="35">
        <v>160</v>
      </c>
      <c r="DZ322" s="47" t="s">
        <v>0</v>
      </c>
    </row>
    <row r="323" spans="128:130" ht="39.950000000000003" hidden="1" customHeight="1" x14ac:dyDescent="0.25">
      <c r="DX323" s="24">
        <v>321</v>
      </c>
      <c r="DY323" s="35">
        <v>160.5</v>
      </c>
      <c r="DZ323" s="47" t="s">
        <v>0</v>
      </c>
    </row>
    <row r="324" spans="128:130" ht="39.950000000000003" hidden="1" customHeight="1" x14ac:dyDescent="0.25">
      <c r="DX324" s="24">
        <v>322</v>
      </c>
      <c r="DY324" s="35">
        <v>161</v>
      </c>
      <c r="DZ324" s="47" t="s">
        <v>0</v>
      </c>
    </row>
    <row r="325" spans="128:130" ht="39.950000000000003" hidden="1" customHeight="1" x14ac:dyDescent="0.25">
      <c r="DX325" s="24">
        <v>323</v>
      </c>
      <c r="DY325" s="35">
        <v>161.5</v>
      </c>
      <c r="DZ325" s="47" t="s">
        <v>0</v>
      </c>
    </row>
    <row r="326" spans="128:130" ht="39.950000000000003" hidden="1" customHeight="1" x14ac:dyDescent="0.25">
      <c r="DX326" s="24">
        <v>324</v>
      </c>
      <c r="DY326" s="35">
        <v>162</v>
      </c>
      <c r="DZ326" s="47" t="s">
        <v>0</v>
      </c>
    </row>
    <row r="327" spans="128:130" ht="39.950000000000003" hidden="1" customHeight="1" x14ac:dyDescent="0.25">
      <c r="DX327" s="24">
        <v>325</v>
      </c>
      <c r="DY327" s="35">
        <v>162.5</v>
      </c>
      <c r="DZ327" s="47" t="s">
        <v>0</v>
      </c>
    </row>
    <row r="328" spans="128:130" ht="39.950000000000003" hidden="1" customHeight="1" x14ac:dyDescent="0.25">
      <c r="DX328" s="24">
        <v>326</v>
      </c>
      <c r="DY328" s="35">
        <v>163</v>
      </c>
      <c r="DZ328" s="47" t="s">
        <v>0</v>
      </c>
    </row>
    <row r="329" spans="128:130" ht="39.950000000000003" hidden="1" customHeight="1" x14ac:dyDescent="0.25">
      <c r="DX329" s="24">
        <v>327</v>
      </c>
      <c r="DY329" s="35">
        <v>163.5</v>
      </c>
      <c r="DZ329" s="47" t="s">
        <v>0</v>
      </c>
    </row>
    <row r="330" spans="128:130" ht="39.950000000000003" hidden="1" customHeight="1" x14ac:dyDescent="0.25">
      <c r="DX330" s="24">
        <v>328</v>
      </c>
      <c r="DY330" s="35">
        <v>164</v>
      </c>
      <c r="DZ330" s="47" t="s">
        <v>0</v>
      </c>
    </row>
    <row r="331" spans="128:130" ht="39.950000000000003" hidden="1" customHeight="1" x14ac:dyDescent="0.25">
      <c r="DX331" s="24">
        <v>329</v>
      </c>
      <c r="DY331" s="35">
        <v>164.5</v>
      </c>
      <c r="DZ331" s="47" t="s">
        <v>0</v>
      </c>
    </row>
    <row r="332" spans="128:130" ht="39.950000000000003" hidden="1" customHeight="1" x14ac:dyDescent="0.25">
      <c r="DX332" s="24">
        <v>330</v>
      </c>
      <c r="DY332" s="35">
        <v>165</v>
      </c>
      <c r="DZ332" s="47" t="s">
        <v>0</v>
      </c>
    </row>
    <row r="333" spans="128:130" ht="39.950000000000003" hidden="1" customHeight="1" x14ac:dyDescent="0.25">
      <c r="DX333" s="24">
        <v>331</v>
      </c>
      <c r="DY333" s="35">
        <v>165.5</v>
      </c>
      <c r="DZ333" s="47" t="s">
        <v>0</v>
      </c>
    </row>
    <row r="334" spans="128:130" ht="39.950000000000003" hidden="1" customHeight="1" x14ac:dyDescent="0.25">
      <c r="DX334" s="24">
        <v>332</v>
      </c>
      <c r="DY334" s="35">
        <v>166</v>
      </c>
      <c r="DZ334" s="47" t="s">
        <v>0</v>
      </c>
    </row>
    <row r="335" spans="128:130" ht="39.950000000000003" hidden="1" customHeight="1" x14ac:dyDescent="0.25">
      <c r="DX335" s="24">
        <v>333</v>
      </c>
      <c r="DY335" s="35">
        <v>166.5</v>
      </c>
      <c r="DZ335" s="47" t="s">
        <v>0</v>
      </c>
    </row>
    <row r="336" spans="128:130" ht="39.950000000000003" hidden="1" customHeight="1" x14ac:dyDescent="0.25">
      <c r="DX336" s="24">
        <v>334</v>
      </c>
      <c r="DY336" s="35">
        <v>167</v>
      </c>
      <c r="DZ336" s="47" t="s">
        <v>0</v>
      </c>
    </row>
    <row r="337" spans="128:130" ht="39.950000000000003" hidden="1" customHeight="1" x14ac:dyDescent="0.25">
      <c r="DX337" s="24">
        <v>335</v>
      </c>
      <c r="DY337" s="35">
        <v>167.5</v>
      </c>
      <c r="DZ337" s="47" t="s">
        <v>0</v>
      </c>
    </row>
    <row r="338" spans="128:130" ht="39.950000000000003" hidden="1" customHeight="1" x14ac:dyDescent="0.25">
      <c r="DX338" s="24">
        <v>336</v>
      </c>
      <c r="DY338" s="35">
        <v>168</v>
      </c>
      <c r="DZ338" s="47" t="s">
        <v>0</v>
      </c>
    </row>
    <row r="339" spans="128:130" ht="39.950000000000003" hidden="1" customHeight="1" x14ac:dyDescent="0.25">
      <c r="DX339" s="24">
        <v>337</v>
      </c>
      <c r="DY339" s="35">
        <v>168.5</v>
      </c>
      <c r="DZ339" s="47" t="s">
        <v>0</v>
      </c>
    </row>
    <row r="340" spans="128:130" ht="39.950000000000003" hidden="1" customHeight="1" x14ac:dyDescent="0.25">
      <c r="DX340" s="24">
        <v>338</v>
      </c>
      <c r="DY340" s="35">
        <v>169</v>
      </c>
      <c r="DZ340" s="47" t="s">
        <v>0</v>
      </c>
    </row>
    <row r="341" spans="128:130" ht="39.950000000000003" hidden="1" customHeight="1" x14ac:dyDescent="0.25">
      <c r="DX341" s="24">
        <v>339</v>
      </c>
      <c r="DY341" s="35">
        <v>169.5</v>
      </c>
      <c r="DZ341" s="47" t="s">
        <v>0</v>
      </c>
    </row>
    <row r="342" spans="128:130" ht="39.950000000000003" hidden="1" customHeight="1" x14ac:dyDescent="0.25">
      <c r="DX342" s="24">
        <v>340</v>
      </c>
      <c r="DY342" s="35">
        <v>170</v>
      </c>
      <c r="DZ342" s="47" t="s">
        <v>0</v>
      </c>
    </row>
    <row r="343" spans="128:130" ht="39.950000000000003" hidden="1" customHeight="1" x14ac:dyDescent="0.25">
      <c r="DX343" s="24">
        <v>341</v>
      </c>
      <c r="DY343" s="35">
        <v>170.5</v>
      </c>
      <c r="DZ343" s="47" t="s">
        <v>0</v>
      </c>
    </row>
    <row r="344" spans="128:130" ht="39.950000000000003" hidden="1" customHeight="1" x14ac:dyDescent="0.25">
      <c r="DX344" s="24">
        <v>342</v>
      </c>
      <c r="DY344" s="35">
        <v>171</v>
      </c>
      <c r="DZ344" s="47" t="s">
        <v>0</v>
      </c>
    </row>
    <row r="345" spans="128:130" ht="39.950000000000003" hidden="1" customHeight="1" x14ac:dyDescent="0.25">
      <c r="DX345" s="24">
        <v>343</v>
      </c>
      <c r="DY345" s="35">
        <v>171.5</v>
      </c>
      <c r="DZ345" s="47" t="s">
        <v>0</v>
      </c>
    </row>
    <row r="346" spans="128:130" ht="39.950000000000003" hidden="1" customHeight="1" x14ac:dyDescent="0.25">
      <c r="DX346" s="24">
        <v>344</v>
      </c>
      <c r="DY346" s="35">
        <v>172</v>
      </c>
      <c r="DZ346" s="47" t="s">
        <v>0</v>
      </c>
    </row>
    <row r="347" spans="128:130" ht="39.950000000000003" hidden="1" customHeight="1" x14ac:dyDescent="0.25">
      <c r="DX347" s="24">
        <v>345</v>
      </c>
      <c r="DY347" s="35">
        <v>172.5</v>
      </c>
      <c r="DZ347" s="47" t="s">
        <v>0</v>
      </c>
    </row>
    <row r="348" spans="128:130" ht="39.950000000000003" hidden="1" customHeight="1" x14ac:dyDescent="0.25">
      <c r="DX348" s="24">
        <v>346</v>
      </c>
      <c r="DY348" s="35">
        <v>173</v>
      </c>
      <c r="DZ348" s="47" t="s">
        <v>0</v>
      </c>
    </row>
    <row r="349" spans="128:130" ht="39.950000000000003" hidden="1" customHeight="1" x14ac:dyDescent="0.25">
      <c r="DX349" s="24">
        <v>347</v>
      </c>
      <c r="DY349" s="35">
        <v>173.5</v>
      </c>
      <c r="DZ349" s="47" t="s">
        <v>0</v>
      </c>
    </row>
    <row r="350" spans="128:130" ht="39.950000000000003" hidden="1" customHeight="1" x14ac:dyDescent="0.25">
      <c r="DX350" s="24">
        <v>348</v>
      </c>
      <c r="DY350" s="35">
        <v>174</v>
      </c>
      <c r="DZ350" s="47" t="s">
        <v>0</v>
      </c>
    </row>
    <row r="351" spans="128:130" ht="39.950000000000003" hidden="1" customHeight="1" x14ac:dyDescent="0.25">
      <c r="DX351" s="24">
        <v>349</v>
      </c>
      <c r="DY351" s="35">
        <v>174.5</v>
      </c>
      <c r="DZ351" s="47" t="s">
        <v>0</v>
      </c>
    </row>
    <row r="352" spans="128:130" ht="39.950000000000003" hidden="1" customHeight="1" x14ac:dyDescent="0.25">
      <c r="DX352" s="24">
        <v>350</v>
      </c>
      <c r="DY352" s="35">
        <v>175</v>
      </c>
      <c r="DZ352" s="47" t="s">
        <v>0</v>
      </c>
    </row>
    <row r="353" spans="128:130" ht="39.950000000000003" hidden="1" customHeight="1" x14ac:dyDescent="0.25">
      <c r="DX353" s="24">
        <v>351</v>
      </c>
      <c r="DY353" s="35">
        <v>175.5</v>
      </c>
      <c r="DZ353" s="47" t="s">
        <v>0</v>
      </c>
    </row>
    <row r="354" spans="128:130" ht="39.950000000000003" hidden="1" customHeight="1" x14ac:dyDescent="0.25">
      <c r="DX354" s="24">
        <v>352</v>
      </c>
      <c r="DY354" s="35">
        <v>176</v>
      </c>
      <c r="DZ354" s="47" t="s">
        <v>0</v>
      </c>
    </row>
    <row r="355" spans="128:130" ht="39.950000000000003" hidden="1" customHeight="1" x14ac:dyDescent="0.25">
      <c r="DX355" s="24">
        <v>353</v>
      </c>
      <c r="DY355" s="35">
        <v>176.5</v>
      </c>
      <c r="DZ355" s="47" t="s">
        <v>0</v>
      </c>
    </row>
    <row r="356" spans="128:130" ht="39.950000000000003" hidden="1" customHeight="1" x14ac:dyDescent="0.25">
      <c r="DX356" s="24">
        <v>354</v>
      </c>
      <c r="DY356" s="35">
        <v>177</v>
      </c>
      <c r="DZ356" s="47" t="s">
        <v>0</v>
      </c>
    </row>
    <row r="357" spans="128:130" ht="39.950000000000003" hidden="1" customHeight="1" x14ac:dyDescent="0.25">
      <c r="DX357" s="24">
        <v>355</v>
      </c>
      <c r="DY357" s="35">
        <v>177.5</v>
      </c>
      <c r="DZ357" s="47" t="s">
        <v>0</v>
      </c>
    </row>
    <row r="358" spans="128:130" ht="39.950000000000003" hidden="1" customHeight="1" x14ac:dyDescent="0.25">
      <c r="DX358" s="24">
        <v>356</v>
      </c>
      <c r="DY358" s="35">
        <v>178</v>
      </c>
      <c r="DZ358" s="47" t="s">
        <v>0</v>
      </c>
    </row>
    <row r="359" spans="128:130" ht="39.950000000000003" hidden="1" customHeight="1" x14ac:dyDescent="0.25">
      <c r="DX359" s="24">
        <v>357</v>
      </c>
      <c r="DY359" s="35">
        <v>178.5</v>
      </c>
      <c r="DZ359" s="47" t="s">
        <v>0</v>
      </c>
    </row>
    <row r="360" spans="128:130" ht="39.950000000000003" hidden="1" customHeight="1" x14ac:dyDescent="0.25">
      <c r="DX360" s="24">
        <v>358</v>
      </c>
      <c r="DY360" s="35">
        <v>179</v>
      </c>
      <c r="DZ360" s="47" t="s">
        <v>0</v>
      </c>
    </row>
    <row r="361" spans="128:130" ht="39.950000000000003" hidden="1" customHeight="1" x14ac:dyDescent="0.25">
      <c r="DX361" s="24">
        <v>359</v>
      </c>
      <c r="DY361" s="35">
        <v>179.5</v>
      </c>
      <c r="DZ361" s="47" t="s">
        <v>0</v>
      </c>
    </row>
    <row r="362" spans="128:130" ht="39.950000000000003" hidden="1" customHeight="1" x14ac:dyDescent="0.25">
      <c r="DX362" s="24">
        <v>360</v>
      </c>
      <c r="DY362" s="35">
        <v>180</v>
      </c>
      <c r="DZ362" s="47" t="s">
        <v>0</v>
      </c>
    </row>
    <row r="363" spans="128:130" ht="9.9499999999999993" hidden="1" customHeight="1" x14ac:dyDescent="0.25"/>
  </sheetData>
  <sheetProtection algorithmName="SHA-512" hashValue="7t5Ec4jcldLJiV7bokRFN09EQq3kH9zeqMTKnKjkcIaGrQPiPAX3t72aGdNpcApAy6mIzMVfeOzplMLOCKmf6w==" saltValue="WUdQLn4BKh+IpkKoy19ubw==" spinCount="100000" sheet="1" objects="1" scenarios="1" selectLockedCells="1"/>
  <mergeCells count="31">
    <mergeCell ref="N1:N14"/>
    <mergeCell ref="H1:H14"/>
    <mergeCell ref="A28:B28"/>
    <mergeCell ref="D1:D14"/>
    <mergeCell ref="A27:B27"/>
    <mergeCell ref="Q1:Q14"/>
    <mergeCell ref="C1:C14"/>
    <mergeCell ref="A1:A14"/>
    <mergeCell ref="B1:B14"/>
    <mergeCell ref="G1:G14"/>
    <mergeCell ref="F1:F14"/>
    <mergeCell ref="E1:E14"/>
    <mergeCell ref="M1:M14"/>
    <mergeCell ref="I1:I14"/>
    <mergeCell ref="J1:J14"/>
    <mergeCell ref="K1:K14"/>
    <mergeCell ref="L1:L14"/>
    <mergeCell ref="AC1:AC28"/>
    <mergeCell ref="O1:O14"/>
    <mergeCell ref="P1:P14"/>
    <mergeCell ref="AD2:AD27"/>
    <mergeCell ref="AF2:AF27"/>
    <mergeCell ref="AE2:AE27"/>
    <mergeCell ref="AD1:AF1"/>
    <mergeCell ref="R1:R14"/>
    <mergeCell ref="Y1:Y28"/>
    <mergeCell ref="AD28:AF28"/>
    <mergeCell ref="S1:S14"/>
    <mergeCell ref="Z1:Z28"/>
    <mergeCell ref="U1:U14"/>
    <mergeCell ref="T1:T14"/>
  </mergeCells>
  <phoneticPr fontId="4" type="noConversion"/>
  <dataValidations count="10">
    <dataValidation type="list" allowBlank="1" showInputMessage="1" showErrorMessage="1" sqref="J15:J26 BP4:BP7 BP10:BP13 CH4:CH7" xr:uid="{00000000-0002-0000-0000-00001D000000}">
      <formula1>"Yok, Var"</formula1>
    </dataValidation>
    <dataValidation type="list" allowBlank="1" showInputMessage="1" showErrorMessage="1" sqref="R15:R26" xr:uid="{B4563369-E034-4C6D-8A90-22A0EAFCAC54}">
      <formula1>$DZ$2:$DZ$50</formula1>
    </dataValidation>
    <dataValidation type="list" allowBlank="1" showInputMessage="1" showErrorMessage="1" sqref="Y1:Y28" xr:uid="{9054E20C-415A-4A28-9A83-E6387959DADB}">
      <formula1>"Ocak, Şubat, Mart, Nisan, Mayıs, Haziran, Temmuz, Ağustos, Eylül, Ekim, Kasım, Aralık, Yıllık Toplam, Yıllık Ortalama"</formula1>
    </dataValidation>
    <dataValidation type="list" allowBlank="1" showInputMessage="1" showErrorMessage="1" sqref="AP18" xr:uid="{E78907BA-7A5C-4BC5-9626-30F7C79A3DA3}">
      <formula1>#REF!</formula1>
    </dataValidation>
    <dataValidation type="list" allowBlank="1" showInputMessage="1" showErrorMessage="1" sqref="D15:F26" xr:uid="{D16C9647-72F6-4D86-BCEE-3739AC9AC5F3}">
      <formula1>$DY$2:$DY$362</formula1>
    </dataValidation>
    <dataValidation type="list" allowBlank="1" showInputMessage="1" showErrorMessage="1" sqref="C15:C26 G15:I26 BM1:BM3 BG1:BG3 BJ1:BJ3 BO14:BO18 BL22:BL25 BI14:BI18 BF22:BF25 BL14:BL18 BI22:BI25" xr:uid="{65FACC1D-9377-4225-8D3E-97700607B264}">
      <formula1>$DX$2:$DX$362</formula1>
    </dataValidation>
    <dataValidation type="list" allowBlank="1" showInputMessage="1" showErrorMessage="1" sqref="K15:N26" xr:uid="{B6852485-2543-480E-B5B2-6639B75E91B7}">
      <formula1>$DX$2:$DX$7</formula1>
    </dataValidation>
    <dataValidation type="list" allowBlank="1" showInputMessage="1" showErrorMessage="1" sqref="A1:A14" xr:uid="{AE81A231-50A0-4C37-89AE-F70005CB0F11}">
      <formula1>$AG$1:$AG$34</formula1>
    </dataValidation>
    <dataValidation type="list" allowBlank="1" showInputMessage="1" showErrorMessage="1" sqref="O15:Q26" xr:uid="{D8E8A2D5-9E21-4B80-8C44-3ADE895A9299}">
      <formula1>$DM$1:$DM$21</formula1>
    </dataValidation>
    <dataValidation type="list" allowBlank="1" showInputMessage="1" showErrorMessage="1" sqref="AC1:AC28" xr:uid="{57318408-9FED-41AC-918F-4786F04B5D60}">
      <formula1>$AA$1:$AA$18</formula1>
    </dataValidation>
  </dataValidations>
  <printOptions horizontalCentered="1" verticalCentered="1"/>
  <pageMargins left="0" right="0" top="0" bottom="0" header="0" footer="0"/>
  <pageSetup paperSize="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17</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Özet Tablo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dc:creator>
  <dc:description/>
  <cp:lastModifiedBy>!</cp:lastModifiedBy>
  <cp:lastPrinted>2021-01-27T16:23:43Z</cp:lastPrinted>
  <dcterms:created xsi:type="dcterms:W3CDTF">2015-06-05T18:19:34Z</dcterms:created>
  <dcterms:modified xsi:type="dcterms:W3CDTF">2022-08-30T15:25:03Z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