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D:\Arif Gürer\Web Sayfası\Ödenekler Hesabı\01 - Genel Çalışmalar\Ödenekler Hesabı\"/>
    </mc:Choice>
  </mc:AlternateContent>
  <xr:revisionPtr revIDLastSave="0" documentId="13_ncr:1_{4316D565-E354-4A4D-A806-5E8F4332665E}" xr6:coauthVersionLast="47" xr6:coauthVersionMax="47" xr10:uidLastSave="{00000000-0000-0000-0000-000000000000}"/>
  <workbookProtection workbookAlgorithmName="SHA-512" workbookHashValue="VHq+bPucEJRCiScN+3ul/zN+epQHdK80ssJ29ENkC493yVg3I8cDKQpnh6AuObZrTt9y0DrfXQ4GFCUsWZAt8Q==" workbookSaltValue="BLnrD/pjuUooFQVA2q5SXw=="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2" i="130" l="1"/>
  <c r="AO23" i="130"/>
  <c r="AO24" i="130"/>
  <c r="AO25" i="130"/>
  <c r="BC4" i="130"/>
  <c r="BC5" i="130"/>
  <c r="BC6" i="130"/>
  <c r="BC7" i="130"/>
  <c r="BC8" i="130"/>
  <c r="BC9" i="130"/>
  <c r="BC10" i="130"/>
  <c r="BC11" i="130"/>
  <c r="AO22" i="130"/>
  <c r="CN18" i="130" l="1"/>
  <c r="BW18" i="130"/>
  <c r="CN17" i="130"/>
  <c r="BW17" i="130"/>
  <c r="CK25" i="130"/>
  <c r="BT25" i="130"/>
  <c r="CK24" i="130"/>
  <c r="BT24" i="130"/>
  <c r="CK23" i="130"/>
  <c r="BT23" i="130"/>
  <c r="CK22" i="130"/>
  <c r="BT22" i="130"/>
  <c r="CN16" i="130"/>
  <c r="BW16" i="130"/>
  <c r="CN15" i="130"/>
  <c r="BW15" i="130"/>
  <c r="CN14" i="130"/>
  <c r="BW14" i="130"/>
  <c r="BD28" i="130"/>
  <c r="BU3" i="130"/>
  <c r="BD27" i="130"/>
  <c r="BU2" i="130"/>
  <c r="BD26" i="130"/>
  <c r="BU1" i="130"/>
  <c r="BW19" i="130" l="1"/>
  <c r="BW20" i="130" s="1"/>
  <c r="BN11" i="130" l="1"/>
  <c r="BN12" i="130"/>
  <c r="BN13" i="130"/>
  <c r="CF4" i="130"/>
  <c r="CF5" i="130"/>
  <c r="CF6" i="130"/>
  <c r="CF7" i="130"/>
  <c r="BN4" i="130"/>
  <c r="BN5" i="130"/>
  <c r="BN6" i="130"/>
  <c r="BN7" i="130"/>
  <c r="BN10" i="130"/>
  <c r="BP2" i="130" l="1"/>
  <c r="BP3" i="130"/>
  <c r="BR14" i="130"/>
  <c r="BR15" i="130"/>
  <c r="BR16" i="130"/>
  <c r="BO22" i="130"/>
  <c r="BO23" i="130"/>
  <c r="BO24" i="130"/>
  <c r="BO25" i="130"/>
  <c r="BR17" i="130"/>
  <c r="BR18" i="130"/>
  <c r="BP1" i="130"/>
  <c r="I27" i="130"/>
  <c r="BN2" i="130"/>
  <c r="BN3" i="130"/>
  <c r="BP14" i="130"/>
  <c r="BP15" i="130"/>
  <c r="BP16" i="130"/>
  <c r="BM22" i="130"/>
  <c r="BM23" i="130"/>
  <c r="BM24" i="130"/>
  <c r="BM25" i="130"/>
  <c r="BP17" i="130"/>
  <c r="BP18" i="130"/>
  <c r="BN1" i="130"/>
  <c r="BO19" i="130"/>
  <c r="BK2" i="130"/>
  <c r="BK3" i="130"/>
  <c r="BM14" i="130"/>
  <c r="BM15" i="130"/>
  <c r="BM16" i="130"/>
  <c r="BJ22" i="130"/>
  <c r="BJ23" i="130"/>
  <c r="BJ24" i="130"/>
  <c r="BJ25" i="130"/>
  <c r="BM17" i="130"/>
  <c r="BM18" i="130"/>
  <c r="BK1" i="130"/>
  <c r="BB23" i="130"/>
  <c r="BB24" i="130"/>
  <c r="BB25" i="130"/>
  <c r="BE17" i="130"/>
  <c r="BE18" i="130"/>
  <c r="BB22" i="130"/>
  <c r="BC2" i="130"/>
  <c r="BC3" i="130"/>
  <c r="BE14" i="130"/>
  <c r="BE15" i="130"/>
  <c r="BE16" i="130"/>
  <c r="BC1" i="130"/>
  <c r="BP19" i="130" l="1"/>
  <c r="BP20" i="130" s="1"/>
  <c r="BR19" i="130"/>
  <c r="BR20" i="130" s="1"/>
  <c r="AL16" i="130"/>
  <c r="AY16" i="130" s="1"/>
  <c r="AL17" i="130"/>
  <c r="AY17" i="130" s="1"/>
  <c r="AL18" i="130"/>
  <c r="AY18" i="130" s="1"/>
  <c r="AL19" i="130"/>
  <c r="AY19" i="130" s="1"/>
  <c r="BA4" i="130" s="1"/>
  <c r="AL20" i="130"/>
  <c r="AY20" i="130" s="1"/>
  <c r="BA5" i="130" s="1"/>
  <c r="AL21" i="130"/>
  <c r="AY21" i="130" s="1"/>
  <c r="AW1" i="130"/>
  <c r="AT11" i="130" s="1"/>
  <c r="AW2" i="130"/>
  <c r="AT12" i="130" s="1"/>
  <c r="AW3" i="130"/>
  <c r="AT13" i="130" s="1"/>
  <c r="AS7" i="130"/>
  <c r="AT14" i="130" s="1"/>
  <c r="AS8" i="130"/>
  <c r="AT26" i="130" s="1"/>
  <c r="AL15" i="130"/>
  <c r="AY15" i="130" s="1"/>
  <c r="B1" i="130"/>
  <c r="AR26" i="130"/>
  <c r="AY11" i="130" s="1"/>
  <c r="AR14" i="130"/>
  <c r="AY10" i="130" s="1"/>
  <c r="AR13" i="130"/>
  <c r="AY9" i="130" s="1"/>
  <c r="AR12" i="130"/>
  <c r="AY8" i="130" s="1"/>
  <c r="AR11" i="130"/>
  <c r="AY7" i="130" s="1"/>
  <c r="AW21" i="130"/>
  <c r="AY6" i="130" s="1"/>
  <c r="AW20" i="130"/>
  <c r="AY5" i="130" s="1"/>
  <c r="AW19" i="130"/>
  <c r="AY4" i="130" s="1"/>
  <c r="AW18" i="130"/>
  <c r="AK25" i="130" s="1"/>
  <c r="AW17" i="130"/>
  <c r="AK24" i="130" s="1"/>
  <c r="AW16" i="130"/>
  <c r="AK23" i="130" s="1"/>
  <c r="AW15" i="130"/>
  <c r="AK22" i="130" s="1"/>
  <c r="AP11" i="130"/>
  <c r="AP12" i="130"/>
  <c r="AP13" i="130"/>
  <c r="AP14" i="130"/>
  <c r="AP26" i="130"/>
  <c r="AU21" i="130"/>
  <c r="AU16" i="130"/>
  <c r="AU17" i="130"/>
  <c r="AU18" i="130"/>
  <c r="AU19" i="130"/>
  <c r="AU20" i="130"/>
  <c r="AU15" i="130"/>
  <c r="BA10" i="130" l="1"/>
  <c r="AU7" i="130"/>
  <c r="BA9" i="130"/>
  <c r="AY3" i="130"/>
  <c r="BA7" i="130"/>
  <c r="AY1" i="130"/>
  <c r="BA6" i="130"/>
  <c r="AN21" i="130"/>
  <c r="BA8" i="130"/>
  <c r="AY2" i="130"/>
  <c r="AM25" i="130"/>
  <c r="AN18" i="130"/>
  <c r="AM24" i="130"/>
  <c r="AN17" i="130"/>
  <c r="AM23" i="130"/>
  <c r="AN16" i="130"/>
  <c r="AM22" i="130"/>
  <c r="AN15" i="130"/>
  <c r="BA11" i="130"/>
  <c r="AU8" i="130"/>
  <c r="AN20" i="130"/>
  <c r="AN19" i="130"/>
  <c r="AN10" i="130" l="1"/>
  <c r="AN9" i="130" s="1"/>
  <c r="AO8" i="130"/>
  <c r="AN8" i="130"/>
  <c r="AO7" i="130"/>
  <c r="AN7" i="130"/>
  <c r="AO6" i="130"/>
  <c r="AQ10" i="130" s="1"/>
  <c r="AN6" i="130"/>
  <c r="AS5" i="130"/>
  <c r="AR4" i="130"/>
  <c r="AR3" i="130"/>
  <c r="AR2" i="130"/>
  <c r="AR1" i="130"/>
  <c r="AN4" i="130"/>
  <c r="AN2" i="130"/>
  <c r="AN3" i="130" s="1"/>
  <c r="AN1" i="130"/>
  <c r="AM10" i="130"/>
  <c r="AL10" i="130"/>
  <c r="AM9" i="130"/>
  <c r="BH7" i="130" s="1"/>
  <c r="AL9" i="130"/>
  <c r="AT23" i="130" s="1"/>
  <c r="AJ9" i="130"/>
  <c r="AM8" i="130"/>
  <c r="AL8" i="130"/>
  <c r="AM7" i="130"/>
  <c r="AL7" i="130"/>
  <c r="AJ3" i="130"/>
  <c r="AJ2" i="130"/>
  <c r="AJ1" i="130"/>
  <c r="AR23" i="130"/>
  <c r="AR24" i="130"/>
  <c r="AR25" i="130"/>
  <c r="BF4" i="130"/>
  <c r="BF5" i="130"/>
  <c r="BF6" i="130"/>
  <c r="BF7" i="130"/>
  <c r="BF8" i="130"/>
  <c r="BF9" i="130"/>
  <c r="BF10" i="130"/>
  <c r="BF11" i="130"/>
  <c r="AR22" i="130"/>
  <c r="CZ1" i="130"/>
  <c r="CY1" i="130"/>
  <c r="BX7" i="130"/>
  <c r="BX6" i="130"/>
  <c r="BX5" i="130"/>
  <c r="BX4" i="130"/>
  <c r="CI11" i="130"/>
  <c r="CI10" i="130"/>
  <c r="CI9" i="130"/>
  <c r="CI8" i="130"/>
  <c r="BX13" i="130"/>
  <c r="BX12" i="130"/>
  <c r="BX11" i="130"/>
  <c r="BX10" i="130"/>
  <c r="CH11" i="130"/>
  <c r="BW4" i="130"/>
  <c r="BW5" i="130"/>
  <c r="BW6" i="130"/>
  <c r="BW7" i="130"/>
  <c r="CH10" i="130"/>
  <c r="BW11" i="130"/>
  <c r="BW12" i="130"/>
  <c r="BW13" i="130"/>
  <c r="CH8" i="130"/>
  <c r="CH9" i="130"/>
  <c r="BW10" i="130"/>
  <c r="BY10" i="130" l="1"/>
  <c r="BY5" i="130"/>
  <c r="AT22" i="130"/>
  <c r="AM2" i="130"/>
  <c r="BH5" i="130"/>
  <c r="AU3" i="130"/>
  <c r="BH4" i="130"/>
  <c r="AT25" i="130"/>
  <c r="AT24" i="130"/>
  <c r="BH6" i="130"/>
  <c r="BH11" i="130"/>
  <c r="BH10" i="130"/>
  <c r="BH9" i="130"/>
  <c r="BH8" i="130"/>
  <c r="AP3" i="130"/>
  <c r="AT4" i="130"/>
  <c r="AM1" i="130"/>
  <c r="AU4" i="130"/>
  <c r="AQ3" i="130"/>
  <c r="AM3" i="130"/>
  <c r="AL3" i="130"/>
  <c r="AR5" i="130"/>
  <c r="AT5" i="130" s="1"/>
  <c r="AT3" i="130"/>
  <c r="AL1" i="130"/>
  <c r="AP1" i="130"/>
  <c r="AQ1" i="130"/>
  <c r="AT1" i="130"/>
  <c r="AP9" i="130"/>
  <c r="AL2" i="130"/>
  <c r="AP2" i="130"/>
  <c r="AU1" i="130"/>
  <c r="AQ9" i="130"/>
  <c r="AQ2" i="130"/>
  <c r="AT2" i="130"/>
  <c r="AP10" i="130"/>
  <c r="AU2" i="130"/>
  <c r="BY6" i="130"/>
  <c r="BY7" i="130"/>
  <c r="AQ22" i="130"/>
  <c r="BE11" i="130"/>
  <c r="BE10" i="130"/>
  <c r="BE9" i="130"/>
  <c r="BE8" i="130"/>
  <c r="BE7" i="130"/>
  <c r="BE6" i="130"/>
  <c r="BE5" i="130"/>
  <c r="BE4" i="130"/>
  <c r="AQ25" i="130"/>
  <c r="AQ24" i="130"/>
  <c r="AQ23" i="130"/>
  <c r="BY13" i="130"/>
  <c r="CJ10" i="130"/>
  <c r="BY11" i="130"/>
  <c r="CJ8" i="130"/>
  <c r="CJ9" i="130"/>
  <c r="BY4" i="130"/>
  <c r="CJ11" i="130"/>
  <c r="BY12" i="130"/>
  <c r="BV16" i="130" l="1"/>
  <c r="BT2" i="130"/>
  <c r="BV14" i="130"/>
  <c r="BT1" i="130"/>
  <c r="BT3" i="130"/>
  <c r="BV15" i="130"/>
  <c r="AL4" i="130"/>
  <c r="BR1" i="130"/>
  <c r="BT14" i="130"/>
  <c r="BT16" i="130"/>
  <c r="BR2" i="130"/>
  <c r="BR3" i="130"/>
  <c r="BT15" i="130"/>
  <c r="BX18" i="130"/>
  <c r="BU25" i="130"/>
  <c r="BU23" i="130"/>
  <c r="BU22" i="130"/>
  <c r="BX17" i="130"/>
  <c r="BU24" i="130"/>
  <c r="CI25" i="130"/>
  <c r="CI23" i="130"/>
  <c r="CA22" i="130"/>
  <c r="CL18" i="130"/>
  <c r="CD17" i="130"/>
  <c r="CA24" i="130"/>
  <c r="CI22" i="130"/>
  <c r="CA25" i="130"/>
  <c r="CL17" i="130"/>
  <c r="CI24" i="130"/>
  <c r="CA23" i="130"/>
  <c r="CD18" i="130"/>
  <c r="BX2" i="130"/>
  <c r="AX26" i="130"/>
  <c r="CH14" i="130"/>
  <c r="AX27" i="130"/>
  <c r="CH16" i="130"/>
  <c r="BZ15" i="130"/>
  <c r="BX3" i="130"/>
  <c r="BZ16" i="130"/>
  <c r="BX1" i="130"/>
  <c r="CH15" i="130"/>
  <c r="AX28" i="130"/>
  <c r="BZ14" i="130"/>
  <c r="AL6" i="130"/>
  <c r="BZ3" i="130"/>
  <c r="CB15" i="130"/>
  <c r="BZ1" i="130"/>
  <c r="CB16" i="130"/>
  <c r="CB14" i="130"/>
  <c r="BZ2" i="130"/>
  <c r="CL16" i="130"/>
  <c r="BB26" i="130"/>
  <c r="CD15" i="130"/>
  <c r="CL14" i="130"/>
  <c r="CB3" i="130"/>
  <c r="BB27" i="130"/>
  <c r="CB1" i="130"/>
  <c r="CD14" i="130"/>
  <c r="BB28" i="130"/>
  <c r="CB2" i="130"/>
  <c r="CD16" i="130"/>
  <c r="CL15" i="130"/>
  <c r="AM6" i="130"/>
  <c r="CB17" i="130"/>
  <c r="BY22" i="130"/>
  <c r="BY23" i="130"/>
  <c r="BY24" i="130"/>
  <c r="BY25" i="130"/>
  <c r="CB18" i="130"/>
  <c r="BX14" i="130"/>
  <c r="BX16" i="130"/>
  <c r="BV2" i="130"/>
  <c r="BX15" i="130"/>
  <c r="BV3" i="130"/>
  <c r="BV1" i="130"/>
  <c r="BS23" i="130"/>
  <c r="BS25" i="130"/>
  <c r="BV18" i="130"/>
  <c r="BS22" i="130"/>
  <c r="BV17" i="130"/>
  <c r="BS24" i="130"/>
  <c r="BZ18" i="130"/>
  <c r="CE25" i="130"/>
  <c r="BW22" i="130"/>
  <c r="CH18" i="130"/>
  <c r="BZ17" i="130"/>
  <c r="CE23" i="130"/>
  <c r="BW24" i="130"/>
  <c r="CE22" i="130"/>
  <c r="CH17" i="130"/>
  <c r="BW25" i="130"/>
  <c r="CE24" i="130"/>
  <c r="BW23" i="130"/>
  <c r="AM4" i="130"/>
  <c r="BQ23" i="130"/>
  <c r="BT18" i="130"/>
  <c r="BQ25" i="130"/>
  <c r="BQ22" i="130"/>
  <c r="BT17" i="130"/>
  <c r="BQ24" i="130"/>
  <c r="AU5" i="130"/>
  <c r="AU6" i="130" s="1"/>
  <c r="AM5" i="130"/>
  <c r="AQ4" i="130"/>
  <c r="AT6" i="130"/>
  <c r="AL5" i="130"/>
  <c r="AP4" i="130"/>
  <c r="AX23" i="130"/>
  <c r="AX24" i="130"/>
  <c r="AX25" i="130"/>
  <c r="BL4" i="130"/>
  <c r="BL5" i="130"/>
  <c r="BL6" i="130"/>
  <c r="BL7" i="130"/>
  <c r="BL8" i="130"/>
  <c r="BL9" i="130"/>
  <c r="BL10" i="130"/>
  <c r="BL11" i="130"/>
  <c r="AX22" i="130"/>
  <c r="BH2" i="130"/>
  <c r="BJ14" i="130"/>
  <c r="BJ15" i="130"/>
  <c r="BJ16" i="130"/>
  <c r="BG22" i="130"/>
  <c r="BG23" i="130"/>
  <c r="BG24" i="130"/>
  <c r="BG25" i="130"/>
  <c r="BJ17" i="130"/>
  <c r="BJ18" i="130"/>
  <c r="BH1" i="130"/>
  <c r="BQ11" i="130"/>
  <c r="BR11" i="130" s="1"/>
  <c r="BQ12" i="130"/>
  <c r="BR12" i="130" s="1"/>
  <c r="BQ13" i="130"/>
  <c r="BR13" i="130" s="1"/>
  <c r="CI4" i="130"/>
  <c r="CJ4" i="130" s="1"/>
  <c r="CI5" i="130"/>
  <c r="CJ5" i="130" s="1"/>
  <c r="CI6" i="130"/>
  <c r="CJ6" i="130" s="1"/>
  <c r="CI7" i="130"/>
  <c r="CJ7" i="130" s="1"/>
  <c r="BQ4" i="130"/>
  <c r="BR4" i="130" s="1"/>
  <c r="BQ5" i="130"/>
  <c r="BR5" i="130" s="1"/>
  <c r="BQ6" i="130"/>
  <c r="BR6" i="130" s="1"/>
  <c r="BQ7" i="130"/>
  <c r="BR7" i="130" s="1"/>
  <c r="BQ10" i="130"/>
  <c r="BR10" i="130" s="1"/>
  <c r="CN22" i="130" l="1"/>
  <c r="CQ18" i="130"/>
  <c r="CN23" i="130"/>
  <c r="CN24" i="130"/>
  <c r="AP5" i="130"/>
  <c r="CF15" i="130"/>
  <c r="CD1" i="130"/>
  <c r="CF16" i="130"/>
  <c r="CF14" i="130"/>
  <c r="CD2" i="130"/>
  <c r="CD3" i="130"/>
  <c r="CB19" i="130"/>
  <c r="CB20" i="130" s="1"/>
  <c r="BG26" i="130"/>
  <c r="CD19" i="130"/>
  <c r="CD20" i="130" s="1"/>
  <c r="CH19" i="130"/>
  <c r="CH20" i="130" s="1"/>
  <c r="AQ5" i="130"/>
  <c r="CF17" i="130"/>
  <c r="CC24" i="130"/>
  <c r="CC25" i="130"/>
  <c r="CC23" i="130"/>
  <c r="CF18" i="130"/>
  <c r="CC22" i="130"/>
  <c r="CE15" i="130"/>
  <c r="CM14" i="130"/>
  <c r="CC3" i="130"/>
  <c r="BC27" i="130"/>
  <c r="CC1" i="130"/>
  <c r="CE16" i="130"/>
  <c r="CM15" i="130"/>
  <c r="CE14" i="130"/>
  <c r="BC28" i="130"/>
  <c r="CC2" i="130"/>
  <c r="BC26" i="130"/>
  <c r="CM16" i="130"/>
  <c r="BG27" i="130"/>
  <c r="BT19" i="130"/>
  <c r="BT20" i="130" s="1"/>
  <c r="BX22" i="130"/>
  <c r="CF25" i="130"/>
  <c r="CF22" i="130"/>
  <c r="CI18" i="130"/>
  <c r="CA17" i="130"/>
  <c r="CF23" i="130"/>
  <c r="BX24" i="130"/>
  <c r="CI17" i="130"/>
  <c r="BX25" i="130"/>
  <c r="CF24" i="130"/>
  <c r="BX23" i="130"/>
  <c r="CA18" i="130"/>
  <c r="CN25" i="130"/>
  <c r="BG28" i="130"/>
  <c r="CQ14" i="130"/>
  <c r="AY26" i="130"/>
  <c r="CI16" i="130"/>
  <c r="CI14" i="130"/>
  <c r="CA15" i="130"/>
  <c r="AY27" i="130"/>
  <c r="CI15" i="130"/>
  <c r="AY28" i="130"/>
  <c r="BY3" i="130"/>
  <c r="BY1" i="130"/>
  <c r="BY2" i="130"/>
  <c r="CA16" i="130"/>
  <c r="CA14" i="130"/>
  <c r="CL19" i="130"/>
  <c r="CL20" i="130" s="1"/>
  <c r="BZ19" i="130"/>
  <c r="BZ20" i="130" s="1"/>
  <c r="BV19" i="130"/>
  <c r="BV20" i="130" s="1"/>
  <c r="BX19" i="130"/>
  <c r="BX20" i="130" s="1"/>
  <c r="CJ23" i="130"/>
  <c r="CB22" i="130"/>
  <c r="CM18" i="130"/>
  <c r="CE17" i="130"/>
  <c r="CB24" i="130"/>
  <c r="CJ22" i="130"/>
  <c r="CM17" i="130"/>
  <c r="CJ24" i="130"/>
  <c r="CB25" i="130"/>
  <c r="CB23" i="130"/>
  <c r="CE18" i="130"/>
  <c r="CJ25" i="130"/>
  <c r="CQ16" i="130"/>
  <c r="CQ17" i="130"/>
  <c r="CQ15" i="130"/>
  <c r="BH3" i="130"/>
  <c r="AS24" i="130"/>
  <c r="AS23" i="130"/>
  <c r="BG6" i="130"/>
  <c r="CR16" i="130" l="1"/>
  <c r="CR15" i="130"/>
  <c r="CR17" i="130"/>
  <c r="CF19" i="130"/>
  <c r="CF20" i="130" s="1"/>
  <c r="CI19" i="130"/>
  <c r="CI20" i="130" s="1"/>
  <c r="CO25" i="130"/>
  <c r="CE19" i="130"/>
  <c r="CE20" i="130" s="1"/>
  <c r="CR14" i="130"/>
  <c r="CO22" i="130"/>
  <c r="CG23" i="130"/>
  <c r="CG25" i="130"/>
  <c r="CJ18" i="130"/>
  <c r="CG22" i="130"/>
  <c r="CJ17" i="130"/>
  <c r="CG24" i="130"/>
  <c r="AZ27" i="130"/>
  <c r="CJ16" i="130"/>
  <c r="CO16" i="130" s="1"/>
  <c r="CJ14" i="130"/>
  <c r="AZ26" i="130"/>
  <c r="BE26" i="130" s="1"/>
  <c r="AZ28" i="130"/>
  <c r="CJ15" i="130"/>
  <c r="CR18" i="130"/>
  <c r="CO23" i="130"/>
  <c r="CA19" i="130"/>
  <c r="CA20" i="130" s="1"/>
  <c r="BH26" i="130"/>
  <c r="BH28" i="130"/>
  <c r="CQ19" i="130"/>
  <c r="CQ20" i="130" s="1"/>
  <c r="CM19" i="130"/>
  <c r="CM20" i="130" s="1"/>
  <c r="CO24" i="130"/>
  <c r="BH27" i="130"/>
  <c r="BT12" i="130"/>
  <c r="BT10" i="130"/>
  <c r="CE11" i="130"/>
  <c r="BT11" i="130"/>
  <c r="CE8" i="130"/>
  <c r="CE10" i="130"/>
  <c r="BT7" i="130"/>
  <c r="BT13" i="130"/>
  <c r="BT5" i="130"/>
  <c r="BT6" i="130"/>
  <c r="BT4" i="130"/>
  <c r="CE9" i="130"/>
  <c r="BG8" i="130"/>
  <c r="BG9" i="130"/>
  <c r="BG4" i="130"/>
  <c r="BG5" i="130"/>
  <c r="BG11" i="130"/>
  <c r="BG7" i="130"/>
  <c r="AS25" i="130"/>
  <c r="BG10" i="130"/>
  <c r="AU22" i="130"/>
  <c r="AS22" i="130"/>
  <c r="CR19" i="130" l="1"/>
  <c r="CR20" i="130" s="1"/>
  <c r="CL22" i="130"/>
  <c r="CL24" i="130"/>
  <c r="CO17" i="130"/>
  <c r="CO18" i="130"/>
  <c r="BE27" i="130"/>
  <c r="CO15" i="130"/>
  <c r="CL25" i="130"/>
  <c r="BE28" i="130"/>
  <c r="CO14" i="130"/>
  <c r="CJ19" i="130"/>
  <c r="CJ20" i="130" s="1"/>
  <c r="CL23" i="130"/>
  <c r="AW22" i="130"/>
  <c r="AV22" i="130"/>
  <c r="CO19" i="130" l="1"/>
  <c r="CO20" i="130" s="1"/>
  <c r="DD12" i="130"/>
  <c r="DD13" i="130"/>
  <c r="DD14" i="130"/>
  <c r="DD15" i="130"/>
  <c r="CH1" i="130"/>
  <c r="CH2" i="130"/>
  <c r="CH3" i="130"/>
  <c r="CG12" i="130"/>
  <c r="CG13" i="130"/>
  <c r="DJ6" i="130"/>
  <c r="DJ7" i="130"/>
  <c r="DD11" i="130"/>
  <c r="DT14" i="130"/>
  <c r="DS14" i="130"/>
  <c r="DK2" i="130"/>
  <c r="DL2" i="130" s="1"/>
  <c r="DK3" i="130"/>
  <c r="DK4" i="130"/>
  <c r="DK5" i="130"/>
  <c r="DL5" i="130" s="1"/>
  <c r="DB16" i="130"/>
  <c r="DC16" i="130" s="1"/>
  <c r="DB17" i="130"/>
  <c r="DB18" i="130"/>
  <c r="DC18" i="130" s="1"/>
  <c r="DB19" i="130"/>
  <c r="DC19" i="130" s="1"/>
  <c r="DB20" i="130"/>
  <c r="DB21" i="130"/>
  <c r="DC21" i="130" s="1"/>
  <c r="DB22" i="130"/>
  <c r="DC22" i="130" s="1"/>
  <c r="DK1" i="130"/>
  <c r="BX8" i="130"/>
  <c r="BX9" i="130" s="1"/>
  <c r="BW8" i="130"/>
  <c r="BW9" i="130" s="1"/>
  <c r="AT27" i="130"/>
  <c r="AT28" i="130" s="1"/>
  <c r="AR27" i="130"/>
  <c r="AR28" i="130" s="1"/>
  <c r="BE12" i="130" l="1"/>
  <c r="BE13" i="130" s="1"/>
  <c r="DL3" i="130"/>
  <c r="DB23" i="130"/>
  <c r="DB24" i="130" s="1"/>
  <c r="DL1" i="130"/>
  <c r="DC20" i="130"/>
  <c r="DC17" i="130"/>
  <c r="DL4" i="130"/>
  <c r="F27" i="130" l="1"/>
  <c r="E27" i="130"/>
  <c r="D27" i="130"/>
  <c r="BL19" i="130"/>
  <c r="H27" i="130"/>
  <c r="G27" i="130"/>
  <c r="CW3" i="130"/>
  <c r="CW4" i="130"/>
  <c r="CW5" i="130"/>
  <c r="CW6" i="130"/>
  <c r="CW7" i="130"/>
  <c r="CW8" i="130"/>
  <c r="CW9" i="130"/>
  <c r="CW10" i="130"/>
  <c r="CW11" i="130"/>
  <c r="CW12" i="130"/>
  <c r="CW13" i="130"/>
  <c r="CW2" i="130"/>
  <c r="CA11" i="130"/>
  <c r="CA12" i="130"/>
  <c r="CA13" i="130"/>
  <c r="CL8" i="130"/>
  <c r="CL9" i="130"/>
  <c r="CL10" i="130"/>
  <c r="CL11" i="130"/>
  <c r="CA4" i="130"/>
  <c r="CA5" i="130"/>
  <c r="CA6" i="130"/>
  <c r="CA7" i="130"/>
  <c r="CA10" i="130"/>
  <c r="CB10" i="130" s="1"/>
  <c r="CV19" i="130"/>
  <c r="CV21" i="130"/>
  <c r="CV22" i="130"/>
  <c r="DE2" i="130"/>
  <c r="CT3" i="130"/>
  <c r="CD10" i="130" l="1"/>
  <c r="CC10" i="130"/>
  <c r="BH12" i="130"/>
  <c r="BH13" i="130" s="1"/>
  <c r="CA8" i="130"/>
  <c r="CA9" i="130" s="1"/>
  <c r="CW14" i="130"/>
  <c r="CW15" i="130" s="1"/>
  <c r="BL12" i="130"/>
  <c r="BL13" i="130" s="1"/>
  <c r="CM8" i="130"/>
  <c r="CB4" i="130"/>
  <c r="CB6" i="130"/>
  <c r="CB7" i="130"/>
  <c r="CV20" i="130"/>
  <c r="CV18" i="130"/>
  <c r="CV17" i="130"/>
  <c r="CV16" i="130"/>
  <c r="DE5" i="130"/>
  <c r="DE4" i="130"/>
  <c r="DE3" i="130"/>
  <c r="DE1" i="130"/>
  <c r="CB5" i="130"/>
  <c r="CM9" i="130"/>
  <c r="CK11" i="130"/>
  <c r="CM11" i="130"/>
  <c r="CM10" i="130"/>
  <c r="CB13" i="130"/>
  <c r="CB12" i="130"/>
  <c r="CB11" i="130"/>
  <c r="CD4" i="130" l="1"/>
  <c r="CC4" i="130"/>
  <c r="CO11" i="130"/>
  <c r="CN11" i="130"/>
  <c r="CD6" i="130"/>
  <c r="CC6" i="130"/>
  <c r="CO8" i="130"/>
  <c r="CN8" i="130"/>
  <c r="CO10" i="130"/>
  <c r="CN10" i="130"/>
  <c r="CD13" i="130"/>
  <c r="CC13" i="130"/>
  <c r="CD7" i="130"/>
  <c r="CC7" i="130"/>
  <c r="CO9" i="130"/>
  <c r="CN9" i="130"/>
  <c r="CD11" i="130"/>
  <c r="CC11" i="130"/>
  <c r="CD12" i="130"/>
  <c r="CC12" i="130"/>
  <c r="CD5" i="130"/>
  <c r="CC5" i="130"/>
  <c r="CB8" i="130"/>
  <c r="CB9" i="130" s="1"/>
  <c r="CV23" i="130"/>
  <c r="CV24" i="130" s="1"/>
  <c r="BZ6" i="130"/>
  <c r="CK10" i="130"/>
  <c r="BZ5" i="130"/>
  <c r="BZ4" i="130"/>
  <c r="BZ7" i="130"/>
  <c r="BN8" i="130" l="1"/>
  <c r="BN9" i="130" s="1"/>
  <c r="CK9" i="130" l="1"/>
  <c r="CK8" i="130"/>
  <c r="BZ13" i="130"/>
  <c r="BZ12" i="130"/>
  <c r="BZ11" i="130"/>
  <c r="BZ10" i="130"/>
  <c r="BY8" i="130" l="1"/>
  <c r="BY9" i="130" s="1"/>
  <c r="DC23" i="130"/>
  <c r="DC24" i="130" s="1"/>
  <c r="BZ8" i="130"/>
  <c r="BZ9" i="130" s="1"/>
  <c r="CD8" i="130" l="1"/>
  <c r="CD9" i="130" s="1"/>
  <c r="CX2" i="130"/>
  <c r="DF1" i="130"/>
  <c r="CY2" i="130" l="1"/>
  <c r="AP15" i="130"/>
  <c r="AO16" i="130" s="1"/>
  <c r="AQ15" i="130" l="1"/>
  <c r="AJ15" i="130" s="1"/>
  <c r="AR15" i="130"/>
  <c r="AS15" i="130" l="1"/>
  <c r="AP16" i="130"/>
  <c r="AO17" i="130" s="1"/>
  <c r="AQ16" i="130" l="1"/>
  <c r="AJ16" i="130" s="1"/>
  <c r="AR16" i="130"/>
  <c r="AS16" i="130" l="1"/>
  <c r="AP17" i="130"/>
  <c r="AO18" i="130" s="1"/>
  <c r="AQ17" i="130" l="1"/>
  <c r="AJ17" i="130" s="1"/>
  <c r="AR17" i="130"/>
  <c r="AS17" i="130" l="1"/>
  <c r="AP18" i="130"/>
  <c r="AO19" i="130" s="1"/>
  <c r="AQ18" i="130" l="1"/>
  <c r="AJ18" i="130" s="1"/>
  <c r="AR18" i="130"/>
  <c r="AS18" i="130" l="1"/>
  <c r="AP19" i="130"/>
  <c r="AO20" i="130" s="1"/>
  <c r="AQ19" i="130" l="1"/>
  <c r="AJ19" i="130" s="1"/>
  <c r="AR19" i="130"/>
  <c r="AS19" i="130" l="1"/>
  <c r="AP20" i="130"/>
  <c r="AO21" i="130" s="1"/>
  <c r="AR20" i="130" l="1"/>
  <c r="AQ20" i="130"/>
  <c r="AJ20" i="130" s="1"/>
  <c r="AS20" i="130" l="1"/>
  <c r="AP21" i="130"/>
  <c r="AJ11" i="130" s="1"/>
  <c r="AR21" i="130" l="1"/>
  <c r="AQ21" i="130"/>
  <c r="AJ21" i="130" s="1"/>
  <c r="AS21" i="130" l="1"/>
  <c r="AK11" i="130"/>
  <c r="AJ12" i="130" s="1"/>
  <c r="AL11" i="130" l="1"/>
  <c r="AW11" i="130" s="1"/>
  <c r="AM11" i="130"/>
  <c r="AN11" i="130" l="1"/>
  <c r="AK12" i="130"/>
  <c r="AJ13" i="130" s="1"/>
  <c r="AL12" i="130" l="1"/>
  <c r="AW12" i="130" s="1"/>
  <c r="AM12" i="130"/>
  <c r="AN12" i="130" l="1"/>
  <c r="AK13" i="130"/>
  <c r="AJ14" i="130" s="1"/>
  <c r="AM13" i="130" l="1"/>
  <c r="AL13" i="130"/>
  <c r="AW13" i="130" s="1"/>
  <c r="AN13" i="130" l="1"/>
  <c r="AK14" i="130"/>
  <c r="AJ26" i="130" s="1"/>
  <c r="AM14" i="130" l="1"/>
  <c r="AL14" i="130"/>
  <c r="AW14" i="130" s="1"/>
  <c r="AN14" i="130" l="1"/>
  <c r="AK26" i="130"/>
  <c r="AL26" i="130" l="1"/>
  <c r="AW26" i="130" s="1"/>
  <c r="AM26" i="130"/>
  <c r="AM27" i="130" s="1"/>
  <c r="AL27" i="130" l="1"/>
  <c r="AN26" i="130"/>
  <c r="AN27" i="130" s="1"/>
  <c r="CT6" i="130" l="1"/>
  <c r="CT5" i="130"/>
  <c r="CT4" i="130"/>
  <c r="CV3" i="130" l="1"/>
  <c r="CV4" i="130" s="1"/>
  <c r="CV5" i="130" s="1"/>
  <c r="CV6" i="130" s="1"/>
  <c r="CX7" i="130" l="1"/>
  <c r="CW16" i="130"/>
  <c r="CX5" i="130"/>
  <c r="DF4" i="130"/>
  <c r="CX3" i="130"/>
  <c r="DF2" i="130"/>
  <c r="CY3" i="130" l="1"/>
  <c r="CZ3" i="130" s="1"/>
  <c r="CX4" i="130"/>
  <c r="CY5" i="130" s="1"/>
  <c r="CZ5" i="130" s="1"/>
  <c r="DF3" i="130"/>
  <c r="CX6" i="130"/>
  <c r="DF5" i="130"/>
  <c r="CY7" i="130"/>
  <c r="CZ7" i="130" s="1"/>
  <c r="CY6" i="130" l="1"/>
  <c r="CZ6" i="130" s="1"/>
  <c r="CY4" i="130"/>
  <c r="CZ4" i="130" s="1"/>
  <c r="CX8" i="130"/>
  <c r="CW17" i="130"/>
  <c r="CY8" i="130"/>
  <c r="CZ8" i="130" s="1"/>
  <c r="CX12" i="130" l="1"/>
  <c r="CW21" i="130"/>
  <c r="CX10" i="130"/>
  <c r="CW19" i="130"/>
  <c r="CX11" i="130"/>
  <c r="CW20" i="130"/>
  <c r="CX9" i="130"/>
  <c r="CW18" i="130"/>
  <c r="CW22" i="130"/>
  <c r="CY12" i="130" l="1"/>
  <c r="CZ12" i="130" s="1"/>
  <c r="CY11" i="130"/>
  <c r="CZ11" i="130" s="1"/>
  <c r="CW23" i="130"/>
  <c r="CW24" i="130" s="1"/>
  <c r="CC8" i="130"/>
  <c r="CC9" i="130" s="1"/>
  <c r="CY9" i="130"/>
  <c r="CZ9" i="130" s="1"/>
  <c r="CY10" i="130"/>
  <c r="CZ10" i="130" s="1"/>
  <c r="CX13" i="130"/>
  <c r="CX14" i="130" l="1"/>
  <c r="CX15" i="130" s="1"/>
  <c r="CY13" i="130"/>
  <c r="CZ13" i="130" s="1"/>
  <c r="DA13" i="130" s="1"/>
  <c r="CS22" i="130" s="1"/>
  <c r="CT22" i="130" s="1"/>
  <c r="CZ2" i="130"/>
  <c r="DA2" i="130" s="1"/>
  <c r="DB1" i="130" s="1"/>
  <c r="DC1" i="130" s="1"/>
  <c r="DA4" i="130"/>
  <c r="DB3" i="130" s="1"/>
  <c r="DC3" i="130" s="1"/>
  <c r="DA5" i="130"/>
  <c r="DB4" i="130" s="1"/>
  <c r="DC4" i="130" s="1"/>
  <c r="DA6" i="130"/>
  <c r="DB5" i="130" s="1"/>
  <c r="DC5" i="130" s="1"/>
  <c r="DA7" i="130"/>
  <c r="CS16" i="130" s="1"/>
  <c r="CT16" i="130" s="1"/>
  <c r="DA8" i="130"/>
  <c r="CS17" i="130" s="1"/>
  <c r="CT17" i="130" s="1"/>
  <c r="DA9" i="130"/>
  <c r="CS18" i="130" s="1"/>
  <c r="CT18" i="130" s="1"/>
  <c r="DA10" i="130"/>
  <c r="CS19" i="130" s="1"/>
  <c r="CT19" i="130" s="1"/>
  <c r="DA11" i="130"/>
  <c r="CS20" i="130" s="1"/>
  <c r="CT20" i="130" s="1"/>
  <c r="DA12" i="130"/>
  <c r="CS21" i="130" s="1"/>
  <c r="CT21" i="130" s="1"/>
  <c r="CE12" i="130" l="1"/>
  <c r="CU19" i="130"/>
  <c r="CF3" i="130"/>
  <c r="CU18" i="130"/>
  <c r="DB15" i="130"/>
  <c r="DD5" i="130"/>
  <c r="CE13" i="130"/>
  <c r="CU20" i="130"/>
  <c r="CF2" i="130"/>
  <c r="CU17" i="130"/>
  <c r="DB13" i="130"/>
  <c r="DD3" i="130"/>
  <c r="DB11" i="130"/>
  <c r="DD1" i="130"/>
  <c r="DH6" i="130"/>
  <c r="CU21" i="130"/>
  <c r="CF1" i="130"/>
  <c r="CU16" i="130"/>
  <c r="DB14" i="130"/>
  <c r="DD4" i="130"/>
  <c r="DH7" i="130"/>
  <c r="CU22" i="130"/>
  <c r="DA3" i="130"/>
  <c r="DB2" i="130" s="1"/>
  <c r="DC2" i="130" s="1"/>
  <c r="DB12" i="130" l="1"/>
  <c r="DH8" i="130" s="1"/>
  <c r="DH9" i="130" s="1"/>
  <c r="DD2" i="130"/>
  <c r="CT23" i="130" l="1"/>
  <c r="CT24" i="130" s="1"/>
  <c r="AP27" i="130" l="1"/>
  <c r="AP28" i="130" s="1"/>
  <c r="BA12" i="130" l="1"/>
  <c r="BA13" i="130" s="1"/>
  <c r="AY12" i="130"/>
  <c r="AY13" i="130" s="1"/>
  <c r="AU9" i="130"/>
  <c r="AU10" i="130" s="1"/>
  <c r="BJ19" i="130"/>
  <c r="AW27" i="130"/>
  <c r="AW28" i="130" s="1"/>
  <c r="BJ20" i="130" l="1"/>
  <c r="AS9" i="130" l="1"/>
  <c r="AS10" i="130" s="1"/>
  <c r="BE19" i="130"/>
  <c r="BE20" i="130" s="1"/>
  <c r="BM19" i="130"/>
  <c r="BM20" i="130" s="1"/>
  <c r="X7" i="130" l="1"/>
  <c r="W7" i="130" s="1"/>
  <c r="BR8" i="130"/>
  <c r="BR9" i="130" s="1"/>
  <c r="BQ8" i="130"/>
  <c r="BQ9" i="130" s="1"/>
  <c r="X15" i="130" l="1"/>
  <c r="W15" i="130" s="1"/>
  <c r="AZ1" i="130" l="1"/>
  <c r="AU23" i="130" l="1"/>
  <c r="AU24" i="130"/>
  <c r="AU25" i="130"/>
  <c r="BI4" i="130"/>
  <c r="BI5" i="130"/>
  <c r="BG12" i="130"/>
  <c r="BG13" i="130" s="1"/>
  <c r="BI6" i="130"/>
  <c r="BI7" i="130"/>
  <c r="BI8" i="130"/>
  <c r="BI9" i="130"/>
  <c r="BI10" i="130"/>
  <c r="BI11" i="130"/>
  <c r="BF12" i="130"/>
  <c r="BF13" i="130" s="1"/>
  <c r="BK10" i="130" l="1"/>
  <c r="BJ10" i="130"/>
  <c r="BK7" i="130"/>
  <c r="BJ7" i="130"/>
  <c r="AY23" i="130" s="1"/>
  <c r="BK9" i="130"/>
  <c r="BJ9" i="130"/>
  <c r="BK4" i="130"/>
  <c r="BJ4" i="130"/>
  <c r="AV24" i="130"/>
  <c r="AW24" i="130"/>
  <c r="AW23" i="130"/>
  <c r="AV23" i="130"/>
  <c r="BK8" i="130"/>
  <c r="BJ8" i="130"/>
  <c r="BK6" i="130"/>
  <c r="BJ6" i="130"/>
  <c r="BK5" i="130"/>
  <c r="BJ5" i="130"/>
  <c r="AW25" i="130"/>
  <c r="AV25" i="130"/>
  <c r="BK11" i="130"/>
  <c r="BJ11" i="130"/>
  <c r="AY22" i="130"/>
  <c r="BI12" i="130"/>
  <c r="BI13" i="130" s="1"/>
  <c r="BJ12" i="130" l="1"/>
  <c r="BJ13" i="130" s="1"/>
  <c r="BB15" i="130"/>
  <c r="BB17" i="130"/>
  <c r="BB14" i="130"/>
  <c r="BB16" i="130"/>
  <c r="AY24" i="130"/>
  <c r="BK12" i="130"/>
  <c r="BK13" i="130" s="1"/>
  <c r="AZ2" i="130"/>
  <c r="BB18" i="130"/>
  <c r="AZ3" i="130"/>
  <c r="AY25" i="130"/>
  <c r="BB19" i="130" l="1"/>
  <c r="BB20" i="130" s="1"/>
  <c r="BC12" i="130"/>
  <c r="BT8" i="130" l="1"/>
  <c r="BT9" i="130" s="1"/>
  <c r="BC13" i="130"/>
  <c r="W1" i="130" l="1"/>
  <c r="X1" i="130"/>
  <c r="AV1" i="130"/>
  <c r="AX1" i="130"/>
  <c r="BA1" i="130"/>
  <c r="BB1" i="130"/>
  <c r="BD1" i="130"/>
  <c r="BE1" i="130"/>
  <c r="BF1" i="130"/>
  <c r="BI1" i="130"/>
  <c r="BL1" i="130"/>
  <c r="BO1" i="130"/>
  <c r="BQ1" i="130"/>
  <c r="BS1" i="130"/>
  <c r="BW1" i="130"/>
  <c r="CA1" i="130"/>
  <c r="CE1" i="130"/>
  <c r="CG1" i="130"/>
  <c r="CI1" i="130"/>
  <c r="CJ1" i="130"/>
  <c r="CK1" i="130"/>
  <c r="CL1" i="130"/>
  <c r="CM1" i="130"/>
  <c r="DH1" i="130"/>
  <c r="DI1" i="130"/>
  <c r="DJ1" i="130"/>
  <c r="W2" i="130"/>
  <c r="X2" i="130"/>
  <c r="AV2" i="130"/>
  <c r="AX2" i="130"/>
  <c r="BA2" i="130"/>
  <c r="BB2" i="130"/>
  <c r="BD2" i="130"/>
  <c r="BE2" i="130"/>
  <c r="BF2" i="130"/>
  <c r="BI2" i="130"/>
  <c r="BL2" i="130"/>
  <c r="BO2" i="130"/>
  <c r="BQ2" i="130"/>
  <c r="BS2" i="130"/>
  <c r="BW2" i="130"/>
  <c r="CA2" i="130"/>
  <c r="CE2" i="130"/>
  <c r="CG2" i="130"/>
  <c r="CI2" i="130"/>
  <c r="CJ2" i="130"/>
  <c r="CK2" i="130"/>
  <c r="CL2" i="130"/>
  <c r="CM2" i="130"/>
  <c r="DH2" i="130"/>
  <c r="DI2" i="130"/>
  <c r="DJ2" i="130"/>
  <c r="W3" i="130"/>
  <c r="X3" i="130"/>
  <c r="AV3" i="130"/>
  <c r="AX3" i="130"/>
  <c r="BA3" i="130"/>
  <c r="BB3" i="130"/>
  <c r="BD3" i="130"/>
  <c r="BE3" i="130"/>
  <c r="BF3" i="130"/>
  <c r="BI3" i="130"/>
  <c r="BL3" i="130"/>
  <c r="BO3" i="130"/>
  <c r="BQ3" i="130"/>
  <c r="BS3" i="130"/>
  <c r="BW3" i="130"/>
  <c r="CA3" i="130"/>
  <c r="CE3" i="130"/>
  <c r="CG3" i="130"/>
  <c r="CI3" i="130"/>
  <c r="CJ3" i="130"/>
  <c r="CK3" i="130"/>
  <c r="CL3" i="130"/>
  <c r="CM3" i="130"/>
  <c r="DH3" i="130"/>
  <c r="DI3" i="130"/>
  <c r="DJ3" i="130"/>
  <c r="W4" i="130"/>
  <c r="X4" i="130"/>
  <c r="AX4" i="130"/>
  <c r="AZ4" i="130"/>
  <c r="BB4" i="130"/>
  <c r="BD4" i="130"/>
  <c r="BM4" i="130"/>
  <c r="BO4" i="130"/>
  <c r="BS4" i="130"/>
  <c r="BU4" i="130"/>
  <c r="CE4" i="130"/>
  <c r="CG4" i="130"/>
  <c r="CK4" i="130"/>
  <c r="CL4" i="130"/>
  <c r="CM4" i="130"/>
  <c r="CN4" i="130"/>
  <c r="CO4" i="130"/>
  <c r="CP4" i="130"/>
  <c r="DH4" i="130"/>
  <c r="DI4" i="130"/>
  <c r="DJ4" i="130"/>
  <c r="W5" i="130"/>
  <c r="X5" i="130"/>
  <c r="AX5" i="130"/>
  <c r="AZ5" i="130"/>
  <c r="BB5" i="130"/>
  <c r="BD5" i="130"/>
  <c r="BM5" i="130"/>
  <c r="BO5" i="130"/>
  <c r="BS5" i="130"/>
  <c r="BU5" i="130"/>
  <c r="CE5" i="130"/>
  <c r="CG5" i="130"/>
  <c r="CK5" i="130"/>
  <c r="CL5" i="130"/>
  <c r="CM5" i="130"/>
  <c r="CN5" i="130"/>
  <c r="CO5" i="130"/>
  <c r="CP5" i="130"/>
  <c r="DH5" i="130"/>
  <c r="DI5" i="130"/>
  <c r="DJ5" i="130"/>
  <c r="W6" i="130"/>
  <c r="X6" i="130"/>
  <c r="AX6" i="130"/>
  <c r="AZ6" i="130"/>
  <c r="BB6" i="130"/>
  <c r="BD6" i="130"/>
  <c r="BM6" i="130"/>
  <c r="BO6" i="130"/>
  <c r="BS6" i="130"/>
  <c r="BU6" i="130"/>
  <c r="CE6" i="130"/>
  <c r="CG6" i="130"/>
  <c r="CK6" i="130"/>
  <c r="CL6" i="130"/>
  <c r="CM6" i="130"/>
  <c r="CN6" i="130"/>
  <c r="CO6" i="130"/>
  <c r="CP6" i="130"/>
  <c r="CQ6" i="130"/>
  <c r="CR6" i="130"/>
  <c r="DB6" i="130"/>
  <c r="DC6" i="130"/>
  <c r="DD6" i="130"/>
  <c r="DE6" i="130"/>
  <c r="DF6" i="130"/>
  <c r="DG6" i="130"/>
  <c r="DI6" i="130"/>
  <c r="DK6" i="130"/>
  <c r="DL6" i="130"/>
  <c r="AR7" i="130"/>
  <c r="AT7" i="130"/>
  <c r="AX7" i="130"/>
  <c r="AZ7" i="130"/>
  <c r="BB7" i="130"/>
  <c r="BD7" i="130"/>
  <c r="BM7" i="130"/>
  <c r="BO7" i="130"/>
  <c r="BS7" i="130"/>
  <c r="BU7" i="130"/>
  <c r="CE7" i="130"/>
  <c r="CG7" i="130"/>
  <c r="CK7" i="130"/>
  <c r="CL7" i="130"/>
  <c r="CM7" i="130"/>
  <c r="CN7" i="130"/>
  <c r="CO7" i="130"/>
  <c r="CP7" i="130"/>
  <c r="CQ7" i="130"/>
  <c r="CR7" i="130"/>
  <c r="DB7" i="130"/>
  <c r="DC7" i="130"/>
  <c r="DD7" i="130"/>
  <c r="DE7" i="130"/>
  <c r="DF7" i="130"/>
  <c r="DG7" i="130"/>
  <c r="DI7" i="130"/>
  <c r="DK7" i="130"/>
  <c r="DL7" i="130"/>
  <c r="W8" i="130"/>
  <c r="X8" i="130"/>
  <c r="AR8" i="130"/>
  <c r="AT8" i="130"/>
  <c r="AX8" i="130"/>
  <c r="AZ8" i="130"/>
  <c r="BB8" i="130"/>
  <c r="BD8" i="130"/>
  <c r="BM8" i="130"/>
  <c r="BO8" i="130"/>
  <c r="BS8" i="130"/>
  <c r="BU8" i="130"/>
  <c r="CF8" i="130"/>
  <c r="CQ8" i="130"/>
  <c r="CR8" i="130"/>
  <c r="DB8" i="130"/>
  <c r="DC8" i="130"/>
  <c r="DD8" i="130"/>
  <c r="DE8" i="130"/>
  <c r="DF8" i="130"/>
  <c r="DG8" i="130"/>
  <c r="DI8" i="130"/>
  <c r="W9" i="130"/>
  <c r="X9" i="130"/>
  <c r="AR9" i="130"/>
  <c r="AT9" i="130"/>
  <c r="AX9" i="130"/>
  <c r="AZ9" i="130"/>
  <c r="BB9" i="130"/>
  <c r="BD9" i="130"/>
  <c r="BM9" i="130"/>
  <c r="BO9" i="130"/>
  <c r="BS9" i="130"/>
  <c r="BU9" i="130"/>
  <c r="CF9" i="130"/>
  <c r="CQ9" i="130"/>
  <c r="CR9" i="130"/>
  <c r="DB9" i="130"/>
  <c r="DC9" i="130"/>
  <c r="DD9" i="130"/>
  <c r="DE9" i="130"/>
  <c r="DF9" i="130"/>
  <c r="DG9" i="130"/>
  <c r="DI9" i="130"/>
  <c r="W10" i="130"/>
  <c r="X10" i="130"/>
  <c r="AR10" i="130"/>
  <c r="AT10" i="130"/>
  <c r="AX10" i="130"/>
  <c r="AZ10" i="130"/>
  <c r="BB10" i="130"/>
  <c r="BD10" i="130"/>
  <c r="BM10" i="130"/>
  <c r="BO10" i="130"/>
  <c r="BS10" i="130"/>
  <c r="BU10" i="130"/>
  <c r="CF10" i="130"/>
  <c r="CQ10" i="130"/>
  <c r="CR10" i="130"/>
  <c r="DB10" i="130"/>
  <c r="DC10" i="130"/>
  <c r="DD10" i="130"/>
  <c r="DE10" i="130"/>
  <c r="DF10" i="130"/>
  <c r="DG10" i="130"/>
  <c r="W11" i="130"/>
  <c r="X11" i="130"/>
  <c r="AQ11" i="130"/>
  <c r="AS11" i="130"/>
  <c r="AU11" i="130"/>
  <c r="AX11" i="130"/>
  <c r="AZ11" i="130"/>
  <c r="BB11" i="130"/>
  <c r="BD11" i="130"/>
  <c r="BM11" i="130"/>
  <c r="BO11" i="130"/>
  <c r="BS11" i="130"/>
  <c r="BU11" i="130"/>
  <c r="CF11" i="130"/>
  <c r="CQ11" i="130"/>
  <c r="CR11" i="130"/>
  <c r="DC11" i="130"/>
  <c r="DE11" i="130"/>
  <c r="DF11" i="130"/>
  <c r="DG11" i="130"/>
  <c r="DH11" i="130"/>
  <c r="DI11" i="130"/>
  <c r="W12" i="130"/>
  <c r="X12" i="130"/>
  <c r="AQ12" i="130"/>
  <c r="AS12" i="130"/>
  <c r="AU12" i="130"/>
  <c r="AX12" i="130"/>
  <c r="AZ12" i="130"/>
  <c r="BB12" i="130"/>
  <c r="BD12" i="130"/>
  <c r="BM12" i="130"/>
  <c r="BO12" i="130"/>
  <c r="BS12" i="130"/>
  <c r="BU12" i="130"/>
  <c r="CF12" i="130"/>
  <c r="CH12" i="130"/>
  <c r="CI12" i="130"/>
  <c r="CJ12" i="130"/>
  <c r="CK12" i="130"/>
  <c r="CL12" i="130"/>
  <c r="CM12" i="130"/>
  <c r="CN12" i="130"/>
  <c r="CQ12" i="130"/>
  <c r="CR12" i="130"/>
  <c r="DC12" i="130"/>
  <c r="DE12" i="130"/>
  <c r="DF12" i="130"/>
  <c r="DG12" i="130"/>
  <c r="DH12" i="130"/>
  <c r="DI12" i="130"/>
  <c r="W13" i="130"/>
  <c r="X13" i="130"/>
  <c r="AQ13" i="130"/>
  <c r="AS13" i="130"/>
  <c r="AU13" i="130"/>
  <c r="AX13" i="130"/>
  <c r="AZ13" i="130"/>
  <c r="BB13" i="130"/>
  <c r="BD13" i="130"/>
  <c r="BM13" i="130"/>
  <c r="BO13" i="130"/>
  <c r="BS13" i="130"/>
  <c r="BU13" i="130"/>
  <c r="CF13" i="130"/>
  <c r="CH13" i="130"/>
  <c r="CI13" i="130"/>
  <c r="CJ13" i="130"/>
  <c r="CK13" i="130"/>
  <c r="CL13" i="130"/>
  <c r="CM13" i="130"/>
  <c r="CN13" i="130"/>
  <c r="CQ13" i="130"/>
  <c r="CR13" i="130"/>
  <c r="DC13" i="130"/>
  <c r="DE13" i="130"/>
  <c r="DF13" i="130"/>
  <c r="DG13" i="130"/>
  <c r="DH13" i="130"/>
  <c r="DI13" i="130"/>
  <c r="W14" i="130"/>
  <c r="X14" i="130"/>
  <c r="AQ14" i="130"/>
  <c r="AS14" i="130"/>
  <c r="AU14" i="130"/>
  <c r="BC14" i="130"/>
  <c r="BD14" i="130"/>
  <c r="BF14" i="130"/>
  <c r="BG14" i="130"/>
  <c r="BH14" i="130"/>
  <c r="BK14" i="130"/>
  <c r="BN14" i="130"/>
  <c r="BQ14" i="130"/>
  <c r="BS14" i="130"/>
  <c r="BU14" i="130"/>
  <c r="BY14" i="130"/>
  <c r="CC14" i="130"/>
  <c r="CG14" i="130"/>
  <c r="CK14" i="130"/>
  <c r="CP14" i="130"/>
  <c r="DC14" i="130"/>
  <c r="DE14" i="130"/>
  <c r="DF14" i="130"/>
  <c r="DG14" i="130"/>
  <c r="DH14" i="130"/>
  <c r="DI14" i="130"/>
  <c r="A15" i="130"/>
  <c r="S15" i="130"/>
  <c r="T15" i="130"/>
  <c r="U15" i="130"/>
  <c r="AK15" i="130"/>
  <c r="AM15" i="130"/>
  <c r="AV15" i="130"/>
  <c r="AX15" i="130"/>
  <c r="AZ15" i="130"/>
  <c r="BC15" i="130"/>
  <c r="BD15" i="130"/>
  <c r="BF15" i="130"/>
  <c r="BG15" i="130"/>
  <c r="BH15" i="130"/>
  <c r="BK15" i="130"/>
  <c r="BN15" i="130"/>
  <c r="BQ15" i="130"/>
  <c r="BS15" i="130"/>
  <c r="BU15" i="130"/>
  <c r="BY15" i="130"/>
  <c r="CC15" i="130"/>
  <c r="CG15" i="130"/>
  <c r="CK15" i="130"/>
  <c r="CP15" i="130"/>
  <c r="DC15" i="130"/>
  <c r="DE15" i="130"/>
  <c r="DF15" i="130"/>
  <c r="DG15" i="130"/>
  <c r="DH15" i="130"/>
  <c r="DI15" i="130"/>
  <c r="DO15" i="130"/>
  <c r="DP15" i="130"/>
  <c r="DQ15" i="130"/>
  <c r="DR15" i="130"/>
  <c r="DS15" i="130"/>
  <c r="DT15" i="130"/>
  <c r="DU15" i="130"/>
  <c r="DV15" i="130"/>
  <c r="DW15" i="130"/>
  <c r="A16" i="130"/>
  <c r="S16" i="130"/>
  <c r="T16" i="130"/>
  <c r="U16" i="130"/>
  <c r="W16" i="130"/>
  <c r="X16" i="130"/>
  <c r="AK16" i="130"/>
  <c r="AM16" i="130"/>
  <c r="AV16" i="130"/>
  <c r="AX16" i="130"/>
  <c r="AZ16" i="130"/>
  <c r="BC16" i="130"/>
  <c r="BD16" i="130"/>
  <c r="BF16" i="130"/>
  <c r="BG16" i="130"/>
  <c r="BH16" i="130"/>
  <c r="BK16" i="130"/>
  <c r="BN16" i="130"/>
  <c r="BQ16" i="130"/>
  <c r="BS16" i="130"/>
  <c r="BU16" i="130"/>
  <c r="BY16" i="130"/>
  <c r="CC16" i="130"/>
  <c r="CG16" i="130"/>
  <c r="CK16" i="130"/>
  <c r="CP16" i="130"/>
  <c r="CY16" i="130"/>
  <c r="CZ16" i="130"/>
  <c r="DA16" i="130"/>
  <c r="DD16" i="130"/>
  <c r="DE16" i="130"/>
  <c r="DF16" i="130"/>
  <c r="DG16" i="130"/>
  <c r="DH16" i="130"/>
  <c r="DI16" i="130"/>
  <c r="DO16" i="130"/>
  <c r="DP16" i="130"/>
  <c r="DQ16" i="130"/>
  <c r="DR16" i="130"/>
  <c r="DS16" i="130"/>
  <c r="DT16" i="130"/>
  <c r="DU16" i="130"/>
  <c r="DV16" i="130"/>
  <c r="DW16" i="130"/>
  <c r="A17" i="130"/>
  <c r="S17" i="130"/>
  <c r="T17" i="130"/>
  <c r="U17" i="130"/>
  <c r="W17" i="130"/>
  <c r="X17" i="130"/>
  <c r="AK17" i="130"/>
  <c r="AM17" i="130"/>
  <c r="AV17" i="130"/>
  <c r="AX17" i="130"/>
  <c r="AZ17" i="130"/>
  <c r="BC17" i="130"/>
  <c r="BD17" i="130"/>
  <c r="BF17" i="130"/>
  <c r="BG17" i="130"/>
  <c r="BH17" i="130"/>
  <c r="BK17" i="130"/>
  <c r="BN17" i="130"/>
  <c r="BQ17" i="130"/>
  <c r="BS17" i="130"/>
  <c r="BU17" i="130"/>
  <c r="BY17" i="130"/>
  <c r="CC17" i="130"/>
  <c r="CG17" i="130"/>
  <c r="CK17" i="130"/>
  <c r="CP17" i="130"/>
  <c r="CY17" i="130"/>
  <c r="CZ17" i="130"/>
  <c r="DA17" i="130"/>
  <c r="DD17" i="130"/>
  <c r="DE17" i="130"/>
  <c r="DF17" i="130"/>
  <c r="DG17" i="130"/>
  <c r="DH17" i="130"/>
  <c r="DI17" i="130"/>
  <c r="DO17" i="130"/>
  <c r="DP17" i="130"/>
  <c r="DQ17" i="130"/>
  <c r="DR17" i="130"/>
  <c r="DS17" i="130"/>
  <c r="DT17" i="130"/>
  <c r="DU17" i="130"/>
  <c r="DV17" i="130"/>
  <c r="DW17" i="130"/>
  <c r="A18" i="130"/>
  <c r="S18" i="130"/>
  <c r="T18" i="130"/>
  <c r="U18" i="130"/>
  <c r="W18" i="130"/>
  <c r="X18" i="130"/>
  <c r="AK18" i="130"/>
  <c r="AM18" i="130"/>
  <c r="AV18" i="130"/>
  <c r="AX18" i="130"/>
  <c r="AZ18" i="130"/>
  <c r="BC18" i="130"/>
  <c r="BD18" i="130"/>
  <c r="BF18" i="130"/>
  <c r="BG18" i="130"/>
  <c r="BH18" i="130"/>
  <c r="BK18" i="130"/>
  <c r="BN18" i="130"/>
  <c r="BQ18" i="130"/>
  <c r="BS18" i="130"/>
  <c r="BU18" i="130"/>
  <c r="BY18" i="130"/>
  <c r="CC18" i="130"/>
  <c r="CG18" i="130"/>
  <c r="CK18" i="130"/>
  <c r="CP18" i="130"/>
  <c r="CY18" i="130"/>
  <c r="CZ18" i="130"/>
  <c r="DA18" i="130"/>
  <c r="DD18" i="130"/>
  <c r="DE18" i="130"/>
  <c r="DF18" i="130"/>
  <c r="DG18" i="130"/>
  <c r="DH18" i="130"/>
  <c r="DI18" i="130"/>
  <c r="DO18" i="130"/>
  <c r="DP18" i="130"/>
  <c r="DQ18" i="130"/>
  <c r="DR18" i="130"/>
  <c r="DS18" i="130"/>
  <c r="DT18" i="130"/>
  <c r="DU18" i="130"/>
  <c r="DV18" i="130"/>
  <c r="DW18" i="130"/>
  <c r="A19" i="130"/>
  <c r="S19" i="130"/>
  <c r="T19" i="130"/>
  <c r="U19" i="130"/>
  <c r="W19" i="130"/>
  <c r="X19" i="130"/>
  <c r="AK19" i="130"/>
  <c r="AM19" i="130"/>
  <c r="AV19" i="130"/>
  <c r="AX19" i="130"/>
  <c r="AZ19" i="130"/>
  <c r="BC19" i="130"/>
  <c r="BD19" i="130"/>
  <c r="BF19" i="130"/>
  <c r="BG19" i="130"/>
  <c r="BH19" i="130"/>
  <c r="BK19" i="130"/>
  <c r="BN19" i="130"/>
  <c r="BQ19" i="130"/>
  <c r="BS19" i="130"/>
  <c r="BU19" i="130"/>
  <c r="BY19" i="130"/>
  <c r="CC19" i="130"/>
  <c r="CG19" i="130"/>
  <c r="CK19" i="130"/>
  <c r="CP19" i="130"/>
  <c r="CY19" i="130"/>
  <c r="CZ19" i="130"/>
  <c r="DA19" i="130"/>
  <c r="DD19" i="130"/>
  <c r="DE19" i="130"/>
  <c r="DF19" i="130"/>
  <c r="DG19" i="130"/>
  <c r="DH19" i="130"/>
  <c r="DI19" i="130"/>
  <c r="DO19" i="130"/>
  <c r="DP19" i="130"/>
  <c r="DQ19" i="130"/>
  <c r="DR19" i="130"/>
  <c r="DS19" i="130"/>
  <c r="DT19" i="130"/>
  <c r="DU19" i="130"/>
  <c r="DV19" i="130"/>
  <c r="DW19" i="130"/>
  <c r="A20" i="130"/>
  <c r="S20" i="130"/>
  <c r="T20" i="130"/>
  <c r="U20" i="130"/>
  <c r="W20" i="130"/>
  <c r="X20" i="130"/>
  <c r="AK20" i="130"/>
  <c r="AM20" i="130"/>
  <c r="AV20" i="130"/>
  <c r="AX20" i="130"/>
  <c r="AZ20" i="130"/>
  <c r="BC20" i="130"/>
  <c r="BD20" i="130"/>
  <c r="BF20" i="130"/>
  <c r="BG20" i="130"/>
  <c r="BH20" i="130"/>
  <c r="BK20" i="130"/>
  <c r="BN20" i="130"/>
  <c r="BQ20" i="130"/>
  <c r="BS20" i="130"/>
  <c r="BU20" i="130"/>
  <c r="BY20" i="130"/>
  <c r="CC20" i="130"/>
  <c r="CG20" i="130"/>
  <c r="CK20" i="130"/>
  <c r="CP20" i="130"/>
  <c r="CY20" i="130"/>
  <c r="CZ20" i="130"/>
  <c r="DA20" i="130"/>
  <c r="DD20" i="130"/>
  <c r="DE20" i="130"/>
  <c r="DF20" i="130"/>
  <c r="DG20" i="130"/>
  <c r="DH20" i="130"/>
  <c r="DI20" i="130"/>
  <c r="DO20" i="130"/>
  <c r="DP20" i="130"/>
  <c r="DQ20" i="130"/>
  <c r="DR20" i="130"/>
  <c r="DS20" i="130"/>
  <c r="DT20" i="130"/>
  <c r="DU20" i="130"/>
  <c r="DV20" i="130"/>
  <c r="DW20" i="130"/>
  <c r="A21" i="130"/>
  <c r="S21" i="130"/>
  <c r="T21" i="130"/>
  <c r="U21" i="130"/>
  <c r="W21" i="130"/>
  <c r="X21" i="130"/>
  <c r="AK21" i="130"/>
  <c r="AM21" i="130"/>
  <c r="AV21" i="130"/>
  <c r="AX21" i="130"/>
  <c r="AZ21" i="130"/>
  <c r="CY21" i="130"/>
  <c r="CZ21" i="130"/>
  <c r="DA21" i="130"/>
  <c r="DD21" i="130"/>
  <c r="DE21" i="130"/>
  <c r="DF21" i="130"/>
  <c r="DG21" i="130"/>
  <c r="DH21" i="130"/>
  <c r="DI21" i="130"/>
  <c r="DO21" i="130"/>
  <c r="DP21" i="130"/>
  <c r="DQ21" i="130"/>
  <c r="DR21" i="130"/>
  <c r="DS21" i="130"/>
  <c r="DT21" i="130"/>
  <c r="DU21" i="130"/>
  <c r="DV21" i="130"/>
  <c r="DW21" i="130"/>
  <c r="A22" i="130"/>
  <c r="S22" i="130"/>
  <c r="T22" i="130"/>
  <c r="U22" i="130"/>
  <c r="W22" i="130"/>
  <c r="X22" i="130"/>
  <c r="AJ22" i="130"/>
  <c r="AL22" i="130"/>
  <c r="AN22" i="130"/>
  <c r="AP22" i="130"/>
  <c r="AZ22" i="130"/>
  <c r="BA22" i="130"/>
  <c r="BC22" i="130"/>
  <c r="BD22" i="130"/>
  <c r="BE22" i="130"/>
  <c r="BH22" i="130"/>
  <c r="BK22" i="130"/>
  <c r="BN22" i="130"/>
  <c r="BP22" i="130"/>
  <c r="BR22" i="130"/>
  <c r="BV22" i="130"/>
  <c r="BZ22" i="130"/>
  <c r="CD22" i="130"/>
  <c r="CH22" i="130"/>
  <c r="CM22" i="130"/>
  <c r="CY22" i="130"/>
  <c r="CZ22" i="130"/>
  <c r="DA22" i="130"/>
  <c r="DD22" i="130"/>
  <c r="DE22" i="130"/>
  <c r="DF22" i="130"/>
  <c r="DG22" i="130"/>
  <c r="DH22" i="130"/>
  <c r="DI22" i="130"/>
  <c r="DO22" i="130"/>
  <c r="DP22" i="130"/>
  <c r="DQ22" i="130"/>
  <c r="DR22" i="130"/>
  <c r="DS22" i="130"/>
  <c r="DT22" i="130"/>
  <c r="DU22" i="130"/>
  <c r="DV22" i="130"/>
  <c r="DW22" i="130"/>
  <c r="A23" i="130"/>
  <c r="S23" i="130"/>
  <c r="T23" i="130"/>
  <c r="U23" i="130"/>
  <c r="W23" i="130"/>
  <c r="X23" i="130"/>
  <c r="AJ23" i="130"/>
  <c r="AL23" i="130"/>
  <c r="AN23" i="130"/>
  <c r="AP23" i="130"/>
  <c r="AZ23" i="130"/>
  <c r="BA23" i="130"/>
  <c r="BC23" i="130"/>
  <c r="BD23" i="130"/>
  <c r="BE23" i="130"/>
  <c r="BH23" i="130"/>
  <c r="BK23" i="130"/>
  <c r="BN23" i="130"/>
  <c r="BP23" i="130"/>
  <c r="BR23" i="130"/>
  <c r="BV23" i="130"/>
  <c r="BZ23" i="130"/>
  <c r="CD23" i="130"/>
  <c r="CH23" i="130"/>
  <c r="CM23" i="130"/>
  <c r="CY23" i="130"/>
  <c r="CZ23" i="130"/>
  <c r="DA23" i="130"/>
  <c r="DD23" i="130"/>
  <c r="DE23" i="130"/>
  <c r="DF23" i="130"/>
  <c r="DG23" i="130"/>
  <c r="DH23" i="130"/>
  <c r="DI23" i="130"/>
  <c r="DO23" i="130"/>
  <c r="DP23" i="130"/>
  <c r="DQ23" i="130"/>
  <c r="DR23" i="130"/>
  <c r="DS23" i="130"/>
  <c r="DT23" i="130"/>
  <c r="DU23" i="130"/>
  <c r="DV23" i="130"/>
  <c r="DW23" i="130"/>
  <c r="A24" i="130"/>
  <c r="S24" i="130"/>
  <c r="T24" i="130"/>
  <c r="U24" i="130"/>
  <c r="AJ24" i="130"/>
  <c r="AL24" i="130"/>
  <c r="AN24" i="130"/>
  <c r="AP24" i="130"/>
  <c r="AZ24" i="130"/>
  <c r="BA24" i="130"/>
  <c r="BC24" i="130"/>
  <c r="BD24" i="130"/>
  <c r="BE24" i="130"/>
  <c r="BH24" i="130"/>
  <c r="BK24" i="130"/>
  <c r="BN24" i="130"/>
  <c r="BP24" i="130"/>
  <c r="BR24" i="130"/>
  <c r="BV24" i="130"/>
  <c r="BZ24" i="130"/>
  <c r="CD24" i="130"/>
  <c r="CH24" i="130"/>
  <c r="CM24" i="130"/>
  <c r="CY24" i="130"/>
  <c r="CZ24" i="130"/>
  <c r="DA24" i="130"/>
  <c r="DD24" i="130"/>
  <c r="DE24" i="130"/>
  <c r="DF24" i="130"/>
  <c r="DG24" i="130"/>
  <c r="DH24" i="130"/>
  <c r="DI24" i="130"/>
  <c r="DO24" i="130"/>
  <c r="DP24" i="130"/>
  <c r="DQ24" i="130"/>
  <c r="DR24" i="130"/>
  <c r="DS24" i="130"/>
  <c r="DT24" i="130"/>
  <c r="DU24" i="130"/>
  <c r="DV24" i="130"/>
  <c r="DW24" i="130"/>
  <c r="A25" i="130"/>
  <c r="S25" i="130"/>
  <c r="T25" i="130"/>
  <c r="U25" i="130"/>
  <c r="AJ25" i="130"/>
  <c r="AL25" i="130"/>
  <c r="AN25" i="130"/>
  <c r="AP25" i="130"/>
  <c r="AZ25" i="130"/>
  <c r="BA25" i="130"/>
  <c r="BC25" i="130"/>
  <c r="BD25" i="130"/>
  <c r="BE25" i="130"/>
  <c r="BH25" i="130"/>
  <c r="BK25" i="130"/>
  <c r="BN25" i="130"/>
  <c r="BP25" i="130"/>
  <c r="BR25" i="130"/>
  <c r="BV25" i="130"/>
  <c r="BZ25" i="130"/>
  <c r="CD25" i="130"/>
  <c r="CH25" i="130"/>
  <c r="CM25" i="130"/>
  <c r="DO25" i="130"/>
  <c r="DP25" i="130"/>
  <c r="DQ25" i="130"/>
  <c r="DR25" i="130"/>
  <c r="DS25" i="130"/>
  <c r="DT25" i="130"/>
  <c r="DU25" i="130"/>
  <c r="DV25" i="130"/>
  <c r="DW25" i="130"/>
  <c r="A26" i="130"/>
  <c r="S26" i="130"/>
  <c r="T26" i="130"/>
  <c r="U26" i="130"/>
  <c r="AQ26" i="130"/>
  <c r="AS26" i="130"/>
  <c r="AU26" i="130"/>
  <c r="BA26" i="130"/>
  <c r="BF26" i="130"/>
  <c r="DO26" i="130"/>
  <c r="DP26" i="130"/>
  <c r="DQ26" i="130"/>
  <c r="DR26" i="130"/>
  <c r="DS26" i="130"/>
  <c r="DT26" i="130"/>
  <c r="DU26" i="130"/>
  <c r="DV26" i="130"/>
  <c r="DW26" i="130"/>
  <c r="S27" i="130"/>
  <c r="T27" i="130"/>
  <c r="U27" i="130"/>
  <c r="AQ27" i="130"/>
  <c r="AS27" i="130"/>
  <c r="AU27" i="130"/>
  <c r="BA27" i="130"/>
  <c r="BF27" i="130"/>
  <c r="DO27" i="130"/>
  <c r="DP27" i="130"/>
  <c r="DQ27" i="130"/>
  <c r="DR27" i="130"/>
  <c r="DW27" i="130"/>
  <c r="S28" i="130"/>
  <c r="T28" i="130"/>
  <c r="U28" i="130"/>
  <c r="AQ28" i="130"/>
  <c r="AS28" i="130"/>
  <c r="AU28" i="130"/>
  <c r="BA28" i="130"/>
  <c r="BF28" i="130"/>
  <c r="DO28" i="130"/>
  <c r="DP28" i="130"/>
  <c r="DQ28" i="130"/>
  <c r="DR28" i="130"/>
  <c r="DW28" i="130"/>
</calcChain>
</file>

<file path=xl/sharedStrings.xml><?xml version="1.0" encoding="utf-8"?>
<sst xmlns="http://schemas.openxmlformats.org/spreadsheetml/2006/main" count="765" uniqueCount="148">
  <si>
    <t>-</t>
  </si>
  <si>
    <t>Yok</t>
  </si>
  <si>
    <t>Temizlik Yardımı</t>
  </si>
  <si>
    <t>Doğal Afet Yardımı</t>
  </si>
  <si>
    <t>Kıdem Yardımı</t>
  </si>
  <si>
    <t>Resmi Tatillerde Çalışma</t>
  </si>
  <si>
    <t>SGK Prim Kesintisi</t>
  </si>
  <si>
    <t>SGK İşsizlik Primi Kesintisi</t>
  </si>
  <si>
    <t>Yemek Yardımı</t>
  </si>
  <si>
    <t>Sosyal Yardım</t>
  </si>
  <si>
    <t>Evlilik Yardımı</t>
  </si>
  <si>
    <t>Gece Çalışma</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</si>
  <si>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</si>
  <si>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</si>
  <si>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</si>
  <si>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</si>
  <si>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</si>
  <si>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</si>
  <si>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</si>
  <si>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</si>
  <si>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</si>
  <si>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</si>
  <si>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</si>
  <si>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</si>
  <si>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</si>
  <si>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</si>
  <si>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</si>
  <si>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</si>
  <si>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</si>
  <si>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</si>
  <si>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</si>
  <si>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</si>
  <si>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</si>
  <si>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</si>
  <si>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</si>
  <si>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</si>
  <si>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</si>
  <si>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</si>
  <si>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</si>
  <si>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</si>
  <si>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</si>
  <si>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</si>
  <si>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</si>
  <si>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</si>
  <si>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</si>
  <si>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</si>
  <si>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</si>
  <si>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</si>
  <si>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</si>
  <si>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</si>
  <si>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</si>
  <si>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Fazla Çalışma (Gündüz / Gece)</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</si>
  <si>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</si>
  <si>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Yıllık Toplam</t>
  </si>
  <si>
    <t>Yıllık Ortalama</t>
  </si>
  <si>
    <t xml:space="preserve">   Kıdem Yardımı</t>
  </si>
  <si>
    <t xml:space="preserve">   Fazla Çalışma
   (Gündüz / Gece)</t>
  </si>
  <si>
    <t xml:space="preserve">   Gece Çalışma</t>
  </si>
  <si>
    <t xml:space="preserve">   Yemek Yardımı</t>
  </si>
  <si>
    <t xml:space="preserve">   Nakdi Yardımlar
   Sürekliliği Olmayan Yardımlar</t>
  </si>
  <si>
    <t xml:space="preserve">   Kesintiler / Özel
   BES Kesintisi</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</si>
  <si>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</si>
  <si>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</si>
  <si>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</si>
  <si>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</si>
  <si>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</si>
  <si>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</si>
  <si>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</si>
  <si>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</si>
  <si>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</si>
  <si>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</si>
  <si>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</si>
  <si>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</si>
  <si>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</si>
  <si>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</si>
  <si>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</si>
  <si>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Mekanik / Teknik Sorumlusu</t>
  </si>
  <si>
    <t>Elektrik Sorumlusu</t>
  </si>
  <si>
    <t>Otomasyon Sistem Sorumlusu</t>
  </si>
  <si>
    <t>Bilgi İşlem Sorumlusu</t>
  </si>
  <si>
    <t>Bakım Onarım Sorumlusu</t>
  </si>
  <si>
    <t>İskeleler Sorumlusu</t>
  </si>
  <si>
    <t>Ambar ve Stok Kontrol Sorumlusu</t>
  </si>
  <si>
    <t>Akaryakıt Sorumlusu</t>
  </si>
  <si>
    <t>İnsan Kaynakları ve Eğitim Sorumlusu</t>
  </si>
  <si>
    <t>Muhasebe ve Finansman Sorumlusu</t>
  </si>
  <si>
    <t>İhale ve Satınalma Sorumlusu</t>
  </si>
  <si>
    <t>Halkla İlişkiler Sorumlusu</t>
  </si>
  <si>
    <t>Yazı İşleri Sorumlusu</t>
  </si>
  <si>
    <t>Gişeler Sorumlusu</t>
  </si>
  <si>
    <t>Temizlik / Güvenlik Sorumlusu</t>
  </si>
  <si>
    <t>İskele Sorumlusu</t>
  </si>
  <si>
    <t>1S-Atölye Personeli</t>
  </si>
  <si>
    <t>1S-Bilgi İşlem Büro Personeli</t>
  </si>
  <si>
    <t>1S-Şoför</t>
  </si>
  <si>
    <t>1S-Büro Personeli</t>
  </si>
  <si>
    <t>1S-Yönetim / Genel Müdür Sekreteri</t>
  </si>
  <si>
    <t>1S-İskele Personeli</t>
  </si>
  <si>
    <t>1S-Gişe Personeli</t>
  </si>
  <si>
    <t>1S-Çımacı / Palamarcı</t>
  </si>
  <si>
    <t>1S-Temizlik Personeli</t>
  </si>
  <si>
    <t>2S-Atölye Personeli</t>
  </si>
  <si>
    <t>2S-Bilgi İşlem Büro Personeli</t>
  </si>
  <si>
    <t>2S-Şoför</t>
  </si>
  <si>
    <t>2S-Büro Personeli</t>
  </si>
  <si>
    <t>2S-Yönetim / Genel Müdür Sekreteri</t>
  </si>
  <si>
    <t>2S-İskele Personeli</t>
  </si>
  <si>
    <t>2S-Gişe Personeli</t>
  </si>
  <si>
    <t>2S-Çımacı / Palamarcı</t>
  </si>
  <si>
    <t>2S-Temizlik Personeli</t>
  </si>
  <si>
    <t xml:space="preserve">   Resmi Tatillerde Çalışma
   (Gün Hesabı)</t>
  </si>
  <si>
    <t xml:space="preserve">   Görev Primi
   Çımacı, Temizlik Personeli
   (Her Vardiya)</t>
  </si>
  <si>
    <t>Bayram Yardımı (Kurban)</t>
  </si>
  <si>
    <t>Bayram Yardımı (Ramazan)</t>
  </si>
  <si>
    <t>Doğum Yardımı (İşveren)</t>
  </si>
  <si>
    <t>Eğitim Yardımı (Çocuk-Zorunlu Anaokulu)</t>
  </si>
  <si>
    <t>Eğitim Yardımı (Çocuk-Engelli)</t>
  </si>
  <si>
    <t>Sünnet Yardımı</t>
  </si>
  <si>
    <t xml:space="preserve">   Aile Yardımı
   657 sayılı Kanun / Madde 202
   Eş İçin</t>
  </si>
  <si>
    <t xml:space="preserve">   Aile Yardımı
   657 sayılı Kanun / Madde 202
   Çocuk İçin / 6 Yaş Öncesi</t>
  </si>
  <si>
    <t xml:space="preserve">   Aile Yardımı
   657 sayılı Kanun / Madde 202
   Çocuk İçin / 6 Yaş Sonrası</t>
  </si>
  <si>
    <t xml:space="preserve">   Aile Yardımı
   657 sayılı Kanun / Madde 202
   Engelli Çocuk İçin / 6 Yaş Öncesi</t>
  </si>
  <si>
    <t xml:space="preserve">   Aile Yardımı
   657 sayılı Kanun / Madde 202
   Engelli Çocuk İçin / 6 Yaş Sonrası</t>
  </si>
  <si>
    <t>Yakacak Yardımı</t>
  </si>
  <si>
    <t>Görev Primi</t>
  </si>
  <si>
    <t>Aile Yardımı (Eş İçin)</t>
  </si>
  <si>
    <t>Aile Yardımı (Çocuk İçin)</t>
  </si>
  <si>
    <r>
      <t xml:space="preserve">   Sonraki Ayın 7'sinde
   Fazla Çalışma (Gündüz / Gece)
   Resmi Tatillerde Çalışma
   Gece Çalışma
   Yemek Yardımı
   </t>
    </r>
    <r>
      <rPr>
        <b/>
        <sz val="16"/>
        <rFont val="Calibri"/>
        <family val="2"/>
        <charset val="162"/>
        <scheme val="minor"/>
      </rPr>
      <t>Net</t>
    </r>
  </si>
  <si>
    <t xml:space="preserve">   Ulaşım Yardımı
   (Kontör)</t>
  </si>
  <si>
    <r>
      <t xml:space="preserve">a) Kadın işçilerin </t>
    </r>
    <r>
      <rPr>
        <b/>
        <sz val="16"/>
        <color theme="0" tint="-0.14999847407452621"/>
        <rFont val="Calibri"/>
        <family val="2"/>
        <charset val="162"/>
        <scheme val="minor"/>
      </rPr>
      <t>doğumdan önce 8 ve doğumdan sonra 8 hafta</t>
    </r>
    <r>
      <rPr>
        <sz val="16"/>
        <color theme="0" tint="-0.14999847407452621"/>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</si>
  <si>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tint="-0.14999847407452621"/>
        <rFont val="Calibri"/>
        <family val="2"/>
        <charset val="162"/>
        <scheme val="minor"/>
      </rPr>
      <t>bir yıl içinde toptan veya bölümler hâlinde 10 güne kadar</t>
    </r>
    <r>
      <rPr>
        <sz val="16"/>
        <color theme="0" tint="-0.14999847407452621"/>
        <rFont val="Calibri"/>
        <family val="2"/>
        <charset val="162"/>
        <scheme val="minor"/>
      </rPr>
      <t xml:space="preserve"> ücretli izin verilir.
(4857 sayılı İş Kanunu / Ek Madde 2)</t>
    </r>
  </si>
  <si>
    <r>
      <t xml:space="preserve">a) İşçiye; evlat edinmesi hâlinde </t>
    </r>
    <r>
      <rPr>
        <b/>
        <sz val="16"/>
        <color theme="0" tint="-0.14999847407452621"/>
        <rFont val="Calibri"/>
        <family val="2"/>
        <charset val="162"/>
        <scheme val="minor"/>
      </rPr>
      <t>3 gün</t>
    </r>
    <r>
      <rPr>
        <sz val="16"/>
        <color theme="0" tint="-0.14999847407452621"/>
        <rFont val="Calibri"/>
        <family val="2"/>
        <charset val="162"/>
        <scheme val="minor"/>
      </rPr>
      <t xml:space="preserve"> ücretli izin verilir.
(4857 sayılı İş Kanunu / Ek Madde 2)</t>
    </r>
  </si>
  <si>
    <r>
      <t xml:space="preserve">a) Kadın işçilere bir yaşından küçük çocuklarını emzirmeleri için </t>
    </r>
    <r>
      <rPr>
        <b/>
        <sz val="16"/>
        <color theme="0" tint="-0.14999847407452621"/>
        <rFont val="Calibri"/>
        <family val="2"/>
        <charset val="162"/>
        <scheme val="minor"/>
      </rPr>
      <t>günde toplam 1,5 saat</t>
    </r>
    <r>
      <rPr>
        <sz val="16"/>
        <color theme="0" tint="-0.14999847407452621"/>
        <rFont val="Calibri"/>
        <family val="2"/>
        <charset val="162"/>
        <scheme val="minor"/>
      </rPr>
      <t xml:space="preserve"> süt izni verilir.
(4857 sayılı İş Kanunu / Madde 74)</t>
    </r>
  </si>
  <si>
    <t>a) İşçinin eşinin veya çocuğunun vefatı hâlinde 6 iş günü ücretli sosyal izin verilir.
b) İşçinin annesinin, babasının veya kardeşinin vefatı hâlinde 5 iş günü ücretli sosyal izin verilir.
c) İşçinin eşinin annesinin, babasının veya kardeşinin vefatı hâlinde 2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1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</si>
  <si>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a) İşçinin ikamet ettiği konutun doğal afet nedeniyle hasara uğraması hâlinde 15 iş günü ücretli sosyal izin verilir.</t>
  </si>
  <si>
    <t>Dünya Engelliler Günü İzni</t>
  </si>
  <si>
    <t>a) Engelli kadrosundaki işçilere her yıl 3 Aralık Dünya Engelliler Günü için 1 iş günü ücretli sosyal izin verilir.</t>
  </si>
  <si>
    <t>a) İşçinin evlenmesi hâlinde 7 iş günü ücretli sosyal izin verilir.
b) İşçinin çocuğunun evlenmesi hâlinde 5 iş günü ücretli sosyal izin verilir.
c) İşçinin evliliğinde, evlilik izninin hangi şekilde kullanılacağı işçinin talebi doğrultusunda değerlendirilir.</t>
  </si>
  <si>
    <t>a) Bildirim süreleri içinde işveren, işçiye yeni bir iş bulması için gerekli olan iş arama iznini iş saatleri içinde ve ücret kesintisi yapmadan vermeye mecburdur. İş arama izninin süresi günde 3 saatten az olamaz ve işçi isterse iş arama izin saatlerini birleştirerek toplu kullanabilir.</t>
  </si>
  <si>
    <t>Kadınlar Günü İzni</t>
  </si>
  <si>
    <t>a) Kadın işçilere her yıl 8 Mart Dünya Kadınlar günü için 1 iş günü ücretli sosyal izin verilir.</t>
  </si>
  <si>
    <t>Kan Bağışı İzni</t>
  </si>
  <si>
    <t>a) İşverenin işçiyi kan bağışı için çağırdığı gün işçi ücretli sosyal izinli sayılır.</t>
  </si>
  <si>
    <t>a) İşçilere, gerekli ve geçerli mazeretleri hâlinde işverenin takdirine bağlı olarak yılda 7 iş günü ücretli sosyal izin verilir.
b) İşçilere, gerekli ve geçerli mazeretleri hâlinde işverenin takdirine bağlı olarak yılda 3 aya kadar ücretsiz sosyal izin verilebilir.</t>
  </si>
  <si>
    <t>Sünnet İzni</t>
  </si>
  <si>
    <t>a) İşçinin çocuğunun sünnet olması hâlinde 5 iş günü ücretli sosyal izin verilir.</t>
  </si>
  <si>
    <t>a) Yönetim Kurulu ve Baştemsilci İzni İşyeri Mevcudu Haftalık İzin süresi:
Yönetim Kurulu üyelerine haftalık 22 saat, 
Denetim ve Disiplin Kurulu üyelerine haftalık 6 saat,
Baştemsilcilere haftalık 15 saat ücretli sendikal izin verilir.
İşyeri disiplin kurulu üyeleri disiplin kurulu toplantısına çağrıldıkları günler ücretli izinli sayılırlar.
(10. Dönem Toplu İş Sözleşmesi / Madde 22)
b) Temsilci İzni:
Temsilcilere;
Kara personeli temsilcilerine haftalık 7,5 saat,
Gemi personeli temsilcilerine haftalık 8 saat ücretli sendikal izin verilir.
İzin zaruretine göre bu izinler en fazla 2'ye bölünerek kullandırılır.
(10. Dönem Toplu İş Sözleşmesi / Madde 22)
c) İşyerinde işçi sayısı 50’ye kadar ise yıllık en fazla 35 iş günü ücretli izin verilir.
İşyerinde işçi sayısı 51 ile 100 arasında ise yıllık en fazla 45 iş günü ücretli izin verilir.
İşyerinde işçi sayısı 101 ile 200 arasında ise yıllık en fazla 65 iş günü ücretli izin verilir.
İşyerinde işçi sayısı 201 ile 500 arasında ise yıllık en fazla 85 iş günü ücretli izin verilir.
İşyerinde işçi sayısı 501 ile 1000 arasında ise yıllık en fazla 105 iş günü ücretli izin verilir.
İşyerinde işçi sayısı 1000 işçiden fazla ise yıllık en fazla işçi sayısının % 10'u kadar iş günü ücretli sendikal izin verilir.
(10. Dönem Toplu İş Sözleşmesi / Madde 22)
ç) Sendikal faaliyetler için sendikanın yazılı talebi üzerine ve işverenin hizmetlerini aksatmamak suretiyle, işçilere ayrı ayrı olmadan çalışan kişi sayısı karşılığına gelen gün kadar yıllık ücretli sendikal izin kullandırılır.
d)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</si>
  <si>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t>a) Hizmeti 6 ay olanlar için 0 iş günü ücretli yıllık izin verilir.
Hizmeti 1-5 yıl olanlar için 21 iş günü ücretli yıllık izin verilir.
Hizmeti 5-10 yıl olanlar için 26 iş günü ücretli yıllık izin verilir.
Hizmeti 10-15 yıl olanlar için 30 iş günü ücretli yıllık izin verilir.
Hizmeti 15 yıldan fazla olanlar için 30 iş günü ücretli yıllık izin verilir.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</si>
</sst>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000000"/>
    <numFmt numFmtId="172" formatCode="0\ &quot;Çocuk&quot;"/>
    <numFmt numFmtId="173" formatCode="0.0"/>
  </numFmts>
  <fonts count="15"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tint="-0.14999847407452621"/>
      <name val="Calibri"/>
      <family val="2"/>
      <charset val="162"/>
      <scheme val="minor"/>
    </font>
    <font>
      <b/>
      <sz val="16"/>
      <color theme="0" tint="-0.14999847407452621"/>
      <name val="Calibri"/>
      <family val="2"/>
      <charset val="162"/>
      <scheme val="minor"/>
    </font>
    <font>
      <sz val="16"/>
      <color theme="0"/>
      <name val="Calibri"/>
      <family val="2"/>
      <charset val="162"/>
      <scheme val="minor"/>
    </font>
    <font>
      <sz val="16"/>
      <color theme="0"/>
      <name val="Calibri"/>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82">
    <xf numFmtId="0" fontId="0" fillId="0" borderId="0" xfId="0"/>
    <xf numFmtId="0" fontId="5" fillId="2" borderId="1" xfId="2" applyFont="1" applyFill="1" applyBorder="1" applyAlignment="1" applyProtection="1">
      <alignment horizontal="center" vertical="center"/>
      <protection hidden="1"/>
    </xf>
    <xf numFmtId="0" fontId="5" fillId="0" borderId="0" xfId="2" applyFont="1" applyAlignment="1" applyProtection="1">
      <alignment horizontal="center" vertical="center"/>
      <protection hidden="1"/>
    </xf>
    <xf numFmtId="168" fontId="5"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6" fontId="6" fillId="4" borderId="1" xfId="2" applyNumberFormat="1" applyFont="1" applyFill="1" applyBorder="1" applyAlignment="1" applyProtection="1">
      <alignment horizontal="center" vertical="center"/>
      <protection hidden="1"/>
    </xf>
    <xf numFmtId="166" fontId="8" fillId="4" borderId="1"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4" fontId="5" fillId="2" borderId="9" xfId="2" applyNumberFormat="1" applyFont="1" applyFill="1" applyBorder="1" applyAlignment="1" applyProtection="1">
      <alignment horizontal="center" vertical="center"/>
      <protection hidden="1"/>
    </xf>
    <xf numFmtId="166" fontId="6" fillId="2" borderId="1" xfId="2" applyNumberFormat="1" applyFont="1" applyFill="1" applyBorder="1" applyAlignment="1" applyProtection="1">
      <alignment horizontal="center" vertical="center"/>
      <protection hidden="1"/>
    </xf>
    <xf numFmtId="166" fontId="8"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0" fontId="5" fillId="0" borderId="0" xfId="2" applyFont="1" applyFill="1" applyAlignment="1" applyProtection="1">
      <alignment horizontal="center" vertical="center"/>
      <protection hidden="1"/>
    </xf>
    <xf numFmtId="0" fontId="5" fillId="0" borderId="0" xfId="2" applyFont="1" applyAlignment="1" applyProtection="1">
      <alignment horizontal="right" vertical="center" indent="1"/>
      <protection hidden="1"/>
    </xf>
    <xf numFmtId="173" fontId="5" fillId="2" borderId="1" xfId="2" applyNumberFormat="1" applyFont="1" applyFill="1" applyBorder="1" applyAlignment="1" applyProtection="1">
      <alignment horizontal="center" vertical="center"/>
      <protection hidden="1"/>
    </xf>
    <xf numFmtId="0" fontId="11" fillId="2" borderId="0" xfId="2"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protection hidden="1"/>
    </xf>
    <xf numFmtId="2" fontId="11" fillId="2" borderId="0" xfId="2" applyNumberFormat="1" applyFont="1" applyFill="1" applyBorder="1" applyAlignment="1" applyProtection="1">
      <alignment horizontal="center" vertical="center" wrapText="1"/>
      <protection hidden="1"/>
    </xf>
    <xf numFmtId="0" fontId="5" fillId="0" borderId="0" xfId="2" applyFont="1" applyFill="1" applyBorder="1" applyAlignment="1" applyProtection="1">
      <alignment horizontal="center" vertical="center"/>
      <protection hidden="1"/>
    </xf>
    <xf numFmtId="49" fontId="11" fillId="2" borderId="0" xfId="2" applyNumberFormat="1" applyFont="1" applyFill="1" applyBorder="1" applyAlignment="1" applyProtection="1">
      <alignment horizontal="center" vertical="center" wrapText="1"/>
      <protection hidden="1"/>
    </xf>
    <xf numFmtId="2" fontId="13" fillId="0" borderId="0" xfId="0" applyNumberFormat="1" applyFont="1" applyFill="1" applyBorder="1" applyAlignment="1" applyProtection="1">
      <alignment horizontal="center" vertical="center" wrapText="1"/>
      <protection hidden="1"/>
    </xf>
    <xf numFmtId="166" fontId="14" fillId="0" borderId="0" xfId="0" applyNumberFormat="1" applyFont="1" applyFill="1" applyBorder="1" applyAlignment="1" applyProtection="1">
      <alignment horizontal="center" vertical="center"/>
      <protection hidden="1"/>
    </xf>
    <xf numFmtId="169" fontId="13" fillId="0" borderId="0" xfId="2"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protection hidden="1"/>
    </xf>
    <xf numFmtId="3" fontId="13" fillId="0" borderId="0" xfId="2" applyNumberFormat="1" applyFont="1" applyFill="1" applyBorder="1" applyAlignment="1" applyProtection="1">
      <alignment horizontal="center" vertical="center"/>
      <protection hidden="1"/>
    </xf>
    <xf numFmtId="165" fontId="13" fillId="0" borderId="0" xfId="2" applyNumberFormat="1" applyFont="1" applyFill="1" applyBorder="1" applyAlignment="1" applyProtection="1">
      <alignment horizontal="center" vertical="center"/>
      <protection hidden="1"/>
    </xf>
    <xf numFmtId="167" fontId="13" fillId="0" borderId="0" xfId="2" applyNumberFormat="1" applyFont="1" applyFill="1" applyBorder="1" applyAlignment="1" applyProtection="1">
      <alignment horizontal="center" vertical="center"/>
      <protection hidden="1"/>
    </xf>
    <xf numFmtId="168" fontId="13" fillId="0" borderId="0" xfId="2"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wrapText="1"/>
      <protection hidden="1"/>
    </xf>
    <xf numFmtId="169" fontId="13" fillId="0" borderId="0" xfId="4" applyNumberFormat="1"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center" vertical="center"/>
      <protection hidden="1"/>
    </xf>
    <xf numFmtId="2" fontId="13" fillId="0" borderId="0" xfId="2" applyNumberFormat="1" applyFont="1" applyFill="1" applyBorder="1" applyAlignment="1" applyProtection="1">
      <alignment horizontal="center" vertical="center" wrapText="1"/>
      <protection hidden="1"/>
    </xf>
    <xf numFmtId="0" fontId="13" fillId="0" borderId="0" xfId="3" applyFont="1" applyFill="1" applyBorder="1" applyAlignment="1" applyProtection="1">
      <alignment horizontal="center" vertical="center"/>
      <protection hidden="1"/>
    </xf>
    <xf numFmtId="2" fontId="13" fillId="0" borderId="0" xfId="3" applyNumberFormat="1" applyFont="1" applyFill="1" applyBorder="1" applyAlignment="1" applyProtection="1">
      <alignment horizontal="center" vertical="center"/>
      <protection hidden="1"/>
    </xf>
    <xf numFmtId="166" fontId="13" fillId="0" borderId="0" xfId="3" applyNumberFormat="1" applyFont="1" applyFill="1" applyBorder="1" applyAlignment="1" applyProtection="1">
      <alignment horizontal="center" vertical="center"/>
      <protection hidden="1"/>
    </xf>
    <xf numFmtId="171" fontId="13" fillId="0" borderId="0" xfId="2" applyNumberFormat="1" applyFont="1" applyFill="1" applyBorder="1" applyAlignment="1" applyProtection="1">
      <alignment horizontal="center" vertical="center"/>
      <protection hidden="1"/>
    </xf>
    <xf numFmtId="166" fontId="13" fillId="0" borderId="0" xfId="4"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protection hidden="1"/>
    </xf>
    <xf numFmtId="164" fontId="13" fillId="0" borderId="0" xfId="0" applyNumberFormat="1" applyFont="1" applyFill="1" applyBorder="1" applyAlignment="1" applyProtection="1">
      <alignment horizontal="center" vertical="center"/>
      <protection hidden="1"/>
    </xf>
    <xf numFmtId="165" fontId="13" fillId="0" borderId="0" xfId="0" applyNumberFormat="1" applyFont="1" applyFill="1" applyBorder="1" applyAlignment="1" applyProtection="1">
      <alignment horizontal="center" vertical="center"/>
      <protection hidden="1"/>
    </xf>
    <xf numFmtId="172" fontId="13" fillId="0" borderId="0" xfId="2" applyNumberFormat="1" applyFont="1" applyFill="1" applyBorder="1" applyAlignment="1" applyProtection="1">
      <alignment horizontal="center" vertical="center"/>
      <protection hidden="1"/>
    </xf>
    <xf numFmtId="164" fontId="13" fillId="0" borderId="0" xfId="2"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wrapText="1"/>
      <protection hidden="1"/>
    </xf>
    <xf numFmtId="49" fontId="13" fillId="0" borderId="0" xfId="3" applyNumberFormat="1" applyFont="1" applyFill="1" applyBorder="1" applyAlignment="1" applyProtection="1">
      <alignment horizontal="center" vertical="center"/>
      <protection hidden="1"/>
    </xf>
    <xf numFmtId="0" fontId="11" fillId="2" borderId="11" xfId="2" applyFont="1" applyFill="1" applyBorder="1" applyAlignment="1" applyProtection="1">
      <alignment horizontal="center" vertical="center"/>
      <protection hidden="1"/>
    </xf>
    <xf numFmtId="0" fontId="11" fillId="2" borderId="12" xfId="2" applyFont="1" applyFill="1" applyBorder="1" applyAlignment="1" applyProtection="1">
      <alignment horizontal="center" vertical="center"/>
      <protection hidden="1"/>
    </xf>
    <xf numFmtId="0" fontId="11" fillId="2" borderId="13" xfId="2" applyFont="1" applyFill="1" applyBorder="1" applyAlignment="1" applyProtection="1">
      <alignment horizontal="center" vertical="center"/>
      <protection hidden="1"/>
    </xf>
    <xf numFmtId="1" fontId="5" fillId="3" borderId="1" xfId="2" applyNumberFormat="1" applyFont="1" applyFill="1" applyBorder="1" applyAlignment="1" applyProtection="1">
      <alignment horizontal="center" vertical="center"/>
      <protection locked="0" hidden="1"/>
    </xf>
    <xf numFmtId="173" fontId="5" fillId="3" borderId="1" xfId="3" applyNumberFormat="1" applyFont="1" applyFill="1" applyBorder="1" applyAlignment="1" applyProtection="1">
      <alignment horizontal="center" vertical="center"/>
      <protection locked="0" hidden="1"/>
    </xf>
    <xf numFmtId="2" fontId="5" fillId="3" borderId="9" xfId="2"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0" fontId="5" fillId="3" borderId="1" xfId="0" applyFont="1" applyFill="1" applyBorder="1" applyAlignment="1" applyProtection="1">
      <alignment horizontal="center" vertical="center" textRotation="90" wrapText="1"/>
      <protection locked="0" hidden="1"/>
    </xf>
    <xf numFmtId="2" fontId="5" fillId="2" borderId="1" xfId="2" applyNumberFormat="1" applyFont="1" applyFill="1" applyBorder="1" applyAlignment="1" applyProtection="1">
      <alignment horizontal="center" textRotation="90" wrapText="1"/>
      <protection hidden="1"/>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3" borderId="1" xfId="2" applyFont="1" applyFill="1" applyBorder="1" applyAlignment="1" applyProtection="1">
      <alignment horizontal="center" vertical="center" textRotation="90" wrapText="1"/>
      <protection locked="0"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protection hidden="1"/>
    </xf>
    <xf numFmtId="2" fontId="6" fillId="2" borderId="1" xfId="2" applyNumberFormat="1" applyFont="1" applyFill="1" applyBorder="1" applyAlignment="1" applyProtection="1">
      <alignment horizontal="right" vertical="center" wrapText="1" indent="1"/>
      <protection hidden="1"/>
    </xf>
    <xf numFmtId="2" fontId="9" fillId="3" borderId="1" xfId="2" applyNumberFormat="1" applyFont="1" applyFill="1" applyBorder="1" applyAlignment="1" applyProtection="1">
      <alignment horizontal="center" vertical="center" textRotation="90" wrapText="1"/>
      <protection locked="0" hidden="1"/>
    </xf>
    <xf numFmtId="170" fontId="10" fillId="2" borderId="1" xfId="2" applyNumberFormat="1" applyFont="1" applyFill="1" applyBorder="1" applyAlignment="1" applyProtection="1">
      <alignment horizontal="center" vertical="center" textRotation="90" wrapText="1"/>
      <protection hidden="1"/>
    </xf>
    <xf numFmtId="2" fontId="5" fillId="2" borderId="1" xfId="0" applyNumberFormat="1" applyFont="1" applyFill="1" applyBorder="1" applyAlignment="1" applyProtection="1">
      <alignment horizontal="center" textRotation="90" wrapText="1"/>
      <protection hidden="1"/>
    </xf>
    <xf numFmtId="2" fontId="7" fillId="2" borderId="1" xfId="2" applyNumberFormat="1" applyFont="1" applyFill="1" applyBorder="1" applyAlignment="1" applyProtection="1">
      <alignment horizontal="center" textRotation="90" wrapText="1"/>
      <protection hidden="1"/>
    </xf>
    <xf numFmtId="2" fontId="5" fillId="2" borderId="9" xfId="2" applyNumberFormat="1" applyFont="1" applyFill="1" applyBorder="1" applyAlignment="1" applyProtection="1">
      <alignment horizontal="center" textRotation="90" wrapText="1"/>
      <protection hidden="1"/>
    </xf>
    <xf numFmtId="0" fontId="11" fillId="2" borderId="0" xfId="2"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right" vertical="center" wrapText="1" indent="1"/>
      <protection locked="0"/>
    </xf>
    <xf numFmtId="49" fontId="11" fillId="2" borderId="0" xfId="0" applyNumberFormat="1" applyFont="1" applyFill="1" applyBorder="1" applyAlignment="1" applyProtection="1">
      <alignment horizontal="center" vertical="center" wrapText="1"/>
      <protection locked="0"/>
    </xf>
    <xf numFmtId="49" fontId="11" fillId="2" borderId="0" xfId="2" applyNumberFormat="1" applyFont="1" applyFill="1" applyBorder="1" applyAlignment="1" applyProtection="1">
      <alignment horizontal="center" vertical="center" wrapText="1"/>
      <protection locked="0"/>
    </xf>
    <xf numFmtId="166" fontId="11" fillId="2" borderId="0" xfId="2" applyNumberFormat="1" applyFont="1" applyFill="1" applyBorder="1" applyAlignment="1" applyProtection="1">
      <alignment horizontal="center" vertical="center" wrapText="1"/>
      <protection locked="0"/>
    </xf>
    <xf numFmtId="2" fontId="11" fillId="2" borderId="0" xfId="2" applyNumberFormat="1" applyFont="1" applyFill="1" applyBorder="1" applyAlignment="1" applyProtection="1">
      <alignment horizontal="right" vertical="center" wrapText="1" indent="1"/>
      <protection locked="0"/>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1"/>
            <c:invertIfNegative val="0"/>
            <c:bubble3D val="0"/>
            <c:spPr>
              <a:solidFill>
                <a:schemeClr val="tx1"/>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chemeClr val="tx1"/>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chemeClr val="tx1"/>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rgbClr val="C00000"/>
              </a:solidFill>
              <a:ln>
                <a:noFill/>
              </a:ln>
              <a:effectLst/>
            </c:spPr>
            <c:extLst>
              <c:ext xmlns:c16="http://schemas.microsoft.com/office/drawing/2014/chart" uri="{C3380CC4-5D6E-409C-BE32-E72D297353CC}">
                <c16:uniqueId val="{00000035-AE78-4387-9110-5162355EA1CE}"/>
              </c:ext>
            </c:extLst>
          </c:dPt>
          <c:dPt>
            <c:idx val="19"/>
            <c:invertIfNegative val="0"/>
            <c:bubble3D val="0"/>
            <c:spPr>
              <a:solidFill>
                <a:srgbClr val="C00000"/>
              </a:solidFill>
              <a:ln>
                <a:noFill/>
              </a:ln>
              <a:effectLst/>
            </c:spPr>
            <c:extLst>
              <c:ext xmlns:c16="http://schemas.microsoft.com/office/drawing/2014/chart" uri="{C3380CC4-5D6E-409C-BE32-E72D297353CC}">
                <c16:uniqueId val="{00000036-AE78-4387-9110-5162355EA1CE}"/>
              </c:ext>
            </c:extLst>
          </c:dPt>
          <c:dPt>
            <c:idx val="20"/>
            <c:invertIfNegative val="0"/>
            <c:bubble3D val="0"/>
            <c:spPr>
              <a:solidFill>
                <a:schemeClr val="bg1">
                  <a:lumMod val="50000"/>
                </a:schemeClr>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Tablo'!$V$1:$V$21</c:f>
              <c:strCache>
                <c:ptCount val="21"/>
                <c:pt idx="0">
                  <c:v>Normal Çalışma</c:v>
                </c:pt>
                <c:pt idx="1">
                  <c:v>Kıdem Yardımı</c:v>
                </c:pt>
                <c:pt idx="2">
                  <c:v>Fazla Çalışma (Gündüz / Gece)</c:v>
                </c:pt>
                <c:pt idx="3">
                  <c:v>Resmi Tatillerde Çalışma</c:v>
                </c:pt>
                <c:pt idx="4">
                  <c:v>Gece Çalışma</c:v>
                </c:pt>
                <c:pt idx="5">
                  <c:v>Yemek Yardımı</c:v>
                </c:pt>
                <c:pt idx="6">
                  <c:v>Ulaşım Yardımı</c:v>
                </c:pt>
                <c:pt idx="7">
                  <c:v>İkramiye Yardımı</c:v>
                </c:pt>
                <c:pt idx="8">
                  <c:v>Sosyal Yardım</c:v>
                </c:pt>
                <c:pt idx="9">
                  <c:v>Yakacak Yardımı</c:v>
                </c:pt>
                <c:pt idx="10">
                  <c:v>Görev Primi</c:v>
                </c:pt>
                <c:pt idx="11">
                  <c:v>Aile Yardımı (Eş İçin)</c:v>
                </c:pt>
                <c:pt idx="12">
                  <c:v>Aile Yardımı (Çocuk İçin)</c:v>
                </c:pt>
                <c:pt idx="13">
                  <c:v>Nakdi Yardımlar</c:v>
                </c:pt>
                <c:pt idx="14">
                  <c:v>Sendika Üyelik Aidatı Kesintisi</c:v>
                </c:pt>
                <c:pt idx="15">
                  <c:v>BES Kesintisi</c:v>
                </c:pt>
                <c:pt idx="16">
                  <c:v>Damga Vergisi Kesintisi</c:v>
                </c:pt>
                <c:pt idx="17">
                  <c:v>SGK Prim Kesintisi</c:v>
                </c:pt>
                <c:pt idx="18">
                  <c:v>SGK İşsizlik Primi Kesintisi</c:v>
                </c:pt>
                <c:pt idx="19">
                  <c:v>Gelir Vergisi Kesintisi</c:v>
                </c:pt>
                <c:pt idx="20">
                  <c:v>İşveren Maliyeti</c:v>
                </c:pt>
              </c:strCache>
            </c:strRef>
          </c:cat>
          <c:val>
            <c:numRef>
              <c:f>'Özet Tablo'!$W$1:$W$21</c:f>
              <c:numCache>
                <c:formatCode>#,##0.00\ "₺"</c:formatCode>
                <c:ptCount val="21"/>
                <c:pt idx="0">
                  <c:v>56279.862100810584</c:v>
                </c:pt>
                <c:pt idx="1">
                  <c:v>0</c:v>
                </c:pt>
                <c:pt idx="2">
                  <c:v>0</c:v>
                </c:pt>
                <c:pt idx="3">
                  <c:v>0</c:v>
                </c:pt>
                <c:pt idx="4">
                  <c:v>0</c:v>
                </c:pt>
                <c:pt idx="5">
                  <c:v>10054.279827512655</c:v>
                </c:pt>
                <c:pt idx="6">
                  <c:v>6988.8</c:v>
                </c:pt>
                <c:pt idx="7">
                  <c:v>17185.308451470555</c:v>
                </c:pt>
                <c:pt idx="8">
                  <c:v>6157.1129101076149</c:v>
                </c:pt>
                <c:pt idx="9">
                  <c:v>3078.5166418439153</c:v>
                </c:pt>
                <c:pt idx="10">
                  <c:v>0</c:v>
                </c:pt>
                <c:pt idx="11">
                  <c:v>0</c:v>
                </c:pt>
                <c:pt idx="12">
                  <c:v>0</c:v>
                </c:pt>
                <c:pt idx="13">
                  <c:v>0</c:v>
                </c:pt>
                <c:pt idx="14">
                  <c:v>2519.748</c:v>
                </c:pt>
                <c:pt idx="15">
                  <c:v>0</c:v>
                </c:pt>
                <c:pt idx="16">
                  <c:v>592.41437640000015</c:v>
                </c:pt>
                <c:pt idx="17">
                  <c:v>19079.13</c:v>
                </c:pt>
                <c:pt idx="18">
                  <c:v>1362.7950000000003</c:v>
                </c:pt>
                <c:pt idx="19">
                  <c:v>14957.97</c:v>
                </c:pt>
                <c:pt idx="20">
                  <c:v>171140.78340000001</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Tablo'!$V$22:$V$23</c:f>
              <c:strCache>
                <c:ptCount val="2"/>
                <c:pt idx="0">
                  <c:v>Kazançlar</c:v>
                </c:pt>
                <c:pt idx="1">
                  <c:v>Kesintiler</c:v>
                </c:pt>
              </c:strCache>
            </c:strRef>
          </c:cat>
          <c:val>
            <c:numRef>
              <c:f>'Özet Tablo'!$W$22:$W$23</c:f>
              <c:numCache>
                <c:formatCode>#,##0.00\ "₺"</c:formatCode>
                <c:ptCount val="2"/>
                <c:pt idx="0">
                  <c:v>101401.1026236</c:v>
                </c:pt>
                <c:pt idx="1">
                  <c:v>45500.857376400018</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25</xdr:col>
      <xdr:colOff>53463</xdr:colOff>
      <xdr:row>0</xdr:row>
      <xdr:rowOff>70921</xdr:rowOff>
    </xdr:from>
    <xdr:to>
      <xdr:col>25</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4966692</xdr:colOff>
      <xdr:row>8</xdr:row>
      <xdr:rowOff>125886</xdr:rowOff>
    </xdr:from>
    <xdr:to>
      <xdr:col>25</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TF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0" customHeight="1" zeroHeight="1" x14ac:dyDescent="0.25"/>
  <cols>
    <col min="1" max="18" width="12.7109375" style="2" customWidth="1"/>
    <col min="19" max="21" width="20.7109375" style="2" customWidth="1"/>
    <col min="22" max="24" width="0.140625" style="19" customWidth="1"/>
    <col min="25" max="25" width="5.7109375" style="12" customWidth="1"/>
    <col min="26" max="26" width="110.7109375" style="2" customWidth="1"/>
    <col min="27" max="28" width="100.7109375" style="75" hidden="1" customWidth="1"/>
    <col min="29" max="30" width="5.7109375" style="12" customWidth="1"/>
    <col min="31" max="31" width="80.7109375" style="12" customWidth="1"/>
    <col min="32" max="32" width="5.7109375" style="12" customWidth="1"/>
    <col min="33" max="127" width="5.7109375" style="24" hidden="1" customWidth="1"/>
    <col min="128" max="130" width="20.7109375" style="24" hidden="1" customWidth="1"/>
    <col min="131" max="131" width="1.7109375" style="2" customWidth="1"/>
    <col min="132" max="526" width="0" style="2" hidden="1" customWidth="1"/>
    <col min="527" max="16384" width="5.7109375" style="2" hidden="1"/>
  </cols>
  <sheetData>
    <row r="1" spans="1:131" ht="39.950000000000003" customHeight="1" x14ac:dyDescent="0.25">
      <c r="A1" s="70" t="s">
        <v>99</v>
      </c>
      <c r="B1" s="71">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C1" s="57" t="s">
        <v>55</v>
      </c>
      <c r="D1" s="57" t="s">
        <v>56</v>
      </c>
      <c r="E1" s="72" t="s">
        <v>110</v>
      </c>
      <c r="F1" s="72" t="s">
        <v>57</v>
      </c>
      <c r="G1" s="57" t="s">
        <v>58</v>
      </c>
      <c r="H1" s="57" t="s">
        <v>128</v>
      </c>
      <c r="I1" s="57" t="s">
        <v>111</v>
      </c>
      <c r="J1" s="74" t="s">
        <v>118</v>
      </c>
      <c r="K1" s="57" t="s">
        <v>119</v>
      </c>
      <c r="L1" s="57" t="s">
        <v>120</v>
      </c>
      <c r="M1" s="57" t="s">
        <v>121</v>
      </c>
      <c r="N1" s="57" t="s">
        <v>122</v>
      </c>
      <c r="O1" s="57" t="s">
        <v>59</v>
      </c>
      <c r="P1" s="57" t="s">
        <v>59</v>
      </c>
      <c r="Q1" s="57" t="s">
        <v>59</v>
      </c>
      <c r="R1" s="57" t="s">
        <v>60</v>
      </c>
      <c r="S1" s="57" t="s">
        <v>73</v>
      </c>
      <c r="T1" s="57" t="s">
        <v>127</v>
      </c>
      <c r="U1" s="73" t="s">
        <v>71</v>
      </c>
      <c r="V1" s="15" t="s">
        <v>33</v>
      </c>
      <c r="W1" s="16">
        <f t="shared" ref="W1:W9" ca="1" si="0">IF(X1&gt;0,X1,X1*-1)</f>
        <v>56279.862100810584</v>
      </c>
      <c r="X1" s="16">
        <f ca="1">COUNTIF(Y1,"Ocak")*(AK15)
+COUNTIF(Y1,"Şubat")*(AK16)
+COUNTIF(Y1,"Mart")*(AK17)
+COUNTIF(Y1,"Nisan")*(AK18)
+COUNTIF(Y1,"Mayıs")*(AK19)
+COUNTIF(Y1,"Haziran")*(AK20)
+COUNTIF(Y1,"Temmuz")*(AK21)
+COUNTIF(Y1,"Ağustos")*(AV1)
+COUNTIF(Y1,"Eylül")*(AV2)
+COUNTIF(Y1,"Ekim")*(AV3)
+COUNTIF(Y1,"Kasım")*(AR7)
+COUNTIF(Y1,"Aralık")*(AR8)
+COUNTIF(Y1,"Yıllık Toplam")*(AR9)
+COUNTIF(Y1,"Yıllık Ortalama")*(AR10)</f>
        <v>56279.862100810584</v>
      </c>
      <c r="Y1" s="64" t="s">
        <v>53</v>
      </c>
      <c r="Z1" s="68"/>
      <c r="AA1" s="76" t="s">
        <v>26</v>
      </c>
      <c r="AB1" s="76" t="s">
        <v>74</v>
      </c>
      <c r="AC1" s="56" t="s">
        <v>43</v>
      </c>
      <c r="AD1" s="61"/>
      <c r="AE1" s="62"/>
      <c r="AF1" s="63"/>
      <c r="AG1" s="21" t="s">
        <v>76</v>
      </c>
      <c r="AH1" s="22">
        <v>309.3</v>
      </c>
      <c r="AI1" s="22">
        <v>364.9</v>
      </c>
      <c r="AJ1" s="23">
        <f>(10%)</f>
        <v>0.1</v>
      </c>
      <c r="AK1" s="24" t="s">
        <v>0</v>
      </c>
      <c r="AL1" s="25">
        <f>($AL$7*$AJ$1)</f>
        <v>500.40000000000003</v>
      </c>
      <c r="AM1" s="25">
        <f>($AM$7*$AJ$1)</f>
        <v>647.1</v>
      </c>
      <c r="AN1" s="26">
        <f>(2273)</f>
        <v>2273</v>
      </c>
      <c r="AO1" s="24" t="s">
        <v>0</v>
      </c>
      <c r="AP1" s="25">
        <f>($AN$6*$AN$1)</f>
        <v>535.16648499999997</v>
      </c>
      <c r="AQ1" s="25">
        <f>($AO$6*$AN$1)</f>
        <v>758.27961899999991</v>
      </c>
      <c r="AR1" s="24">
        <f>(1500)</f>
        <v>1500</v>
      </c>
      <c r="AS1" s="24" t="s">
        <v>0</v>
      </c>
      <c r="AT1" s="25">
        <f>($AN$6*$AR$1)</f>
        <v>353.16749999999996</v>
      </c>
      <c r="AU1" s="25">
        <f>($AO$6*$AR$1)</f>
        <v>500.40449999999998</v>
      </c>
      <c r="AV1" s="25">
        <f ca="1">(AW11*CI3)</f>
        <v>5085.6995489492838</v>
      </c>
      <c r="AW1" s="25">
        <f>(0.58*C22)</f>
        <v>0</v>
      </c>
      <c r="AX1" s="25">
        <f ca="1">(AW1*CI3)</f>
        <v>0</v>
      </c>
      <c r="AY1" s="25">
        <f>(AT11/7.5*1.6*D22)</f>
        <v>0</v>
      </c>
      <c r="AZ1" s="25">
        <f>(AR22+AV22+AW22-AX22)</f>
        <v>1067.3519999999999</v>
      </c>
      <c r="BA1" s="25">
        <f ca="1">(AZ1*DV15*-1)</f>
        <v>-160.10279999999997</v>
      </c>
      <c r="BB1" s="25">
        <f ca="1">(ROUND((BC1+BD1),2))</f>
        <v>492.54</v>
      </c>
      <c r="BC1" s="25">
        <f>(4.7*H15)</f>
        <v>488.8</v>
      </c>
      <c r="BD1" s="25">
        <f ca="1">(BB1*0.00759)</f>
        <v>3.7383786000000003</v>
      </c>
      <c r="BE1" s="25">
        <f ca="1">(ROUND((BC1+BD1),2))</f>
        <v>492.54</v>
      </c>
      <c r="BF1" s="25">
        <f ca="1">(BB1)</f>
        <v>492.54</v>
      </c>
      <c r="BG1" s="27">
        <v>0</v>
      </c>
      <c r="BH1" s="25">
        <f>(AY15*BG1)</f>
        <v>0</v>
      </c>
      <c r="BI1" s="25">
        <f ca="1">(BH1*DE11)</f>
        <v>0</v>
      </c>
      <c r="BJ1" s="27">
        <v>30</v>
      </c>
      <c r="BK1" s="25">
        <f>(773.25/30*BJ1)</f>
        <v>773.25</v>
      </c>
      <c r="BL1" s="25">
        <f ca="1">(BK1*DE11)</f>
        <v>552.80415750000009</v>
      </c>
      <c r="BM1" s="27">
        <v>30</v>
      </c>
      <c r="BN1" s="25">
        <f>(386.62/30*BM1)</f>
        <v>386.62</v>
      </c>
      <c r="BO1" s="25">
        <f ca="1">(BN1*DE11)</f>
        <v>276.39850420000005</v>
      </c>
      <c r="BP1" s="25">
        <f>COUNTIF($A$1,"1S-Çımacı / Palamarcı")*(8.28*I15)
+COUNTIF($A$1,"2S-Çımacı / Palamarcı")*(8.28*I15)
+COUNTIF($A$1,"1S-Temizlik Personeli")*(5.52*I15)
+COUNTIF($A$1,"2S-Temizlik Personeli")*(5.52*I15)</f>
        <v>0</v>
      </c>
      <c r="BQ1" s="25">
        <f ca="1">(BP1*DE11)</f>
        <v>0</v>
      </c>
      <c r="BR1" s="25">
        <f>COUNTIF(J15,"Var")*($AP$1)</f>
        <v>0</v>
      </c>
      <c r="BS1" s="25">
        <f ca="1">COUNTIF(J15,"Var")*((BR1+(BR1*0.00759*-1)+((BR1-BT1)*0.14*-1)+((BR1-BT1)*0.01*-1)+(BR1+((BR1-BT1)*0.14*-1)+((BR1-BT1)*0.01*-1))*DV15*-1))</f>
        <v>0</v>
      </c>
      <c r="BT1" s="25">
        <f>COUNTIF(J15,"Var")*($AL$1)</f>
        <v>0</v>
      </c>
      <c r="BU1" s="25">
        <f>(0)</f>
        <v>0</v>
      </c>
      <c r="BV1" s="25">
        <f>($AP$2*K15)</f>
        <v>0</v>
      </c>
      <c r="BW1" s="25">
        <f ca="1">(BV1+(BV1*0.00759*-1)+((BV1-BX1)*0.14*-1)+((BV1-BX1)*0.01*-1)+(BV1+((BV1-BX1)*0.14*-1)+((BV1-BX1)*0.01*-1))*DV15*-1)</f>
        <v>0</v>
      </c>
      <c r="BX1" s="25">
        <f>($AL$2*K15)</f>
        <v>0</v>
      </c>
      <c r="BY1" s="25">
        <f>($AL$5*K15)</f>
        <v>0</v>
      </c>
      <c r="BZ1" s="25">
        <f>($AP$3*L15)</f>
        <v>0</v>
      </c>
      <c r="CA1" s="25">
        <f ca="1">(BZ1+(BZ1*0.00759*-1)+((BZ1-CB1)*0.14*-1)+((BZ1-CB1)*0.01*-1)+(BZ1+((BZ1-CB1)*0.14*-1)+((BZ1-CB1)*0.01*-1))*DV15*-1)</f>
        <v>0</v>
      </c>
      <c r="CB1" s="25">
        <f>($AL$3*L15)</f>
        <v>0</v>
      </c>
      <c r="CC1" s="25">
        <f>($AL$6*L15)</f>
        <v>0</v>
      </c>
      <c r="CD1" s="25">
        <f>($AP$4*M15)</f>
        <v>0</v>
      </c>
      <c r="CE1" s="25">
        <f ca="1">(CD1+(CD1*0.00759*-1)+((CD1-AX26)*0.14*-1)+((CD1-AX26)*0.01*-1)+(CD1+((CD1-AX26)*0.14*-1)+((CD1-AX26)*0.01*-1))*DV15*-1)</f>
        <v>0</v>
      </c>
      <c r="CF1" s="25">
        <f>(CT16)</f>
        <v>638.01</v>
      </c>
      <c r="CG1" s="25">
        <f ca="1">(DW20+CF1)</f>
        <v>-1480.5200000000002</v>
      </c>
      <c r="CH1" s="28">
        <f t="shared" ref="CG1:DJ15" si="1">(100+(100*0.00759*-1)+(100*0.14*-1)+(100*0.01*-1))/100</f>
        <v>0.84240999999999999</v>
      </c>
      <c r="CI1" s="28">
        <f ca="1">(100+(100*0.00759*-1)+(100*0.14*-1)+(100*0.01*-1)+(100+100*0.14*-1+100*0.01*-1)*DV20*-1)/100</f>
        <v>0.67240999999999995</v>
      </c>
      <c r="CJ1" s="28">
        <f ca="1">(100+(100*0.00759*-1)+(100)*DV20*-1)/100</f>
        <v>0.79240999999999995</v>
      </c>
      <c r="CK1" s="25">
        <f ca="1">(CZ16)</f>
        <v>13135.150000000001</v>
      </c>
      <c r="CL1" s="25">
        <f ca="1">(CK1*0.205)</f>
        <v>2692.7057500000001</v>
      </c>
      <c r="CM1" s="25">
        <f ca="1">(CK1*0.01)</f>
        <v>131.35150000000002</v>
      </c>
      <c r="CY1" s="25">
        <f>(0)</f>
        <v>0</v>
      </c>
      <c r="CZ1" s="29">
        <f>(0%)</f>
        <v>0</v>
      </c>
      <c r="DB1" s="28">
        <f>IF(DA2=0,CZ2,(VLOOKUP($CZ2,$CS$2:$CV$6,2,0)-CY1)/CX2*CZ1+(CY2-VLOOKUP($CZ2,$CS$2:$CV$6,2,0))/CX2*CZ2)</f>
        <v>0.15</v>
      </c>
      <c r="DC1" s="25">
        <f>(ROUND(CX2*DB1,2)+VLOOKUP(CZ2,$CS$2:$CV$6,4,0))</f>
        <v>638.01</v>
      </c>
      <c r="DD1" s="28">
        <f>(100+(100*0.00759*-1)+(100*0.01*-1)+(100*0.01*-1)+(100+100*0.14*-1+100*0.01*-1)*DB1*-1)/100</f>
        <v>0.84491000000000005</v>
      </c>
      <c r="DE1" s="25">
        <f>BW10</f>
        <v>5004</v>
      </c>
      <c r="DF1" s="25">
        <f>BW10+BZ10+CC10+CD10</f>
        <v>4253.3999999999996</v>
      </c>
      <c r="DG1" s="25" t="s">
        <v>0</v>
      </c>
      <c r="DH1" s="25">
        <f ca="1">(AJ15+AL15+AN15+AK22+AM22+AO22+BB1+BH1+BK1+BN1+BP1+BR1+BE26+BM10)</f>
        <v>9496.8100000000013</v>
      </c>
      <c r="DI1" s="25">
        <f ca="1">(AJ15+AL15+AN15+AK22+AM22+AO22+BB1+BH1+BK1+BN1+BP1+BR1+BE26+BM10)</f>
        <v>9496.8100000000013</v>
      </c>
      <c r="DJ1" s="25">
        <f ca="1">(DI1*0.00759*-1)</f>
        <v>-72.080787900000018</v>
      </c>
      <c r="DK1" s="25">
        <f>(BX10)</f>
        <v>5004</v>
      </c>
      <c r="DL1" s="25">
        <f>(DK1*0.00759*-1)</f>
        <v>-37.980360000000005</v>
      </c>
      <c r="DM1" s="30" t="s">
        <v>1</v>
      </c>
      <c r="DN1" s="30" t="s">
        <v>75</v>
      </c>
      <c r="EA1" s="48"/>
    </row>
    <row r="2" spans="1:131" ht="39.950000000000003" customHeight="1" x14ac:dyDescent="0.25">
      <c r="A2" s="70"/>
      <c r="B2" s="71"/>
      <c r="C2" s="57"/>
      <c r="D2" s="57"/>
      <c r="E2" s="72"/>
      <c r="F2" s="72"/>
      <c r="G2" s="57"/>
      <c r="H2" s="57"/>
      <c r="I2" s="57"/>
      <c r="J2" s="74"/>
      <c r="K2" s="57"/>
      <c r="L2" s="57"/>
      <c r="M2" s="57"/>
      <c r="N2" s="57"/>
      <c r="O2" s="57"/>
      <c r="P2" s="57"/>
      <c r="Q2" s="57"/>
      <c r="R2" s="57"/>
      <c r="S2" s="57"/>
      <c r="T2" s="57"/>
      <c r="U2" s="73"/>
      <c r="V2" s="15" t="s">
        <v>4</v>
      </c>
      <c r="W2" s="16">
        <f t="shared" ca="1" si="0"/>
        <v>0</v>
      </c>
      <c r="X2" s="16">
        <f ca="1">COUNTIF(Y1,"Ocak")*(AM15)
+COUNTIF(Y1,"Şubat")*(AM16)
+COUNTIF(Y1,"Mart")*(AM17)
+COUNTIF(Y1,"Nisan")*(AM18)
+COUNTIF(Y1,"Mayıs")*(AM19)
+COUNTIF(Y1,"Haziran")*(AM20)
+COUNTIF(Y1,"Temmuz")*(AM21)
+COUNTIF(Y1,"Ağustos")*(AX1)
+COUNTIF(Y1,"Eylül")*(AX2)
+COUNTIF(Y1,"Ekim")*(AX3)
+COUNTIF(Y1,"Kasım")*(AT7)
+COUNTIF(Y1,"Aralık")*(AT8)
+COUNTIF(Y1,"Yıllık Toplam")*(AT9)
+COUNTIF(Y1,"Yıllık Ortalama")*(AT10)</f>
        <v>0</v>
      </c>
      <c r="Y2" s="64"/>
      <c r="Z2" s="68"/>
      <c r="AA2" s="77" t="s">
        <v>25</v>
      </c>
      <c r="AB2" s="78" t="s">
        <v>129</v>
      </c>
      <c r="AC2" s="56"/>
      <c r="AD2" s="58"/>
      <c r="AE2" s="60" t="str">
        <f>IF($AC$1="Analık Hâli İzni",$AB$1,
IF($AC$1="Annelik İzni",$AB$2,
IF($AC$1="Babalık İzni",$AB$3,
IF($AC$1="Cenaze İzni",$AB$4,
IF($AC$1="Doğal Afet İzni",$AB$5,
IF($AC$1="Dünya Engelliler Günü İzni",$AB$6,
IF($AC$1="Engelli Çocuk İzni",$AB$7,
IF($AC$1="Evlat Edinme İzni",$AB$8,
IF($AC$1="Evlilik İzni",$AB$9,
IF($AC$1="İş Arama İzni",$AB$10,
IF($AC$1="Kadınlar Günü İzni",$AB$11,
IF($AC$1="Kan Bağışı İzni",$AB$12,
IF($AC$1="Mazeret İzni",$AB$13,
IF($AC$1="Sünnet İzni",$AB$14,
IF($AC$1="Süt İzni",$AB$15,
IF($AC$1="Ücretli Sendikal İzin ve Sendika Temsilci Sayısı",$AB$16,
IF($AC$1="Ücretli Yıllık İzin",$AB$17,
IF($AC$1="Yol İzni",$AB$18))))))))))))))))))</f>
        <v>a) Hizmeti 6 ay olanlar için 0 iş günü ücretli yıllık izin verilir.
Hizmeti 1-5 yıl olanlar için 21 iş günü ücretli yıllık izin verilir.
Hizmeti 5-10 yıl olanlar için 26 iş günü ücretli yıllık izin verilir.
Hizmeti 10-15 yıl olanlar için 30 iş günü ücretli yıllık izin verilir.
Hizmeti 15 yıldan fazla olanlar için 30 iş günü ücretli yıllık izin verilir.</v>
      </c>
      <c r="AF2" s="59"/>
      <c r="AG2" s="21" t="s">
        <v>77</v>
      </c>
      <c r="AH2" s="22">
        <v>309.3</v>
      </c>
      <c r="AI2" s="22">
        <v>364.9</v>
      </c>
      <c r="AJ2" s="23">
        <f>(2%)</f>
        <v>0.02</v>
      </c>
      <c r="AK2" s="24" t="s">
        <v>0</v>
      </c>
      <c r="AL2" s="25">
        <f>($AL$7*$AJ$2)</f>
        <v>100.08</v>
      </c>
      <c r="AM2" s="25">
        <f>($AM$7*$AJ$2)</f>
        <v>129.42000000000002</v>
      </c>
      <c r="AN2" s="26">
        <f>(250)</f>
        <v>250</v>
      </c>
      <c r="AO2" s="24" t="s">
        <v>0</v>
      </c>
      <c r="AP2" s="25">
        <f>($AN$6*$AN$2*2)</f>
        <v>117.7225</v>
      </c>
      <c r="AQ2" s="25">
        <f>($AO$6*$AN$2*2)</f>
        <v>166.8015</v>
      </c>
      <c r="AR2" s="24">
        <f>(8000)</f>
        <v>8000</v>
      </c>
      <c r="AS2" s="24" t="s">
        <v>0</v>
      </c>
      <c r="AT2" s="25">
        <f>($AN$6*$AR$2)</f>
        <v>1883.56</v>
      </c>
      <c r="AU2" s="25">
        <f>($AO$6*$AR$2)</f>
        <v>2668.8240000000001</v>
      </c>
      <c r="AV2" s="25">
        <f ca="1">(AW12*CH12)</f>
        <v>4644.6319800000001</v>
      </c>
      <c r="AW2" s="25">
        <f>(0.58*C23)</f>
        <v>0</v>
      </c>
      <c r="AX2" s="25">
        <f ca="1">(AW2*CH12)</f>
        <v>0</v>
      </c>
      <c r="AY2" s="25">
        <f>(AT12/7.5*1.6*D23)</f>
        <v>0</v>
      </c>
      <c r="AZ2" s="25">
        <f>(AR23+AV23+AW23-AX23)</f>
        <v>1067.3519999999999</v>
      </c>
      <c r="BA2" s="25">
        <f ca="1">(AZ2*DV16*-1)</f>
        <v>-160.10279999999997</v>
      </c>
      <c r="BB2" s="25">
        <f ca="1">(ROUND((BC2+BD2),2))</f>
        <v>492.54</v>
      </c>
      <c r="BC2" s="25">
        <f>(4.7*H16)</f>
        <v>488.8</v>
      </c>
      <c r="BD2" s="25">
        <f ca="1">(BB2*0.00759)</f>
        <v>3.7383786000000003</v>
      </c>
      <c r="BE2" s="25">
        <f ca="1">(ROUND((BC2+BD2),2))</f>
        <v>492.54</v>
      </c>
      <c r="BF2" s="25">
        <f ca="1">(BB2)</f>
        <v>492.54</v>
      </c>
      <c r="BG2" s="27">
        <v>18</v>
      </c>
      <c r="BH2" s="25">
        <f>(AY16*BG2)</f>
        <v>3852.36</v>
      </c>
      <c r="BI2" s="25">
        <f ca="1">(BH2*DE12)</f>
        <v>2754.0906876000004</v>
      </c>
      <c r="BJ2" s="27">
        <v>30</v>
      </c>
      <c r="BK2" s="25">
        <f>(773.25/30*BJ2)</f>
        <v>773.25</v>
      </c>
      <c r="BL2" s="25">
        <f ca="1">(BK2*DE12)</f>
        <v>552.80415750000009</v>
      </c>
      <c r="BM2" s="27">
        <v>30</v>
      </c>
      <c r="BN2" s="25">
        <f>(386.62/30*BM2)</f>
        <v>386.62</v>
      </c>
      <c r="BO2" s="25">
        <f ca="1">(BN2*DE12)</f>
        <v>276.39850420000005</v>
      </c>
      <c r="BP2" s="25">
        <f>COUNTIF($A$1,"1S-Çımacı / Palamarcı")*(8.28*I16)
+COUNTIF($A$1,"2S-Çımacı / Palamarcı")*(8.28*I16)
+COUNTIF($A$1,"1S-Temizlik Personeli")*(5.52*I16)
+COUNTIF($A$1,"2S-Temizlik Personeli")*(5.52*I16)</f>
        <v>0</v>
      </c>
      <c r="BQ2" s="25">
        <f ca="1">(BP2*DE12)</f>
        <v>0</v>
      </c>
      <c r="BR2" s="25">
        <f>COUNTIF(J16,"Var")*($AP$1)</f>
        <v>0</v>
      </c>
      <c r="BS2" s="25">
        <f ca="1">COUNTIF(J16,"Var")*((BR2+(BR2*0.00759*-1)+((BR2-BT2)*0.14*-1)+((BR2-BT2)*0.01*-1)+(BR2+((BR2-BT2)*0.14*-1)+((BR2-BT2)*0.01*-1))*DV16*-1))</f>
        <v>0</v>
      </c>
      <c r="BT2" s="25">
        <f>COUNTIF(J16,"Var")*($AL$1)</f>
        <v>0</v>
      </c>
      <c r="BU2" s="25">
        <f>(0)</f>
        <v>0</v>
      </c>
      <c r="BV2" s="25">
        <f>($AP$2*K16)</f>
        <v>0</v>
      </c>
      <c r="BW2" s="25">
        <f ca="1">(BV2+(BV2*0.00759*-1)+((BV2-BX2)*0.14*-1)+((BV2-BX2)*0.01*-1)+(BV2+((BV2-BX2)*0.14*-1)+((BV2-BX2)*0.01*-1))*DV16*-1)</f>
        <v>0</v>
      </c>
      <c r="BX2" s="25">
        <f>($AL$2*K16)</f>
        <v>0</v>
      </c>
      <c r="BY2" s="25">
        <f>($AL$5*K16)</f>
        <v>0</v>
      </c>
      <c r="BZ2" s="25">
        <f>($AP$3*L16)</f>
        <v>0</v>
      </c>
      <c r="CA2" s="25">
        <f ca="1">(BZ2+(BZ2*0.00759*-1)+((BZ2-CB2)*0.14*-1)+((BZ2-CB2)*0.01*-1)+(BZ2+((BZ2-CB2)*0.14*-1)+((BZ2-CB2)*0.01*-1))*DV16*-1)</f>
        <v>0</v>
      </c>
      <c r="CB2" s="25">
        <f>($AL$3*L16)</f>
        <v>0</v>
      </c>
      <c r="CC2" s="25">
        <f>($AL$6*L16)</f>
        <v>0</v>
      </c>
      <c r="CD2" s="25">
        <f>($AP$4*M16)</f>
        <v>0</v>
      </c>
      <c r="CE2" s="25">
        <f ca="1">(CD2+(CD2*0.00759*-1)+((CD2-AX27)*0.14*-1)+((CD2-AX27)*0.01*-1)+(CD2+((CD2-AX27)*0.14*-1)+((CD2-AX27)*0.01*-1))*DV16*-1)</f>
        <v>0</v>
      </c>
      <c r="CF2" s="25">
        <f>(CT17)</f>
        <v>825.05</v>
      </c>
      <c r="CG2" s="25">
        <f ca="1">(DW21+CF2)</f>
        <v>-873.62000000000012</v>
      </c>
      <c r="CH2" s="28">
        <f t="shared" si="1"/>
        <v>0.84240999999999999</v>
      </c>
      <c r="CI2" s="28">
        <f ca="1">(100+(100*0.00759*-1)+(100*0.14*-1)+(100*0.01*-1)+(100+100*0.14*-1+100*0.01*-1)*DV21*-1)/100</f>
        <v>0.67240999999999995</v>
      </c>
      <c r="CJ2" s="28">
        <f ca="1">(100+(100*0.00759*-1)+(100)*DV21*-1)/100</f>
        <v>0.79240999999999995</v>
      </c>
      <c r="CK2" s="25">
        <f ca="1">(CZ17)</f>
        <v>10881.42</v>
      </c>
      <c r="CL2" s="25">
        <f ca="1">(CK2*0.205)</f>
        <v>2230.6911</v>
      </c>
      <c r="CM2" s="25">
        <f ca="1">(CK2*0.01)</f>
        <v>108.8142</v>
      </c>
      <c r="CS2" s="31">
        <v>0.15</v>
      </c>
      <c r="CT2" s="32">
        <v>0</v>
      </c>
      <c r="CU2" s="25">
        <v>32000</v>
      </c>
      <c r="CV2" s="25">
        <v>0</v>
      </c>
      <c r="CW2" s="25">
        <f>(0)</f>
        <v>0</v>
      </c>
      <c r="CX2" s="25">
        <f>(BW10+CC10+CD10-CW2)</f>
        <v>4253.3999999999996</v>
      </c>
      <c r="CY2" s="25">
        <f>SUM(CX$2:$CX2)</f>
        <v>4253.3999999999996</v>
      </c>
      <c r="CZ2" s="29">
        <f t="shared" ref="CZ2:CZ13" si="2">IF(CY2&lt;=$CU$2,$CS$2,
IF(CY2&gt;$CU$4,
IF(CY2&gt;$CU$5,$CS$6,$CS$5),
IF(CY2&lt;$CU$3,$CS$3,$CS$4)))</f>
        <v>0.15</v>
      </c>
      <c r="DA2" s="33">
        <f>IF(CZ2-CZ1=0,0,1)</f>
        <v>1</v>
      </c>
      <c r="DB2" s="28">
        <f>IF(DA3=0,CZ3,(VLOOKUP($CZ3,$CS$2:$CV$6,2,0)-CY2)/CX3*CZ2+(CY3-VLOOKUP($CZ3,$CS$2:$CV$6,2,0))/CX3*CZ3)</f>
        <v>0.15</v>
      </c>
      <c r="DC2" s="25">
        <f>(ROUND(CX3*DB2,2))</f>
        <v>638.01</v>
      </c>
      <c r="DD2" s="28">
        <f>(100+(100*0.00759*-1)+(100*0.01*-1)+(100*0.01*-1)+(100+100*0.14*-1+100*0.01*-1)*DB2*-1)/100</f>
        <v>0.84491000000000005</v>
      </c>
      <c r="DE2" s="25">
        <f>BW11</f>
        <v>5004</v>
      </c>
      <c r="DF2" s="25">
        <f>BW11+BZ11+CC11+CD11</f>
        <v>4253.3999999999996</v>
      </c>
      <c r="DG2" s="25" t="s">
        <v>0</v>
      </c>
      <c r="DH2" s="25">
        <f ca="1">(AJ16+AL16+AN16+AK23+AM23+AO23+BB2+BH2+BK2+BN2+BP2+BR2+BE27+BM11)</f>
        <v>12707.11</v>
      </c>
      <c r="DI2" s="25">
        <f ca="1">(AJ16+AL16+AN16+AK23+AM23+AO23+BB2+BH2+BK2+BN2+BP2+BR2+BE27+BM11)</f>
        <v>12707.11</v>
      </c>
      <c r="DJ2" s="25">
        <f ca="1">(DI2*0.00759*-1)</f>
        <v>-96.446964900000012</v>
      </c>
      <c r="DK2" s="25">
        <f>(BX11)</f>
        <v>5004</v>
      </c>
      <c r="DL2" s="25">
        <f>(DK2*0.00759*-1)</f>
        <v>-37.980360000000005</v>
      </c>
      <c r="DM2" s="34" t="s">
        <v>112</v>
      </c>
      <c r="DN2" s="25">
        <v>414.24</v>
      </c>
      <c r="DX2" s="24">
        <v>0</v>
      </c>
      <c r="DY2" s="35">
        <v>0</v>
      </c>
      <c r="DZ2" s="36">
        <v>0</v>
      </c>
      <c r="EA2" s="49"/>
    </row>
    <row r="3" spans="1:131" ht="39.950000000000003" customHeight="1" x14ac:dyDescent="0.25">
      <c r="A3" s="70"/>
      <c r="B3" s="71"/>
      <c r="C3" s="57"/>
      <c r="D3" s="57"/>
      <c r="E3" s="72"/>
      <c r="F3" s="72"/>
      <c r="G3" s="57"/>
      <c r="H3" s="57"/>
      <c r="I3" s="57"/>
      <c r="J3" s="74"/>
      <c r="K3" s="57"/>
      <c r="L3" s="57"/>
      <c r="M3" s="57"/>
      <c r="N3" s="57"/>
      <c r="O3" s="57"/>
      <c r="P3" s="57"/>
      <c r="Q3" s="57"/>
      <c r="R3" s="57"/>
      <c r="S3" s="57"/>
      <c r="T3" s="57"/>
      <c r="U3" s="73"/>
      <c r="V3" s="15" t="s">
        <v>51</v>
      </c>
      <c r="W3" s="16">
        <f t="shared" ca="1" si="0"/>
        <v>0</v>
      </c>
      <c r="X3" s="16">
        <f ca="1">COUNTIF(Y1,"Ocak")*(AJ22)
+COUNTIF(Y1,"Şubat")*(AJ23)
+COUNTIF(Y1,"Mart")*(AJ24)
+COUNTIF(Y1,"Nisan")*(AJ25)
+COUNTIF(Y1,"Mayıs")*(AX4)
+COUNTIF(Y1,"Haziran")*(AX5)
+COUNTIF(Y1,"Temmuz")*(AX6)
+COUNTIF(Y1,"Ağustos")*(AX7)
+COUNTIF(Y1,"Eylül")*(AX8)
+COUNTIF(Y1,"Ekim")*(AX9)
+COUNTIF(Y1,"Kasım")*(AX10)
+COUNTIF(Y1,"Aralık")*(AX11)
+COUNTIF(Y1,"Yıllık Toplam")*(AX12)
+COUNTIF(Y1,"Yıllık Ortalama")*(AX13)</f>
        <v>0</v>
      </c>
      <c r="Y3" s="64"/>
      <c r="Z3" s="68"/>
      <c r="AA3" s="77" t="s">
        <v>27</v>
      </c>
      <c r="AB3" s="79" t="s">
        <v>50</v>
      </c>
      <c r="AC3" s="56"/>
      <c r="AD3" s="58"/>
      <c r="AE3" s="60"/>
      <c r="AF3" s="59"/>
      <c r="AG3" s="21" t="s">
        <v>78</v>
      </c>
      <c r="AH3" s="22">
        <v>309.3</v>
      </c>
      <c r="AI3" s="22">
        <v>364.9</v>
      </c>
      <c r="AJ3" s="23">
        <f>(1%)</f>
        <v>0.01</v>
      </c>
      <c r="AK3" s="24" t="s">
        <v>0</v>
      </c>
      <c r="AL3" s="25">
        <f>($AL$7*$AJ$3)</f>
        <v>50.04</v>
      </c>
      <c r="AM3" s="25">
        <f>($AM$7*$AJ$3)</f>
        <v>64.710000000000008</v>
      </c>
      <c r="AN3" s="26">
        <f>(AN2)</f>
        <v>250</v>
      </c>
      <c r="AO3" s="24" t="s">
        <v>0</v>
      </c>
      <c r="AP3" s="25">
        <f>($AN$6*$AN$3)</f>
        <v>58.861249999999998</v>
      </c>
      <c r="AQ3" s="25">
        <f>($AO$6*$AN$3)</f>
        <v>83.400750000000002</v>
      </c>
      <c r="AR3" s="24">
        <f>(500)</f>
        <v>500</v>
      </c>
      <c r="AS3" s="24" t="s">
        <v>0</v>
      </c>
      <c r="AT3" s="25">
        <f>($AN$6*$AR$3)</f>
        <v>117.7225</v>
      </c>
      <c r="AU3" s="25">
        <f>($AO$6*$AR$3)</f>
        <v>166.8015</v>
      </c>
      <c r="AV3" s="25">
        <f ca="1">(AW13*CH13)</f>
        <v>4799.4530459999996</v>
      </c>
      <c r="AW3" s="25">
        <f>(0.58*C24)</f>
        <v>0</v>
      </c>
      <c r="AX3" s="25">
        <f ca="1">(AW3*CH13)</f>
        <v>0</v>
      </c>
      <c r="AY3" s="25">
        <f>(AT13/7.5*1.6*D24)</f>
        <v>0</v>
      </c>
      <c r="AZ3" s="25">
        <f>(AR24+AV24+AW24-AX24)</f>
        <v>1067.3519999999999</v>
      </c>
      <c r="BA3" s="25">
        <f ca="1">(AZ3*DV17*-1)</f>
        <v>-160.10279999999997</v>
      </c>
      <c r="BB3" s="25">
        <f ca="1">(ROUND((BC3+BD3),2))</f>
        <v>492.54</v>
      </c>
      <c r="BC3" s="25">
        <f>(4.7*H17)</f>
        <v>488.8</v>
      </c>
      <c r="BD3" s="25">
        <f ca="1">(BB3*0.00759)</f>
        <v>3.7383786000000003</v>
      </c>
      <c r="BE3" s="25">
        <f ca="1">(ROUND((BC3+BD3),2))</f>
        <v>492.54</v>
      </c>
      <c r="BF3" s="25">
        <f ca="1">(BB3)</f>
        <v>492.54</v>
      </c>
      <c r="BG3" s="27">
        <v>0</v>
      </c>
      <c r="BH3" s="25">
        <f>(AY17*BG3)</f>
        <v>0</v>
      </c>
      <c r="BI3" s="25">
        <f ca="1">(BH3*DE13)</f>
        <v>0</v>
      </c>
      <c r="BJ3" s="27">
        <v>30</v>
      </c>
      <c r="BK3" s="25">
        <f>(773.25/30*BJ3)</f>
        <v>773.25</v>
      </c>
      <c r="BL3" s="25">
        <f ca="1">(BK3*DE13)</f>
        <v>552.80415750000009</v>
      </c>
      <c r="BM3" s="27">
        <v>30</v>
      </c>
      <c r="BN3" s="25">
        <f>(386.62/30*BM3)</f>
        <v>386.62</v>
      </c>
      <c r="BO3" s="25">
        <f ca="1">(BN3*DE13)</f>
        <v>276.39850420000005</v>
      </c>
      <c r="BP3" s="25">
        <f>COUNTIF($A$1,"1S-Çımacı / Palamarcı")*(8.28*I17)
+COUNTIF($A$1,"2S-Çımacı / Palamarcı")*(8.28*I17)
+COUNTIF($A$1,"1S-Temizlik Personeli")*(5.52*I17)
+COUNTIF($A$1,"2S-Temizlik Personeli")*(5.52*I17)</f>
        <v>0</v>
      </c>
      <c r="BQ3" s="25">
        <f ca="1">(BP3*DE13)</f>
        <v>0</v>
      </c>
      <c r="BR3" s="25">
        <f>COUNTIF(J17,"Var")*($AP$1)</f>
        <v>0</v>
      </c>
      <c r="BS3" s="25">
        <f ca="1">COUNTIF(J17,"Var")*((BR3+(BR3*0.00759*-1)+((BR3-BT3)*0.14*-1)+((BR3-BT3)*0.01*-1)+(BR3+((BR3-BT3)*0.14*-1)+((BR3-BT3)*0.01*-1))*DV17*-1))</f>
        <v>0</v>
      </c>
      <c r="BT3" s="25">
        <f>COUNTIF(J17,"Var")*($AL$1)</f>
        <v>0</v>
      </c>
      <c r="BU3" s="25">
        <f>(0)</f>
        <v>0</v>
      </c>
      <c r="BV3" s="25">
        <f>($AP$2*K17)</f>
        <v>0</v>
      </c>
      <c r="BW3" s="25">
        <f ca="1">(BV3+(BV3*0.00759*-1)+((BV3-BX3)*0.14*-1)+((BV3-BX3)*0.01*-1)+(BV3+((BV3-BX3)*0.14*-1)+((BV3-BX3)*0.01*-1))*DV17*-1)</f>
        <v>0</v>
      </c>
      <c r="BX3" s="25">
        <f>($AL$2*K17)</f>
        <v>0</v>
      </c>
      <c r="BY3" s="25">
        <f>($AL$5*K17)</f>
        <v>0</v>
      </c>
      <c r="BZ3" s="25">
        <f>($AP$3*L17)</f>
        <v>0</v>
      </c>
      <c r="CA3" s="25">
        <f ca="1">(BZ3+(BZ3*0.00759*-1)+((BZ3-CB3)*0.14*-1)+((BZ3-CB3)*0.01*-1)+(BZ3+((BZ3-CB3)*0.14*-1)+((BZ3-CB3)*0.01*-1))*DV17*-1)</f>
        <v>0</v>
      </c>
      <c r="CB3" s="25">
        <f>($AL$3*L17)</f>
        <v>0</v>
      </c>
      <c r="CC3" s="25">
        <f>($AL$6*L17)</f>
        <v>0</v>
      </c>
      <c r="CD3" s="25">
        <f>($AP$4*M17)</f>
        <v>0</v>
      </c>
      <c r="CE3" s="25">
        <f ca="1">(CD3+(CD3*0.00759*-1)+((CD3-AX28)*0.14*-1)+((CD3-AX28)*0.01*-1)+(CD3+((CD3-AX28)*0.14*-1)+((CD3-AX28)*0.01*-1))*DV17*-1)</f>
        <v>0</v>
      </c>
      <c r="CF3" s="25">
        <f>(CT18)</f>
        <v>1051.1099999999999</v>
      </c>
      <c r="CG3" s="25">
        <f ca="1">(DW22+CF3)</f>
        <v>-1754.11</v>
      </c>
      <c r="CH3" s="28">
        <f t="shared" si="1"/>
        <v>0.84240999999999999</v>
      </c>
      <c r="CI3" s="28">
        <f ca="1">(100+(100*0.00759*-1)+(100*0.14*-1)+(100*0.01*-1)+(100+100*0.14*-1+100*0.01*-1)*DV22*-1)/100</f>
        <v>0.64946486207305754</v>
      </c>
      <c r="CJ3" s="28">
        <f ca="1">(100+(100*0.00759*-1)+(100)*DV22*-1)/100</f>
        <v>0.76541572008594994</v>
      </c>
      <c r="CK3" s="25">
        <f ca="1">(CZ18)</f>
        <v>15428.22</v>
      </c>
      <c r="CL3" s="25">
        <f ca="1">(CK3*0.205)</f>
        <v>3162.7850999999996</v>
      </c>
      <c r="CM3" s="25">
        <f ca="1">(CK3*0.01)</f>
        <v>154.28219999999999</v>
      </c>
      <c r="CS3" s="31">
        <v>0.2</v>
      </c>
      <c r="CT3" s="25">
        <f>$CU$2</f>
        <v>32000</v>
      </c>
      <c r="CU3" s="25">
        <v>70000</v>
      </c>
      <c r="CV3" s="25">
        <f>(CU2-CT2)*CS2+CV2</f>
        <v>4800</v>
      </c>
      <c r="CW3" s="25">
        <f>(0)</f>
        <v>0</v>
      </c>
      <c r="CX3" s="25">
        <f>(BW11+CC11+CD11-CW3)</f>
        <v>4253.3999999999996</v>
      </c>
      <c r="CY3" s="25">
        <f>SUM(CX$2:$CX3)</f>
        <v>8506.7999999999993</v>
      </c>
      <c r="CZ3" s="29">
        <f t="shared" si="2"/>
        <v>0.15</v>
      </c>
      <c r="DA3" s="33">
        <f t="shared" ref="DA3:DA13" si="3">IF(CZ3-CZ2=0,0,1)</f>
        <v>0</v>
      </c>
      <c r="DB3" s="28">
        <f>IF(DA4=0,CZ4,(VLOOKUP($CZ4,$CS$2:$CV$6,2,0)-CY3)/CX4*CZ3+(CY4-VLOOKUP($CZ4,$CS$2:$CV$6,2,0))/CX4*CZ4)</f>
        <v>0.15</v>
      </c>
      <c r="DC3" s="25">
        <f>(ROUND(CX4*DB3,2))</f>
        <v>638.01</v>
      </c>
      <c r="DD3" s="28">
        <f>(100+(100*0.00759*-1)+(100*0.01*-1)+(100*0.01*-1)+(100+100*0.14*-1+100*0.01*-1)*DB3*-1)/100</f>
        <v>0.84491000000000005</v>
      </c>
      <c r="DE3" s="25">
        <f>BW12</f>
        <v>5004</v>
      </c>
      <c r="DF3" s="25">
        <f>BW12+BZ12+CC12+CD12</f>
        <v>4253.3999999999996</v>
      </c>
      <c r="DG3" s="25" t="s">
        <v>0</v>
      </c>
      <c r="DH3" s="25">
        <f ca="1">(AJ17+AL17+AN17+AK24+AM24+AO24+BB3+BH3+BK3+BN3+BP3+BR3+BE28+BM12)</f>
        <v>9496.8100000000013</v>
      </c>
      <c r="DI3" s="25">
        <f ca="1">(AJ17+AL17+AN17+AK24+AM24+AO24+BB3+BH3+BK3+BN3+BP3+BR3+BE28+BM12)</f>
        <v>9496.8100000000013</v>
      </c>
      <c r="DJ3" s="25">
        <f ca="1">(DI3*0.00759*-1)</f>
        <v>-72.080787900000018</v>
      </c>
      <c r="DK3" s="25">
        <f>(BX12)</f>
        <v>5004</v>
      </c>
      <c r="DL3" s="25">
        <f>(DK3*0.00759*-1)</f>
        <v>-37.980360000000005</v>
      </c>
      <c r="DM3" s="34" t="s">
        <v>113</v>
      </c>
      <c r="DN3" s="25">
        <v>414.24</v>
      </c>
      <c r="DX3" s="24">
        <v>1</v>
      </c>
      <c r="DY3" s="35">
        <v>0.5</v>
      </c>
      <c r="DZ3" s="36">
        <v>0.03</v>
      </c>
      <c r="EA3" s="49"/>
    </row>
    <row r="4" spans="1:131" ht="39.950000000000003" customHeight="1" x14ac:dyDescent="0.25">
      <c r="A4" s="70"/>
      <c r="B4" s="71"/>
      <c r="C4" s="57"/>
      <c r="D4" s="57"/>
      <c r="E4" s="72"/>
      <c r="F4" s="72"/>
      <c r="G4" s="57"/>
      <c r="H4" s="57"/>
      <c r="I4" s="57"/>
      <c r="J4" s="74"/>
      <c r="K4" s="57"/>
      <c r="L4" s="57"/>
      <c r="M4" s="57"/>
      <c r="N4" s="57"/>
      <c r="O4" s="57"/>
      <c r="P4" s="57"/>
      <c r="Q4" s="57"/>
      <c r="R4" s="57"/>
      <c r="S4" s="57"/>
      <c r="T4" s="57"/>
      <c r="U4" s="73"/>
      <c r="V4" s="15" t="s">
        <v>5</v>
      </c>
      <c r="W4" s="16">
        <f t="shared" ca="1" si="0"/>
        <v>0</v>
      </c>
      <c r="X4" s="16">
        <f ca="1">COUNTIF(Y1,"Ocak")*(AL22)
+COUNTIF(Y1,"Şubat")*(AL23)
+COUNTIF(Y1,"Mart")*(AL24)
+COUNTIF(Y1,"Nisan")*(AL25)
+COUNTIF(Y1,"Mayıs")*(AZ4)
+COUNTIF(Y1,"Haziran")*(AZ5)
+COUNTIF(Y1,"Temmuz")*(AZ6)
+COUNTIF(Y1,"Ağustos")*(AZ7)
+COUNTIF(Y1,"Eylül")*(AZ8)
+COUNTIF(Y1,"Ekim")*(AZ9)
+COUNTIF(Y1,"Kasım")*(AZ10)
+COUNTIF(Y1,"Aralık")*(AZ11)
+COUNTIF(Y1,"Yıllık Toplam")*(AZ12)
+COUNTIF(Y1,"Yıllık Ortalama")*(AZ13)</f>
        <v>0</v>
      </c>
      <c r="Y4" s="64"/>
      <c r="Z4" s="68"/>
      <c r="AA4" s="77" t="s">
        <v>46</v>
      </c>
      <c r="AB4" s="80" t="s">
        <v>133</v>
      </c>
      <c r="AC4" s="56"/>
      <c r="AD4" s="58"/>
      <c r="AE4" s="60"/>
      <c r="AF4" s="59"/>
      <c r="AG4" s="21" t="s">
        <v>79</v>
      </c>
      <c r="AH4" s="22">
        <v>309.3</v>
      </c>
      <c r="AI4" s="22">
        <v>364.9</v>
      </c>
      <c r="AJ4" s="24" t="s">
        <v>0</v>
      </c>
      <c r="AK4" s="24" t="s">
        <v>0</v>
      </c>
      <c r="AL4" s="25">
        <f>($AP$1)</f>
        <v>535.16648499999997</v>
      </c>
      <c r="AM4" s="25">
        <f>($AQ$1)</f>
        <v>758.27961899999991</v>
      </c>
      <c r="AN4" s="33">
        <f>(1.5)</f>
        <v>1.5</v>
      </c>
      <c r="AO4" s="24" t="s">
        <v>0</v>
      </c>
      <c r="AP4" s="25">
        <f>($AP$2*$AN$4)</f>
        <v>176.58375000000001</v>
      </c>
      <c r="AQ4" s="25">
        <f>($AQ$2*$AN$4)</f>
        <v>250.20224999999999</v>
      </c>
      <c r="AR4" s="24">
        <f>(1000)</f>
        <v>1000</v>
      </c>
      <c r="AS4" s="24" t="s">
        <v>0</v>
      </c>
      <c r="AT4" s="25">
        <f>($AN$7*$AR$4)</f>
        <v>3685.18</v>
      </c>
      <c r="AU4" s="25">
        <f>($AO$7*$AR$4)</f>
        <v>5221.5320000000002</v>
      </c>
      <c r="AX4" s="25">
        <f ca="1">(AN19*DE15)</f>
        <v>0</v>
      </c>
      <c r="AY4" s="25">
        <f>(AW19*E19)</f>
        <v>0</v>
      </c>
      <c r="AZ4" s="25">
        <f ca="1">(AY4*DE15)</f>
        <v>0</v>
      </c>
      <c r="BA4" s="25">
        <f>(AY19/7.5*0.3*F19)</f>
        <v>0</v>
      </c>
      <c r="BB4" s="25">
        <f ca="1">(BA4*DE15)</f>
        <v>0</v>
      </c>
      <c r="BC4" s="25">
        <f t="shared" ref="BC4:BC11" si="4">(46.53*G19)</f>
        <v>1209.78</v>
      </c>
      <c r="BD4" s="25">
        <f ca="1">(BF4+BG4+BJ4+BK4+BC15)</f>
        <v>844.69936979999989</v>
      </c>
      <c r="BE4" s="25">
        <f t="shared" ref="BE4:BE11" si="5">(BC4)</f>
        <v>1209.78</v>
      </c>
      <c r="BF4" s="25">
        <f t="shared" ref="BF4:BF11" si="6">(BC4)</f>
        <v>1209.78</v>
      </c>
      <c r="BG4" s="25">
        <f t="shared" ref="BG4:BG11" si="7">(BF4*0.00759*-1)</f>
        <v>-9.1822302000000011</v>
      </c>
      <c r="BH4" s="25">
        <f>($AL$9*G19)</f>
        <v>260.26</v>
      </c>
      <c r="BI4" s="25">
        <f t="shared" ref="BI4:BI11" si="8">(BF4-BH4)</f>
        <v>949.52</v>
      </c>
      <c r="BJ4" s="25">
        <f t="shared" ref="BJ4:BJ11" si="9">(BI4*0.14*-1)</f>
        <v>-132.93280000000001</v>
      </c>
      <c r="BK4" s="25">
        <f t="shared" ref="BK4:BK11" si="10">(BI4*0.01*-1)</f>
        <v>-9.4952000000000005</v>
      </c>
      <c r="BL4" s="25">
        <f>(0)</f>
        <v>0</v>
      </c>
      <c r="BM4" s="37">
        <f ca="1">COUNTIF(O23,"Yok")*(0)
+COUNTIF(O23,"Bayram Yardımı (Kurban)")*($DN$2/CH12)
+COUNTIF(O23,"Bayram Yardımı (Ramazan)")*($DN$3/CH12)
+COUNTIF(O23,"Cenaze Yardımı (Anne-Baba)")*($DN$4)
+COUNTIF(O23,"Cenaze Yardımı (Eş-Çocuk)")*($DN$5)
+COUNTIF(O23,"Cenaze Yardımı (İşçi-İş Kazası Sonucu)")*($DN$6)
+COUNTIF(O23,"Cenaze Yardımı (İşçi-Tabii Sebepler Sonucu)")*($DN$7)
+COUNTIF(O23,"Doğal Afet Yardımı")*($DN$8)
+COUNTIF(O23,"Doğum Yardımı (İşveren)")*($DN$9)
+COUNTIF(O23,"Eğitim Yardımı (Çocuk-Zorunlu Anaokulu)")*($DN$10)
+COUNTIF(O23,"Eğitim Yardımı (Çocuk-İlköğretim)")*($DN$11)
+COUNTIF(O23,"Eğitim Yardımı (Çocuk-Ortaöğretim)")*($DN$12)
+COUNTIF(O23,"Eğitim Yardımı (Çocuk-Lise)")*($DN$13)
+COUNTIF(O23,"Eğitim Yardımı (Çocuk-Yükseköğretim)")*($DN$14)
+COUNTIF(O23,"Eğitim Yardımı (Çocuk-Engelli)")*($DN$15)
+COUNTIF(O23,"Eğitim Yardımı (İşçi-Lise)")*($DN$16)
+COUNTIF(O23,"Eğitim Yardımı (İşçi-Yükseköğretim)")*($DN$17)
+COUNTIF(O23,"Evlilik Yardımı")*($DN$18)
+COUNTIF(O23,"İş Kazası veya Meslek Hastalığı Tazminatı")*($DN$19)
+COUNTIF(O23,"Sünnet Yardımı")*($DN$20)
+COUNTIF(O23,"Temizlik Yardımı")*($DN$21/CH12)
+COUNTIF(P23,"Yok")*(0)
+COUNTIF(P23,"Bayram Yardımı (Kurban)")*($DN$2/CH12)
+COUNTIF(P23,"Bayram Yardımı (Ramazan)")*($DN$3/CH12)
+COUNTIF(P23,"Cenaze Yardımı (Anne-Baba)")*($DN$4)
+COUNTIF(P23,"Cenaze Yardımı (Eş-Çocuk)")*($DN$5)
+COUNTIF(P23,"Cenaze Yardımı (İşçi-İş Kazası Sonucu)")*($DN$6)
+COUNTIF(P23,"Cenaze Yardımı (İşçi-Tabii Sebepler Sonucu)")*($DN$7)
+COUNTIF(P23,"Doğal Afet Yardımı")*($DN$8)
+COUNTIF(P23,"Doğum Yardımı (İşveren)")*($DN$9)
+COUNTIF(P23,"Eğitim Yardımı (Çocuk-Zorunlu Anaokulu)")*($DN$10)
+COUNTIF(P23,"Eğitim Yardımı (Çocuk-İlköğretim)")*($DN$11)
+COUNTIF(P23,"Eğitim Yardımı (Çocuk-Ortaöğretim)")*($DN$12)
+COUNTIF(P23,"Eğitim Yardımı (Çocuk-Lise)")*($DN$13)
+COUNTIF(P23,"Eğitim Yardımı (Çocuk-Yükseköğretim)")*($DN$14)
+COUNTIF(P23,"Eğitim Yardımı (Çocuk-Engelli)")*($DN$15)
+COUNTIF(P23,"Eğitim Yardımı (İşçi-Lise)")*($DN$16)
+COUNTIF(P23,"Eğitim Yardımı (İşçi-Yükseköğretim)")*($DN$17)
+COUNTIF(P23,"Evlilik Yardımı")*($DN$18)
+COUNTIF(P23,"İş Kazası veya Meslek Hastalığı Tazminatı")*($DN$19)
+COUNTIF(P23,"Sünnet Yardımı")*($DN$20)
+COUNTIF(P23,"Temizlik Yardımı")*($DN$21/CH12)
+COUNTIF(Q23,"Yok")*(0)
+COUNTIF(Q23,"Bayram Yardımı (Kurban)")*($DN$2/CH12)
+COUNTIF(Q23,"Bayram Yardımı (Ramazan)")*($DN$3/CH12)
+COUNTIF(Q23,"Cenaze Yardımı (Anne-Baba)")*($DN$4)
+COUNTIF(Q23,"Cenaze Yardımı (Eş-Çocuk)")*($DN$5)
+COUNTIF(Q23,"Cenaze Yardımı (İşçi-İş Kazası Sonucu)")*($DN$6)
+COUNTIF(Q23,"Cenaze Yardımı (İşçi-Tabii Sebepler Sonucu)")*($DN$7)
+COUNTIF(Q23,"Doğal Afet Yardımı")*($DN$8)
+COUNTIF(Q23,"Doğum Yardımı (İşveren)")*($DN$9)
+COUNTIF(Q23,"Eğitim Yardımı (Çocuk-Zorunlu Anaokulu)")*($DN$10)
+COUNTIF(Q23,"Eğitim Yardımı (Çocuk-İlköğretim)")*($DN$11)
+COUNTIF(Q23,"Eğitim Yardımı (Çocuk-Ortaöğretim)")*($DN$12)
+COUNTIF(Q23,"Eğitim Yardımı (Çocuk-Lise)")*($DN$13)
+COUNTIF(Q23,"Eğitim Yardımı (Çocuk-Yükseköğretim)")*($DN$14)
+COUNTIF(Q23,"Eğitim Yardımı (Çocuk-Engelli)")*($DN$15)
+COUNTIF(Q23,"Eğitim Yardımı (İşçi-Lise)")*($DN$16)
+COUNTIF(Q23,"Eğitim Yardımı (İşçi-Yükseköğretim)")*($DN$17)
+COUNTIF(Q23,"Evlilik Yardımı")*($DN$18)
+COUNTIF(Q23,"İş Kazası veya Meslek Hastalığı Tazminatı")*($DN$19)
+COUNTIF(Q23,"Sünnet Yardımı")*($DN$20)
+COUNTIF(Q23,"Temizlik Yardımı")*($DN$21/CH12)</f>
        <v>0</v>
      </c>
      <c r="BN4" s="37">
        <f>COUNTIF(O23,"Yok")*(0)
+COUNTIF(O23,"Bayram Yardımı (Kurban)")*(0)
+COUNTIF(O23,"Bayram Yardımı (Ramazan)")*(0)
+COUNTIF(O23,"Cenaze Yardımı (Anne-Baba)")*($DN$4)
+COUNTIF(O23,"Cenaze Yardımı (Eş-Çocuk)")*($DN$5)
+COUNTIF(O23,"Cenaze Yardımı (İşçi-İş Kazası Sonucu)")*($DN$6)
+COUNTIF(O23,"Cenaze Yardımı (İşçi-Tabii Sebepler Sonucu)")*($DN$7)
+COUNTIF(O23,"Doğal Afet Yardımı")*($DN$8)
+COUNTIF(O23,"Doğum Yardımı (İşveren)")*($DN$9)
+COUNTIF(O23,"Eğitim Yardımı (Çocuk-Zorunlu Anaokulu)")*(0)
+COUNTIF(O23,"Eğitim Yardımı (Çocuk-İlköğretim)")*(0)
+COUNTIF(O23,"Eğitim Yardımı (Çocuk-Ortaöğretim)")*(0)
+COUNTIF(O23,"Eğitim Yardımı (Çocuk-Lise)")*(0)
+COUNTIF(O23,"Eğitim Yardımı (Çocuk-Yükseköğretim)")*(0)
+COUNTIF(O23,"Eğitim Yardımı (Çocuk-Engelli)")*(0)
+COUNTIF(O23,"Eğitim Yardımı (İşçi-Lise)")*(0)
+COUNTIF(O23,"Eğitim Yardımı (İşçi-Yükseköğretim)")*(0)
+COUNTIF(O23,"Evlilik Yardımı")*($DN$18)
+COUNTIF(O23,"İş Kazası veya Meslek Hastalığı Tazminatı")*($DN$19)
+COUNTIF(O23,"Sünnet Yardımı")*(0)
+COUNTIF(O23,"Temizlik Yardımı")*(0)
+COUNTIF(P23,"Yok")*(0)
+COUNTIF(P23,"Bayram Yardımı (Kurban)")*(0)
+COUNTIF(P23,"Bayram Yardımı (Ramazan)")*(0)
+COUNTIF(P23,"Cenaze Yardımı (Anne-Baba)")*($DN$4)
+COUNTIF(P23,"Cenaze Yardımı (Eş-Çocuk)")*($DN$5)
+COUNTIF(P23,"Cenaze Yardımı (İşçi-İş Kazası Sonucu)")*($DN$6)
+COUNTIF(P23,"Cenaze Yardımı (İşçi-Tabii Sebepler Sonucu)")*($DN$7)
+COUNTIF(P23,"Doğal Afet Yardımı")*($DN$8)
+COUNTIF(P23,"Doğum Yardımı (İşveren)")*($DN$9)
+COUNTIF(P23,"Eğitim Yardımı (Çocuk-Zorunlu Anaokulu)")*(0)
+COUNTIF(P23,"Eğitim Yardımı (Çocuk-İlköğretim)")*(0)
+COUNTIF(P23,"Eğitim Yardımı (Çocuk-Ortaöğretim)")*(0)
+COUNTIF(P23,"Eğitim Yardımı (Çocuk-Lise)")*(0)
+COUNTIF(P23,"Eğitim Yardımı (Çocuk-Yükseköğretim)")*(0)
+COUNTIF(P23,"Eğitim Yardımı (Çocuk-Engelli)")*(0)
+COUNTIF(P23,"Eğitim Yardımı (İşçi-Lise)")*(0)
+COUNTIF(P23,"Eğitim Yardımı (İşçi-Yükseköğretim)")*(0)
+COUNTIF(P23,"Evlilik Yardımı")*($DN$18)
+COUNTIF(P23,"İş Kazası veya Meslek Hastalığı Tazminatı")*($DN$19)
+COUNTIF(P23,"Sünnet Yardımı")*(0)
+COUNTIF(P23,"Temizlik Yardımı")*(0)
+COUNTIF(Q23,"Yok")*(0)
+COUNTIF(Q23,"Bayram Yardımı (Kurban)")*(0)
+COUNTIF(Q23,"Bayram Yardımı (Ramazan)")*(0)
+COUNTIF(Q23,"Cenaze Yardımı (Anne-Baba)")*($DN$4)
+COUNTIF(Q23,"Cenaze Yardımı (Eş-Çocuk)")*($DN$5)
+COUNTIF(Q23,"Cenaze Yardımı (İşçi-İş Kazası Sonucu)")*($DN$6)
+COUNTIF(Q23,"Cenaze Yardımı (İşçi-Tabii Sebepler Sonucu)")*($DN$7)
+COUNTIF(Q23,"Doğal Afet Yardımı")*($DN$8)
+COUNTIF(Q23,"Doğum Yardımı (İşveren)")*($DN$9)
+COUNTIF(Q23,"Eğitim Yardımı (Çocuk-Zorunlu Anaokulu)")*(0)
+COUNTIF(Q23,"Eğitim Yardımı (Çocuk-İlköğretim)")*(0)
+COUNTIF(Q23,"Eğitim Yardımı (Çocuk-Ortaöğretim)")*(0)
+COUNTIF(Q23,"Eğitim Yardımı (Çocuk-Lise)")*(0)
+COUNTIF(Q23,"Eğitim Yardımı (Çocuk-Yükseköğretim)")*(0)
+COUNTIF(Q23,"Eğitim Yardımı (Çocuk-Engelli)")*(0)
+COUNTIF(Q23,"Eğitim Yardımı (İşçi-Lise)")*(0)
+COUNTIF(Q23,"Eğitim Yardımı (İşçi-Yükseköğretim)")*(0)
+COUNTIF(Q23,"Evlilik Yardımı")*($DN$18)
+COUNTIF(Q23,"İş Kazası veya Meslek Hastalığı Tazminatı")*($DN$19)
+COUNTIF(Q23,"Sünnet Yardımı")*(0)
+COUNTIF(Q23,"Temizlik Yardımı")*(0)</f>
        <v>0</v>
      </c>
      <c r="BO4" s="37">
        <f ca="1">COUNTIF(O23,"Yok")*(0)
+COUNTIF(O23,"Bayram Yardımı (Kurban)")*($DN$2)
+COUNTIF(O23,"Bayram Yardımı (Ramazan)")*($DN$3)
+COUNTIF(O23,"Cenaze Yardımı (Anne-Baba)")*($DN$4-$DN$4*0.00759)
+COUNTIF(O23,"Cenaze Yardımı (Eş-Çocuk)")*($DN$5-$DN$5*0.00759)
+COUNTIF(O23,"Cenaze Yardımı (İşçi-İş Kazası Sonucu)")*($DN$6-$DN$6*0.00759)
+COUNTIF(O23,"Cenaze Yardımı (İşçi-Tabii Sebepler Sonucu)")*($DN$7-$DN$7*0.00759)
+COUNTIF(O23,"Doğal Afet Yardımı")*($DN$8-$DN$8*0.00759)
+COUNTIF(O23,"Doğum Yardımı (İşveren)")*($DN$9-$DN$9*0.00759)
+COUNTIF(O23,"Eğitim Yardımı (Çocuk-Zorunlu Anaokulu)")*($DN$10*CH12)
+COUNTIF(O23,"Eğitim Yardımı (Çocuk-İlköğretim)")*($DN$11*CH12)
+COUNTIF(O23,"Eğitim Yardımı (Çocuk-Ortaöğretim)")*($DN$12*CH12)
+COUNTIF(O23,"Eğitim Yardımı (Çocuk-Lise)")*($DN$13*CH12)
+COUNTIF(O23,"Eğitim Yardımı (Çocuk-Yükseköğretim)")*($DN$14*CH12)
+COUNTIF(O23,"Eğitim Yardımı (Çocuk-Engelli)")*($DN$15*CH12)
+COUNTIF(O23,"Eğitim Yardımı (İşçi-Lise)")*($DN$16*CH12)
+COUNTIF(O23,"Eğitim Yardımı (İşçi-Yükseköğretim)")*($DN$17*CH12)
+COUNTIF(O23,"Evlilik Yardımı")*($DN$18-$DN$18*0.00759)
+COUNTIF(O23,"İş Kazası veya Meslek Hastalığı Tazminatı")*($DN$19-$DN$19*0.00759)
+COUNTIF(O23,"Sünnet Yardımı")*($DN$20*CH12)
+COUNTIF(O23,"Temizlik Yardımı")*($DN$21)
+COUNTIF(P23,"Yok")*(0)
+COUNTIF(P23,"Bayram Yardımı (Kurban)")*($DN$2)
+COUNTIF(P23,"Bayram Yardımı (Ramazan)")*($DN$3)
+COUNTIF(P23,"Cenaze Yardımı (Anne-Baba)")*($DN$4-$DN$4*0.00759)
+COUNTIF(P23,"Cenaze Yardımı (Eş-Çocuk)")*($DN$5-$DN$5*0.00759)
+COUNTIF(P23,"Cenaze Yardımı (İşçi-İş Kazası Sonucu)")*($DN$6-$DN$6*0.00759)
+COUNTIF(P23,"Cenaze Yardımı (İşçi-Tabii Sebepler Sonucu)")*($DN$7-$DN$7*0.00759)
+COUNTIF(P23,"Doğal Afet Yardımı")*($DN$8-$DN$8*0.00759)
+COUNTIF(P23,"Doğum Yardımı (İşveren)")*($DN$9-$DN$9*0.00759)
+COUNTIF(P23,"Eğitim Yardımı (Çocuk-Zorunlu Anaokulu)")*($DN$10*CH12)
+COUNTIF(P23,"Eğitim Yardımı (Çocuk-İlköğretim)")*($DN$11*CH12)
+COUNTIF(P23,"Eğitim Yardımı (Çocuk-Ortaöğretim)")*($DN$12*CH12)
+COUNTIF(P23,"Eğitim Yardımı (Çocuk-Lise)")*($DN$13*CH12)
+COUNTIF(P23,"Eğitim Yardımı (Çocuk-Yükseköğretim)")*($DN$14*CH12)
+COUNTIF(P23,"Eğitim Yardımı (Çocuk-Engelli)")*($DN$15*CH12)
+COUNTIF(P23,"Eğitim Yardımı (İşçi-Lise)")*($DN$16*CH12)
+COUNTIF(P23,"Eğitim Yardımı (İşçi-Yükseköğretim)")*($DN$17*CH12)
+COUNTIF(P23,"Evlilik Yardımı")*($DN$18-$DN$18*0.00759)
+COUNTIF(P23,"İş Kazası veya Meslek Hastalığı Tazminatı")*($DN$19-$DN$19*0.00759)
+COUNTIF(P23,"Sünnet Yardımı")*($DN$20*CH12)
+COUNTIF(P23,"Temizlik Yardımı")*($DN$21)
+COUNTIF(Q23,"Yok")*(0)
+COUNTIF(Q23,"Bayram Yardımı (Kurban)")*($DN$2)
+COUNTIF(Q23,"Bayram Yardımı (Ramazan)")*($DN$3)
+COUNTIF(Q23,"Cenaze Yardımı (Anne-Baba)")*($DN$4-$DN$4*0.00759)
+COUNTIF(Q23,"Cenaze Yardımı (Eş-Çocuk)")*($DN$5-$DN$5*0.00759)
+COUNTIF(Q23,"Cenaze Yardımı (İşçi-İş Kazası Sonucu)")*($DN$6-$DN$6*0.00759)
+COUNTIF(Q23,"Cenaze Yardımı (İşçi-Tabii Sebepler Sonucu)")*($DN$7-$DN$7*0.00759)
+COUNTIF(Q23,"Doğal Afet Yardımı")*($DN$8-$DN$8*0.00759)
+COUNTIF(Q23,"Doğum Yardımı (İşveren)")*($DN$9-$DN$9*0.00759)
+COUNTIF(Q23,"Eğitim Yardımı (Çocuk-Zorunlu Anaokulu)")*($DN$10*CH12)
+COUNTIF(Q23,"Eğitim Yardımı (Çocuk-İlköğretim)")*($DN$11*CH12)
+COUNTIF(Q23,"Eğitim Yardımı (Çocuk-Ortaöğretim)")*($DN$12*CH12)
+COUNTIF(Q23,"Eğitim Yardımı (Çocuk-Lise)")*($DN$13*CH12)
+COUNTIF(Q23,"Eğitim Yardımı (Çocuk-Yükseköğretim)")*($DN$14*CH12)
+COUNTIF(Q23,"Eğitim Yardımı (Çocuk-Engelli)")*($DN$15*CH12)
+COUNTIF(Q23,"Eğitim Yardımı (İşçi-Lise)")*($DN$16*CH12)
+COUNTIF(Q23,"Eğitim Yardımı (İşçi-Yükseköğretim)")*($DN$17*CH12)
+COUNTIF(Q23,"Evlilik Yardımı")*($DN$18-$DN$18*0.00759)
+COUNTIF(Q23,"İş Kazası veya Meslek Hastalığı Tazminatı")*($DN$19-$DN$19*0.00759)
+COUNTIF(Q23,"Sünnet Yardımı")*($DN$20*CH12)
+COUNTIF(Q23,"Temizlik Yardımı")*($DN$21)</f>
        <v>0</v>
      </c>
      <c r="BP4" s="33" t="s">
        <v>12</v>
      </c>
      <c r="BQ4" s="25">
        <f>COUNTIF(BP4,"Var")*(AP12*0.9*-1)</f>
        <v>-227.34</v>
      </c>
      <c r="BR4" s="25">
        <f>(BQ4*-1)</f>
        <v>227.34</v>
      </c>
      <c r="BS4" s="37">
        <f ca="1">(DI19*R23+BT4)*-1</f>
        <v>0</v>
      </c>
      <c r="BT4" s="37">
        <f>(AY2+AY8+BA8+BC8-BH8)*(R23*-1)</f>
        <v>0</v>
      </c>
      <c r="BU4" s="37">
        <f ca="1">(BS4+BT4)</f>
        <v>0</v>
      </c>
      <c r="BV4" s="25" t="s">
        <v>0</v>
      </c>
      <c r="BW4" s="25">
        <f>(6471)</f>
        <v>6471</v>
      </c>
      <c r="BX4" s="25">
        <f>(6471)</f>
        <v>6471</v>
      </c>
      <c r="BY4" s="25">
        <f>(BW4-BX4)</f>
        <v>0</v>
      </c>
      <c r="BZ4" s="25">
        <f>(BY4*0.00759*-1)</f>
        <v>0</v>
      </c>
      <c r="CA4" s="25">
        <f>(0)</f>
        <v>0</v>
      </c>
      <c r="CB4" s="25">
        <f>(BW4-CA4)</f>
        <v>6471</v>
      </c>
      <c r="CC4" s="25">
        <f>(CB4*0.14*-1)</f>
        <v>-905.94</v>
      </c>
      <c r="CD4" s="25">
        <f>(CB4*0.01*-1)</f>
        <v>-64.710000000000008</v>
      </c>
      <c r="CE4" s="37">
        <f ca="1">COUNTIF(O19,"Yok")*(0)
+COUNTIF(O19,"Bayram Yardımı (Kurban)")*($DN$2/DE15)
+COUNTIF(O19,"Bayram Yardımı (Ramazan)")*($DN$3/DE15)
+COUNTIF(O19,"Cenaze Yardımı (Anne-Baba)")*($DN$4)
+COUNTIF(O19,"Cenaze Yardımı (Eş-Çocuk)")*($DN$5)
+COUNTIF(O19,"Cenaze Yardımı (İşçi-İş Kazası Sonucu)")*($DN$6)
+COUNTIF(O19,"Cenaze Yardımı (İşçi-Tabii Sebepler Sonucu)")*($DN$7)
+COUNTIF(O19,"Doğal Afet Yardımı")*($DN$8)
+COUNTIF(O19,"Doğum Yardımı (İşveren)")*($DN$9)
+COUNTIF(O19,"Eğitim Yardımı (Çocuk-Zorunlu Anaokulu)")*($DN$10)
+COUNTIF(O19,"Eğitim Yardımı (Çocuk-İlköğretim)")*($DN$11)
+COUNTIF(O19,"Eğitim Yardımı (Çocuk-Ortaöğretim)")*($DN$12)
+COUNTIF(O19,"Eğitim Yardımı (Çocuk-Lise)")*($DN$13)
+COUNTIF(O19,"Eğitim Yardımı (Çocuk-Yükseköğretim)")*($DN$14)
+COUNTIF(O19,"Eğitim Yardımı (Çocuk-Engelli)")*($DN$15)
+COUNTIF(O19,"Eğitim Yardımı (İşçi-Lise)")*($DN$16)
+COUNTIF(O19,"Eğitim Yardımı (İşçi-Yükseköğretim)")*($DN$17)
+COUNTIF(O19,"Evlilik Yardımı")*($DN$18)
+COUNTIF(O19,"İş Kazası veya Meslek Hastalığı Tazminatı")*($DN$19)
+COUNTIF(O19,"Sünnet Yardımı")*($DN$20)
+COUNTIF(O19,"Temizlik Yardımı")*($DN$21/DE15)
+COUNTIF(P19,"Yok")*(0)
+COUNTIF(P19,"Bayram Yardımı (Kurban)")*($DN$2/DE15)
+COUNTIF(P19,"Bayram Yardımı (Ramazan)")*($DN$3/DE15)
+COUNTIF(P19,"Cenaze Yardımı (Anne-Baba)")*($DN$4)
+COUNTIF(P19,"Cenaze Yardımı (Eş-Çocuk)")*($DN$5)
+COUNTIF(P19,"Cenaze Yardımı (İşçi-İş Kazası Sonucu)")*($DN$6)
+COUNTIF(P19,"Cenaze Yardımı (İşçi-Tabii Sebepler Sonucu)")*($DN$7)
+COUNTIF(P19,"Doğal Afet Yardımı")*($DN$8)
+COUNTIF(P19,"Doğum Yardımı (İşveren)")*($DN$9)
+COUNTIF(P19,"Eğitim Yardımı (Çocuk-Zorunlu Anaokulu)")*($DN$10)
+COUNTIF(P19,"Eğitim Yardımı (Çocuk-İlköğretim)")*($DN$11)
+COUNTIF(P19,"Eğitim Yardımı (Çocuk-Ortaöğretim)")*($DN$12)
+COUNTIF(P19,"Eğitim Yardımı (Çocuk-Lise)")*($DN$13)
+COUNTIF(P19,"Eğitim Yardımı (Çocuk-Yükseköğretim)")*($DN$14)
+COUNTIF(P19,"Eğitim Yardımı (Çocuk-Engelli)")*($DN$15)
+COUNTIF(P19,"Eğitim Yardımı (İşçi-Lise)")*($DN$16)
+COUNTIF(P19,"Eğitim Yardımı (İşçi-Yükseköğretim)")*($DN$17)
+COUNTIF(P19,"Evlilik Yardımı")*($DN$18)
+COUNTIF(P19,"İş Kazası veya Meslek Hastalığı Tazminatı")*($DN$19)
+COUNTIF(P19,"Sünnet Yardımı")*($DN$20)
+COUNTIF(P19,"Temizlik Yardımı")*($DN$21/DE15)
+COUNTIF(Q19,"Yok")*(0)
+COUNTIF(Q19,"Bayram Yardımı (Kurban)")*($DN$2/DE15)
+COUNTIF(Q19,"Bayram Yardımı (Ramazan)")*($DN$3/DE15)
+COUNTIF(Q19,"Cenaze Yardımı (Anne-Baba)")*($DN$4)
+COUNTIF(Q19,"Cenaze Yardımı (Eş-Çocuk)")*($DN$5)
+COUNTIF(Q19,"Cenaze Yardımı (İşçi-İş Kazası Sonucu)")*($DN$6)
+COUNTIF(Q19,"Cenaze Yardımı (İşçi-Tabii Sebepler Sonucu)")*($DN$7)
+COUNTIF(Q19,"Doğal Afet Yardımı")*($DN$8)
+COUNTIF(Q19,"Doğum Yardımı (İşveren)")*($DN$9)
+COUNTIF(Q19,"Eğitim Yardımı (Çocuk-Zorunlu Anaokulu)")*($DN$10)
+COUNTIF(Q19,"Eğitim Yardımı (Çocuk-İlköğretim)")*($DN$11)
+COUNTIF(Q19,"Eğitim Yardımı (Çocuk-Ortaöğretim)")*($DN$12)
+COUNTIF(Q19,"Eğitim Yardımı (Çocuk-Lise)")*($DN$13)
+COUNTIF(Q19,"Eğitim Yardımı (Çocuk-Yükseköğretim)")*($DN$14)
+COUNTIF(Q19,"Eğitim Yardımı (Çocuk-Engelli)")*($DN$15)
+COUNTIF(Q19,"Eğitim Yardımı (İşçi-Lise)")*($DN$16)
+COUNTIF(Q19,"Eğitim Yardımı (İşçi-Yükseköğretim)")*($DN$17)
+COUNTIF(Q19,"Evlilik Yardımı")*($DN$18)
+COUNTIF(Q19,"İş Kazası veya Meslek Hastalığı Tazminatı")*($DN$19)
+COUNTIF(Q19,"Sünnet Yardımı")*($DN$20)
+COUNTIF(Q19,"Temizlik Yardımı")*($DN$21/DE15)</f>
        <v>0</v>
      </c>
      <c r="CF4" s="37">
        <f>COUNTIF(O19,"Yok")*(0)
+COUNTIF(O19,"Bayram Yardımı (Kurban)")*(0)
+COUNTIF(O19,"Bayram Yardımı (Ramazan)")*(0)
+COUNTIF(O19,"Cenaze Yardımı (Anne-Baba)")*($DN$4)
+COUNTIF(O19,"Cenaze Yardımı (Eş-Çocuk)")*($DN$5)
+COUNTIF(O19,"Cenaze Yardımı (İşçi-İş Kazası Sonucu)")*($DN$6)
+COUNTIF(O19,"Cenaze Yardımı (İşçi-Tabii Sebepler Sonucu)")*($DN$7)
+COUNTIF(O19,"Doğal Afet Yardımı")*($DN$8)
+COUNTIF(O19,"Doğum Yardımı (İşveren)")*($DN$9)
+COUNTIF(O19,"Eğitim Yardımı (Çocuk-Zorunlu Anaokulu)")*(0)
+COUNTIF(O19,"Eğitim Yardımı (Çocuk-İlköğretim)")*(0)
+COUNTIF(O19,"Eğitim Yardımı (Çocuk-Ortaöğretim)")*(0)
+COUNTIF(O19,"Eğitim Yardımı (Çocuk-Lise)")*(0)
+COUNTIF(O19,"Eğitim Yardımı (Çocuk-Yükseköğretim)")*(0)
+COUNTIF(O19,"Eğitim Yardımı (Çocuk-Engelli)")*(0)
+COUNTIF(O19,"Eğitim Yardımı (İşçi-Lise)")*(0)
+COUNTIF(O19,"Eğitim Yardımı (İşçi-Yükseköğretim)")*(0)
+COUNTIF(O19,"Evlilik Yardımı")*($DN$18)
+COUNTIF(O19,"İş Kazası veya Meslek Hastalığı Tazminatı")*($DN$19)
+COUNTIF(O19,"Sünnet Yardımı")*(0)
+COUNTIF(O19,"Temizlik Yardımı")*(0)
+COUNTIF(P19,"Yok")*(0)
+COUNTIF(P19,"Bayram Yardımı (Kurban)")*(0)
+COUNTIF(P19,"Bayram Yardımı (Ramazan)")*(0)
+COUNTIF(P19,"Cenaze Yardımı (Anne-Baba)")*($DN$4)
+COUNTIF(P19,"Cenaze Yardımı (Eş-Çocuk)")*($DN$5)
+COUNTIF(P19,"Cenaze Yardımı (İşçi-İş Kazası Sonucu)")*($DN$6)
+COUNTIF(P19,"Cenaze Yardımı (İşçi-Tabii Sebepler Sonucu)")*($DN$7)
+COUNTIF(P19,"Doğal Afet Yardımı")*($DN$8)
+COUNTIF(P19,"Doğum Yardımı (İşveren)")*($DN$9)
+COUNTIF(P19,"Eğitim Yardımı (Çocuk-Zorunlu Anaokulu)")*(0)
+COUNTIF(P19,"Eğitim Yardımı (Çocuk-İlköğretim)")*(0)
+COUNTIF(P19,"Eğitim Yardımı (Çocuk-Ortaöğretim)")*(0)
+COUNTIF(P19,"Eğitim Yardımı (Çocuk-Lise)")*(0)
+COUNTIF(P19,"Eğitim Yardımı (Çocuk-Yükseköğretim)")*(0)
+COUNTIF(P19,"Eğitim Yardımı (Çocuk-Engelli)")*(0)
+COUNTIF(P19,"Eğitim Yardımı (İşçi-Lise)")*(0)
+COUNTIF(P19,"Eğitim Yardımı (İşçi-Yükseköğretim)")*(0)
+COUNTIF(P19,"Evlilik Yardımı")*($DN$18)
+COUNTIF(P19,"İş Kazası veya Meslek Hastalığı Tazminatı")*($DN$19)
+COUNTIF(P19,"Sünnet Yardımı")*(0)
+COUNTIF(P19,"Temizlik Yardımı")*(0)
+COUNTIF(Q19,"Yok")*(0)
+COUNTIF(Q19,"Bayram Yardımı (Kurban)")*(0)
+COUNTIF(Q19,"Bayram Yardımı (Ramazan)")*(0)
+COUNTIF(Q19,"Cenaze Yardımı (Anne-Baba)")*($DN$4)
+COUNTIF(Q19,"Cenaze Yardımı (Eş-Çocuk)")*($DN$5)
+COUNTIF(Q19,"Cenaze Yardımı (İşçi-İş Kazası Sonucu)")*($DN$6)
+COUNTIF(Q19,"Cenaze Yardımı (İşçi-Tabii Sebepler Sonucu)")*($DN$7)
+COUNTIF(Q19,"Doğal Afet Yardımı")*($DN$8)
+COUNTIF(Q19,"Doğum Yardımı (İşveren)")*($DN$9)
+COUNTIF(Q19,"Eğitim Yardımı (Çocuk-Zorunlu Anaokulu)")*(0)
+COUNTIF(Q19,"Eğitim Yardımı (Çocuk-İlköğretim)")*(0)
+COUNTIF(Q19,"Eğitim Yardımı (Çocuk-Ortaöğretim)")*(0)
+COUNTIF(Q19,"Eğitim Yardımı (Çocuk-Lise)")*(0)
+COUNTIF(Q19,"Eğitim Yardımı (Çocuk-Yükseköğretim)")*(0)
+COUNTIF(Q19,"Eğitim Yardımı (Çocuk-Engelli)")*(0)
+COUNTIF(Q19,"Eğitim Yardımı (İşçi-Lise)")*(0)
+COUNTIF(Q19,"Eğitim Yardımı (İşçi-Yükseköğretim)")*(0)
+COUNTIF(Q19,"Evlilik Yardımı")*($DN$18)
+COUNTIF(Q19,"İş Kazası veya Meslek Hastalığı Tazminatı")*($DN$19)
+COUNTIF(Q19,"Sünnet Yardımı")*(0)
+COUNTIF(Q19,"Temizlik Yardımı")*(0)</f>
        <v>0</v>
      </c>
      <c r="CG4" s="37">
        <f ca="1">COUNTIF(O19,"Yok")*(0)
+COUNTIF(O19,"Bayram Yardımı (Kurban)")*($DN$2)
+COUNTIF(O19,"Bayram Yardımı (Ramazan)")*($DN$3)
+COUNTIF(O19,"Cenaze Yardımı (Anne-Baba)")*($DN$4-$DN$4*0.00759)
+COUNTIF(O19,"Cenaze Yardımı (Eş-Çocuk)")*($DN$5-$DN$5*0.00759)
+COUNTIF(O19,"Cenaze Yardımı (İşçi-İş Kazası Sonucu)")*($DN$6-$DN$6*0.00759)
+COUNTIF(O19,"Cenaze Yardımı (İşçi-Tabii Sebepler Sonucu)")*($DN$7-$DN$7*0.00759)
+COUNTIF(O19,"Doğal Afet Yardımı")*($DN$8-$DN$8*0.00759)
+COUNTIF(O19,"Doğum Yardımı (İşveren)")*($DN$9-$DN$9*0.00759)
+COUNTIF(O19,"Eğitim Yardımı (Çocuk-Zorunlu Anaokulu)")*($DN$10*DE15)
+COUNTIF(O19,"Eğitim Yardımı (Çocuk-İlköğretim)")*($DN$11*DE15)
+COUNTIF(O19,"Eğitim Yardımı (Çocuk-Ortaöğretim)")*($DN$12*DE15)
+COUNTIF(O19,"Eğitim Yardımı (Çocuk-Lise)")*($DN$13*DE15)
+COUNTIF(O19,"Eğitim Yardımı (Çocuk-Yükseköğretim)")*($DN$14*DE15)
+COUNTIF(O19,"Eğitim Yardımı (Çocuk-Engelli)")*($DN$15*DE15)
+COUNTIF(O19,"Eğitim Yardımı (İşçi-Lise)")*($DN$16*DE15)
+COUNTIF(O19,"Eğitim Yardımı (İşçi-Yükseköğretim)")*($DN$17*DE15)
+COUNTIF(O19,"Evlilik Yardımı")*($DN$18-$DN$18*0.00759)
+COUNTIF(O19,"İş Kazası veya Meslek Hastalığı Tazminatı")*($DN$19-$DN$19*0.00759)
+COUNTIF(O19,"Sünnet Yardımı")*($DN$20*DE15)
+COUNTIF(O19,"Temizlik Yardımı")*($DN$21)
+COUNTIF(P19,"Yok")*(0)
+COUNTIF(P19,"Bayram Yardımı (Kurban)")*($DN$2)
+COUNTIF(P19,"Bayram Yardımı (Ramazan)")*($DN$3)
+COUNTIF(P19,"Cenaze Yardımı (Anne-Baba)")*($DN$4-$DN$4*0.00759)
+COUNTIF(P19,"Cenaze Yardımı (Eş-Çocuk)")*($DN$5-$DN$5*0.00759)
+COUNTIF(P19,"Cenaze Yardımı (İşçi-İş Kazası Sonucu)")*($DN$6-$DN$6*0.00759)
+COUNTIF(P19,"Cenaze Yardımı (İşçi-Tabii Sebepler Sonucu)")*($DN$7-$DN$7*0.00759)
+COUNTIF(P19,"Doğal Afet Yardımı")*($DN$8-$DN$8*0.00759)
+COUNTIF(P19,"Doğum Yardımı (İşveren)")*($DN$9-$DN$9*0.00759)
+COUNTIF(P19,"Eğitim Yardımı (Çocuk-Zorunlu Anaokulu)")*($DN$10*DE15)
+COUNTIF(P19,"Eğitim Yardımı (Çocuk-İlköğretim)")*($DN$11*DE15)
+COUNTIF(P19,"Eğitim Yardımı (Çocuk-Ortaöğretim)")*($DN$12*DE15)
+COUNTIF(P19,"Eğitim Yardımı (Çocuk-Lise)")*($DN$13*DE15)
+COUNTIF(P19,"Eğitim Yardımı (Çocuk-Yükseköğretim)")*($DN$14*DE15)
+COUNTIF(P19,"Eğitim Yardımı (Çocuk-Engelli)")*($DN$15*DE15)
+COUNTIF(P19,"Eğitim Yardımı (İşçi-Lise)")*($DN$16*DE15)
+COUNTIF(P19,"Eğitim Yardımı (İşçi-Yükseköğretim)")*($DN$17*DE15)
+COUNTIF(P19,"Evlilik Yardımı")*($DN$18-$DN$18*0.00759)
+COUNTIF(P19,"İş Kazası veya Meslek Hastalığı Tazminatı")*($DN$19-$DN$19*0.00759)
+COUNTIF(P19,"Sünnet Yardımı")*($DN$20*DE15)
+COUNTIF(P19,"Temizlik Yardımı")*($DN$21)
+COUNTIF(Q19,"Yok")*(0)
+COUNTIF(Q19,"Bayram Yardımı (Kurban)")*($DN$2)
+COUNTIF(Q19,"Bayram Yardımı (Ramazan)")*($DN$3)
+COUNTIF(Q19,"Cenaze Yardımı (Anne-Baba)")*($DN$4-$DN$4*0.00759)
+COUNTIF(Q19,"Cenaze Yardımı (Eş-Çocuk)")*($DN$5-$DN$5*0.00759)
+COUNTIF(Q19,"Cenaze Yardımı (İşçi-İş Kazası Sonucu)")*($DN$6-$DN$6*0.00759)
+COUNTIF(Q19,"Cenaze Yardımı (İşçi-Tabii Sebepler Sonucu)")*($DN$7-$DN$7*0.00759)
+COUNTIF(Q19,"Doğal Afet Yardımı")*($DN$8-$DN$8*0.00759)
+COUNTIF(Q19,"Doğum Yardımı (İşveren)")*($DN$9-$DN$9*0.00759)
+COUNTIF(Q19,"Eğitim Yardımı (Çocuk-Zorunlu Anaokulu)")*($DN$10*DE15)
+COUNTIF(Q19,"Eğitim Yardımı (Çocuk-İlköğretim)")*($DN$11*DE15)
+COUNTIF(Q19,"Eğitim Yardımı (Çocuk-Ortaöğretim)")*($DN$12*DE15)
+COUNTIF(Q19,"Eğitim Yardımı (Çocuk-Lise)")*($DN$13*DE15)
+COUNTIF(Q19,"Eğitim Yardımı (Çocuk-Yükseköğretim)")*($DN$14*DE15)
+COUNTIF(Q19,"Eğitim Yardımı (Çocuk-Engelli)")*($DN$15*DE15)
+COUNTIF(Q19,"Eğitim Yardımı (İşçi-Lise)")*($DN$16*DE15)
+COUNTIF(Q19,"Eğitim Yardımı (İşçi-Yükseköğretim)")*($DN$17*DE15)
+COUNTIF(Q19,"Evlilik Yardımı")*($DN$18-$DN$18*0.00759)
+COUNTIF(Q19,"İş Kazası veya Meslek Hastalığı Tazminatı")*($DN$19-$DN$19*0.00759)
+COUNTIF(Q19,"Sünnet Yardımı")*($DN$20*DE15)
+COUNTIF(Q19,"Temizlik Yardımı")*($DN$21)</f>
        <v>0</v>
      </c>
      <c r="CH4" s="33" t="s">
        <v>12</v>
      </c>
      <c r="CI4" s="25">
        <f>COUNTIF(CH4,"Var")*(AU19*0.9*-1)</f>
        <v>-192.61800000000002</v>
      </c>
      <c r="CJ4" s="25">
        <f>(CI4*-1)</f>
        <v>192.61800000000002</v>
      </c>
      <c r="CK4" s="37">
        <f ca="1">(DG10*R19+CE8)*-1</f>
        <v>0</v>
      </c>
      <c r="CL4" s="25">
        <f ca="1">(CZ21)</f>
        <v>10628.820000000002</v>
      </c>
      <c r="CM4" s="25">
        <f ca="1">(CL4*0.205)</f>
        <v>2178.9081000000001</v>
      </c>
      <c r="CN4" s="25">
        <f ca="1">(CL4*0.01)</f>
        <v>106.28820000000002</v>
      </c>
      <c r="CO4" s="25">
        <f ca="1">(CL4*0.05*-1)</f>
        <v>-531.44100000000014</v>
      </c>
      <c r="CP4" s="25">
        <f ca="1">(CL4+CM4+CN4+CO4)</f>
        <v>12382.575300000002</v>
      </c>
      <c r="CS4" s="31">
        <v>0.27</v>
      </c>
      <c r="CT4" s="25">
        <f>$CU$3</f>
        <v>70000</v>
      </c>
      <c r="CU4" s="25">
        <v>250000</v>
      </c>
      <c r="CV4" s="25">
        <f>(CU3-CT3)*CS3+CV3</f>
        <v>12400</v>
      </c>
      <c r="CW4" s="25">
        <f>(0)</f>
        <v>0</v>
      </c>
      <c r="CX4" s="25">
        <f>(BW12+CC12+CD12-CW4)</f>
        <v>4253.3999999999996</v>
      </c>
      <c r="CY4" s="25">
        <f>SUM(CX$2:$CX4)</f>
        <v>12760.199999999999</v>
      </c>
      <c r="CZ4" s="29">
        <f t="shared" si="2"/>
        <v>0.15</v>
      </c>
      <c r="DA4" s="33">
        <f t="shared" si="3"/>
        <v>0</v>
      </c>
      <c r="DB4" s="28">
        <f>IF(DA5=0,CZ5,(VLOOKUP($CZ5,$CS$2:$CV$6,2,0)-CY4)/CX5*CZ4+(CY5-VLOOKUP($CZ5,$CS$2:$CV$6,2,0))/CX5*CZ5)</f>
        <v>0.15</v>
      </c>
      <c r="DC4" s="25">
        <f>(ROUND(CX5*DB4,2))</f>
        <v>638.01</v>
      </c>
      <c r="DD4" s="28">
        <f>(100+(100*0.00759*-1)+(100*0.01*-1)+(100*0.01*-1)+(100+100*0.14*-1+100*0.01*-1)*DB4*-1)/100</f>
        <v>0.84491000000000005</v>
      </c>
      <c r="DE4" s="25">
        <f>BW13</f>
        <v>5004</v>
      </c>
      <c r="DF4" s="25">
        <f>BW13+BZ13+CC13+CD13</f>
        <v>4253.3999999999996</v>
      </c>
      <c r="DG4" s="25" t="s">
        <v>0</v>
      </c>
      <c r="DH4" s="25">
        <f ca="1">(AJ18+AL18+AN18+AK25+AM25+AO25+BD14+BJ14+BM14+BP14+BR14+BT14+CO14+BM13)</f>
        <v>13135.150000000001</v>
      </c>
      <c r="DI4" s="25">
        <f ca="1">(AJ18+AL18+AN18+AK25+AM25+AO25+BD14+BJ14+BM14+BP14+BR14+BT14+CO14+BM13)</f>
        <v>13135.150000000001</v>
      </c>
      <c r="DJ4" s="25">
        <f ca="1">(DI4*0.00759*-1)</f>
        <v>-99.69578850000002</v>
      </c>
      <c r="DK4" s="25">
        <f>(BX13)</f>
        <v>5004</v>
      </c>
      <c r="DL4" s="25">
        <f>(DK4*0.00759*-1)</f>
        <v>-37.980360000000005</v>
      </c>
      <c r="DM4" s="34" t="s">
        <v>61</v>
      </c>
      <c r="DN4" s="25">
        <v>1933.12</v>
      </c>
      <c r="DX4" s="24">
        <v>2</v>
      </c>
      <c r="DY4" s="35">
        <v>1</v>
      </c>
      <c r="DZ4" s="36">
        <v>0.04</v>
      </c>
      <c r="EA4" s="49"/>
    </row>
    <row r="5" spans="1:131" ht="39.950000000000003" customHeight="1" x14ac:dyDescent="0.25">
      <c r="A5" s="70"/>
      <c r="B5" s="71"/>
      <c r="C5" s="57"/>
      <c r="D5" s="57"/>
      <c r="E5" s="72"/>
      <c r="F5" s="72"/>
      <c r="G5" s="57"/>
      <c r="H5" s="57"/>
      <c r="I5" s="57"/>
      <c r="J5" s="74"/>
      <c r="K5" s="57"/>
      <c r="L5" s="57"/>
      <c r="M5" s="57"/>
      <c r="N5" s="57"/>
      <c r="O5" s="57"/>
      <c r="P5" s="57"/>
      <c r="Q5" s="57"/>
      <c r="R5" s="57"/>
      <c r="S5" s="57"/>
      <c r="T5" s="57"/>
      <c r="U5" s="73"/>
      <c r="V5" s="15" t="s">
        <v>11</v>
      </c>
      <c r="W5" s="16">
        <f t="shared" ca="1" si="0"/>
        <v>0</v>
      </c>
      <c r="X5" s="17">
        <f ca="1">COUNTIF(Y1,"Ocak")*(AN22)
+COUNTIF(Y1,"Şubat")*(AN23)
+COUNTIF(Y1,"Mart")*(AN24)
+COUNTIF(Y1,"Nisan")*(AN25)
+COUNTIF(Y1,"Mayıs")*(BB4)
+COUNTIF(Y1,"Haziran")*(BB5)
+COUNTIF(Y1,"Temmuz")*(BB6)
+COUNTIF(Y1,"Ağustos")*(BB7)
+COUNTIF(Y1,"Eylül")*(BB8)
+COUNTIF(Y1,"Ekim")*(BB9)
+COUNTIF(Y1,"Kasım")*(BB10)
+COUNTIF(Y1,"Aralık")*(BB11)
+COUNTIF(Y1,"Yıllık Toplam")*(BB12)
+COUNTIF(Y1,"Yıllık Ortalama")*(BB13)</f>
        <v>0</v>
      </c>
      <c r="Y5" s="64"/>
      <c r="Z5" s="68"/>
      <c r="AA5" s="77" t="s">
        <v>31</v>
      </c>
      <c r="AB5" s="79" t="s">
        <v>134</v>
      </c>
      <c r="AC5" s="56"/>
      <c r="AD5" s="58"/>
      <c r="AE5" s="60"/>
      <c r="AF5" s="59"/>
      <c r="AG5" s="21" t="s">
        <v>80</v>
      </c>
      <c r="AH5" s="22">
        <v>309.3</v>
      </c>
      <c r="AI5" s="22">
        <v>364.9</v>
      </c>
      <c r="AJ5" s="24" t="s">
        <v>0</v>
      </c>
      <c r="AK5" s="24" t="s">
        <v>0</v>
      </c>
      <c r="AL5" s="25">
        <f>($AP$2)</f>
        <v>117.7225</v>
      </c>
      <c r="AM5" s="25">
        <f>($AQ$2)</f>
        <v>166.8015</v>
      </c>
      <c r="AN5" s="24" t="s">
        <v>0</v>
      </c>
      <c r="AO5" s="24" t="s">
        <v>0</v>
      </c>
      <c r="AP5" s="25">
        <f>($AP$4/2)</f>
        <v>88.291875000000005</v>
      </c>
      <c r="AQ5" s="25">
        <f>($AQ$4/2)</f>
        <v>125.101125</v>
      </c>
      <c r="AR5" s="24">
        <f>($AR$1+$AR$2)</f>
        <v>9500</v>
      </c>
      <c r="AS5" s="24">
        <f>(2.15)</f>
        <v>2.15</v>
      </c>
      <c r="AT5" s="25">
        <f>($AN$6*$AR$5*$AS$5)</f>
        <v>4808.9641249999995</v>
      </c>
      <c r="AU5" s="25">
        <f>($AO$6*$AR$5*$AS$5)</f>
        <v>6813.8412749999989</v>
      </c>
      <c r="AX5" s="25">
        <f ca="1">(AN20*CI1)</f>
        <v>0</v>
      </c>
      <c r="AY5" s="25">
        <f>(AW20*E20)</f>
        <v>0</v>
      </c>
      <c r="AZ5" s="25">
        <f ca="1">(AY5*CI1)</f>
        <v>0</v>
      </c>
      <c r="BA5" s="25">
        <f>(AY20/7.5*0.3*F20)</f>
        <v>0</v>
      </c>
      <c r="BB5" s="25">
        <f ca="1">(BA5*CI1)</f>
        <v>0</v>
      </c>
      <c r="BC5" s="25">
        <f t="shared" si="4"/>
        <v>1209.78</v>
      </c>
      <c r="BD5" s="25">
        <f ca="1">(BF5+BG5+BJ5+BK5+BC16)</f>
        <v>844.69936979999989</v>
      </c>
      <c r="BE5" s="25">
        <f t="shared" si="5"/>
        <v>1209.78</v>
      </c>
      <c r="BF5" s="25">
        <f t="shared" si="6"/>
        <v>1209.78</v>
      </c>
      <c r="BG5" s="25">
        <f t="shared" si="7"/>
        <v>-9.1822302000000011</v>
      </c>
      <c r="BH5" s="25">
        <f>($AL$9*G20)</f>
        <v>260.26</v>
      </c>
      <c r="BI5" s="25">
        <f t="shared" si="8"/>
        <v>949.52</v>
      </c>
      <c r="BJ5" s="25">
        <f t="shared" si="9"/>
        <v>-132.93280000000001</v>
      </c>
      <c r="BK5" s="25">
        <f t="shared" si="10"/>
        <v>-9.4952000000000005</v>
      </c>
      <c r="BL5" s="25">
        <f>(0)</f>
        <v>0</v>
      </c>
      <c r="BM5" s="37">
        <f ca="1">COUNTIF(O24,"Yok")*(0)
+COUNTIF(O24,"Bayram Yardımı (Kurban)")*($DN$2/CH13)
+COUNTIF(O24,"Bayram Yardımı (Ramazan)")*($DN$3/CH13)
+COUNTIF(O24,"Cenaze Yardımı (Anne-Baba)")*($DN$4)
+COUNTIF(O24,"Cenaze Yardımı (Eş-Çocuk)")*($DN$5)
+COUNTIF(O24,"Cenaze Yardımı (İşçi-İş Kazası Sonucu)")*($DN$6)
+COUNTIF(O24,"Cenaze Yardımı (İşçi-Tabii Sebepler Sonucu)")*($DN$7)
+COUNTIF(O24,"Doğal Afet Yardımı")*($DN$8)
+COUNTIF(O24,"Doğum Yardımı (İşveren)")*($DN$9)
+COUNTIF(O24,"Eğitim Yardımı (Çocuk-Zorunlu Anaokulu)")*($DN$10)
+COUNTIF(O24,"Eğitim Yardımı (Çocuk-İlköğretim)")*($DN$11)
+COUNTIF(O24,"Eğitim Yardımı (Çocuk-Ortaöğretim)")*($DN$12)
+COUNTIF(O24,"Eğitim Yardımı (Çocuk-Lise)")*($DN$13)
+COUNTIF(O24,"Eğitim Yardımı (Çocuk-Yükseköğretim)")*($DN$14)
+COUNTIF(O24,"Eğitim Yardımı (Çocuk-Engelli)")*($DN$15)
+COUNTIF(O24,"Eğitim Yardımı (İşçi-Lise)")*($DN$16)
+COUNTIF(O24,"Eğitim Yardımı (İşçi-Yükseköğretim)")*($DN$17)
+COUNTIF(O24,"Evlilik Yardımı")*($DN$18)
+COUNTIF(O24,"İş Kazası veya Meslek Hastalığı Tazminatı")*($DN$19)
+COUNTIF(O24,"Sünnet Yardımı")*($DN$20)
+COUNTIF(O24,"Temizlik Yardımı")*($DN$21/CH13)
+COUNTIF(P24,"Yok")*(0)
+COUNTIF(P24,"Bayram Yardımı (Kurban)")*($DN$2/CH13)
+COUNTIF(P24,"Bayram Yardımı (Ramazan)")*($DN$3/CH13)
+COUNTIF(P24,"Cenaze Yardımı (Anne-Baba)")*($DN$4)
+COUNTIF(P24,"Cenaze Yardımı (Eş-Çocuk)")*($DN$5)
+COUNTIF(P24,"Cenaze Yardımı (İşçi-İş Kazası Sonucu)")*($DN$6)
+COUNTIF(P24,"Cenaze Yardımı (İşçi-Tabii Sebepler Sonucu)")*($DN$7)
+COUNTIF(P24,"Doğal Afet Yardımı")*($DN$8)
+COUNTIF(P24,"Doğum Yardımı (İşveren)")*($DN$9)
+COUNTIF(P24,"Eğitim Yardımı (Çocuk-Zorunlu Anaokulu)")*($DN$10)
+COUNTIF(P24,"Eğitim Yardımı (Çocuk-İlköğretim)")*($DN$11)
+COUNTIF(P24,"Eğitim Yardımı (Çocuk-Ortaöğretim)")*($DN$12)
+COUNTIF(P24,"Eğitim Yardımı (Çocuk-Lise)")*($DN$13)
+COUNTIF(P24,"Eğitim Yardımı (Çocuk-Yükseköğretim)")*($DN$14)
+COUNTIF(P24,"Eğitim Yardımı (Çocuk-Engelli)")*($DN$15)
+COUNTIF(P24,"Eğitim Yardımı (İşçi-Lise)")*($DN$16)
+COUNTIF(P24,"Eğitim Yardımı (İşçi-Yükseköğretim)")*($DN$17)
+COUNTIF(P24,"Evlilik Yardımı")*($DN$18)
+COUNTIF(P24,"İş Kazası veya Meslek Hastalığı Tazminatı")*($DN$19)
+COUNTIF(P24,"Sünnet Yardımı")*($DN$20)
+COUNTIF(P24,"Temizlik Yardımı")*($DN$21/CH13)
+COUNTIF(Q24,"Yok")*(0)
+COUNTIF(Q24,"Bayram Yardımı (Kurban)")*($DN$2/CH13)
+COUNTIF(Q24,"Bayram Yardımı (Ramazan)")*($DN$3/CH13)
+COUNTIF(Q24,"Cenaze Yardımı (Anne-Baba)")*($DN$4)
+COUNTIF(Q24,"Cenaze Yardımı (Eş-Çocuk)")*($DN$5)
+COUNTIF(Q24,"Cenaze Yardımı (İşçi-İş Kazası Sonucu)")*($DN$6)
+COUNTIF(Q24,"Cenaze Yardımı (İşçi-Tabii Sebepler Sonucu)")*($DN$7)
+COUNTIF(Q24,"Doğal Afet Yardımı")*($DN$8)
+COUNTIF(Q24,"Doğum Yardımı (İşveren)")*($DN$9)
+COUNTIF(Q24,"Eğitim Yardımı (Çocuk-Zorunlu Anaokulu)")*($DN$10)
+COUNTIF(Q24,"Eğitim Yardımı (Çocuk-İlköğretim)")*($DN$11)
+COUNTIF(Q24,"Eğitim Yardımı (Çocuk-Ortaöğretim)")*($DN$12)
+COUNTIF(Q24,"Eğitim Yardımı (Çocuk-Lise)")*($DN$13)
+COUNTIF(Q24,"Eğitim Yardımı (Çocuk-Yükseköğretim)")*($DN$14)
+COUNTIF(Q24,"Eğitim Yardımı (Çocuk-Engelli)")*($DN$15)
+COUNTIF(Q24,"Eğitim Yardımı (İşçi-Lise)")*($DN$16)
+COUNTIF(Q24,"Eğitim Yardımı (İşçi-Yükseköğretim)")*($DN$17)
+COUNTIF(Q24,"Evlilik Yardımı")*($DN$18)
+COUNTIF(Q24,"İş Kazası veya Meslek Hastalığı Tazminatı")*($DN$19)
+COUNTIF(Q24,"Sünnet Yardımı")*($DN$20)
+COUNTIF(Q24,"Temizlik Yardımı")*($DN$21/CH13)</f>
        <v>0</v>
      </c>
      <c r="BN5" s="37">
        <f>COUNTIF(O24,"Yok")*(0)
+COUNTIF(O24,"Bayram Yardımı (Kurban)")*(0)
+COUNTIF(O24,"Bayram Yardımı (Ramazan)")*(0)
+COUNTIF(O24,"Cenaze Yardımı (Anne-Baba)")*($DN$4)
+COUNTIF(O24,"Cenaze Yardımı (Eş-Çocuk)")*($DN$5)
+COUNTIF(O24,"Cenaze Yardımı (İşçi-İş Kazası Sonucu)")*($DN$6)
+COUNTIF(O24,"Cenaze Yardımı (İşçi-Tabii Sebepler Sonucu)")*($DN$7)
+COUNTIF(O24,"Doğal Afet Yardımı")*($DN$8)
+COUNTIF(O24,"Doğum Yardımı (İşveren)")*($DN$9)
+COUNTIF(O24,"Eğitim Yardımı (Çocuk-Zorunlu Anaokulu)")*(0)
+COUNTIF(O24,"Eğitim Yardımı (Çocuk-İlköğretim)")*(0)
+COUNTIF(O24,"Eğitim Yardımı (Çocuk-Ortaöğretim)")*(0)
+COUNTIF(O24,"Eğitim Yardımı (Çocuk-Lise)")*(0)
+COUNTIF(O24,"Eğitim Yardımı (Çocuk-Yükseköğretim)")*(0)
+COUNTIF(O24,"Eğitim Yardımı (Çocuk-Engelli)")*(0)
+COUNTIF(O24,"Eğitim Yardımı (İşçi-Lise)")*(0)
+COUNTIF(O24,"Eğitim Yardımı (İşçi-Yükseköğretim)")*(0)
+COUNTIF(O24,"Evlilik Yardımı")*($DN$18)
+COUNTIF(O24,"İş Kazası veya Meslek Hastalığı Tazminatı")*($DN$19)
+COUNTIF(O24,"Sünnet Yardımı")*(0)
+COUNTIF(O24,"Temizlik Yardımı")*(0)
+COUNTIF(P24,"Yok")*(0)
+COUNTIF(P24,"Bayram Yardımı (Kurban)")*(0)
+COUNTIF(P24,"Bayram Yardımı (Ramazan)")*(0)
+COUNTIF(P24,"Cenaze Yardımı (Anne-Baba)")*($DN$4)
+COUNTIF(P24,"Cenaze Yardımı (Eş-Çocuk)")*($DN$5)
+COUNTIF(P24,"Cenaze Yardımı (İşçi-İş Kazası Sonucu)")*($DN$6)
+COUNTIF(P24,"Cenaze Yardımı (İşçi-Tabii Sebepler Sonucu)")*($DN$7)
+COUNTIF(P24,"Doğal Afet Yardımı")*($DN$8)
+COUNTIF(P24,"Doğum Yardımı (İşveren)")*($DN$9)
+COUNTIF(P24,"Eğitim Yardımı (Çocuk-Zorunlu Anaokulu)")*(0)
+COUNTIF(P24,"Eğitim Yardımı (Çocuk-İlköğretim)")*(0)
+COUNTIF(P24,"Eğitim Yardımı (Çocuk-Ortaöğretim)")*(0)
+COUNTIF(P24,"Eğitim Yardımı (Çocuk-Lise)")*(0)
+COUNTIF(P24,"Eğitim Yardımı (Çocuk-Yükseköğretim)")*(0)
+COUNTIF(P24,"Eğitim Yardımı (Çocuk-Engelli)")*(0)
+COUNTIF(P24,"Eğitim Yardımı (İşçi-Lise)")*(0)
+COUNTIF(P24,"Eğitim Yardımı (İşçi-Yükseköğretim)")*(0)
+COUNTIF(P24,"Evlilik Yardımı")*($DN$18)
+COUNTIF(P24,"İş Kazası veya Meslek Hastalığı Tazminatı")*($DN$19)
+COUNTIF(P24,"Sünnet Yardımı")*(0)
+COUNTIF(P24,"Temizlik Yardımı")*(0)
+COUNTIF(Q24,"Yok")*(0)
+COUNTIF(Q24,"Bayram Yardımı (Kurban)")*(0)
+COUNTIF(Q24,"Bayram Yardımı (Ramazan)")*(0)
+COUNTIF(Q24,"Cenaze Yardımı (Anne-Baba)")*($DN$4)
+COUNTIF(Q24,"Cenaze Yardımı (Eş-Çocuk)")*($DN$5)
+COUNTIF(Q24,"Cenaze Yardımı (İşçi-İş Kazası Sonucu)")*($DN$6)
+COUNTIF(Q24,"Cenaze Yardımı (İşçi-Tabii Sebepler Sonucu)")*($DN$7)
+COUNTIF(Q24,"Doğal Afet Yardımı")*($DN$8)
+COUNTIF(Q24,"Doğum Yardımı (İşveren)")*($DN$9)
+COUNTIF(Q24,"Eğitim Yardımı (Çocuk-Zorunlu Anaokulu)")*(0)
+COUNTIF(Q24,"Eğitim Yardımı (Çocuk-İlköğretim)")*(0)
+COUNTIF(Q24,"Eğitim Yardımı (Çocuk-Ortaöğretim)")*(0)
+COUNTIF(Q24,"Eğitim Yardımı (Çocuk-Lise)")*(0)
+COUNTIF(Q24,"Eğitim Yardımı (Çocuk-Yükseköğretim)")*(0)
+COUNTIF(Q24,"Eğitim Yardımı (Çocuk-Engelli)")*(0)
+COUNTIF(Q24,"Eğitim Yardımı (İşçi-Lise)")*(0)
+COUNTIF(Q24,"Eğitim Yardımı (İşçi-Yükseköğretim)")*(0)
+COUNTIF(Q24,"Evlilik Yardımı")*($DN$18)
+COUNTIF(Q24,"İş Kazası veya Meslek Hastalığı Tazminatı")*($DN$19)
+COUNTIF(Q24,"Sünnet Yardımı")*(0)
+COUNTIF(Q24,"Temizlik Yardımı")*(0)</f>
        <v>0</v>
      </c>
      <c r="BO5" s="37">
        <f ca="1">COUNTIF(O24,"Yok")*(0)
+COUNTIF(O24,"Bayram Yardımı (Kurban)")*($DN$2)
+COUNTIF(O24,"Bayram Yardımı (Ramazan)")*($DN$3)
+COUNTIF(O24,"Cenaze Yardımı (Anne-Baba)")*($DN$4-$DN$4*0.00759)
+COUNTIF(O24,"Cenaze Yardımı (Eş-Çocuk)")*($DN$5-$DN$5*0.00759)
+COUNTIF(O24,"Cenaze Yardımı (İşçi-İş Kazası Sonucu)")*($DN$6-$DN$6*0.00759)
+COUNTIF(O24,"Cenaze Yardımı (İşçi-Tabii Sebepler Sonucu)")*($DN$7-$DN$7*0.00759)
+COUNTIF(O24,"Doğal Afet Yardımı")*($DN$8-$DN$8*0.00759)
+COUNTIF(O24,"Doğum Yardımı (İşveren)")*($DN$9-$DN$9*0.00759)
+COUNTIF(O24,"Eğitim Yardımı (Çocuk-Zorunlu Anaokulu)")*($DN$10*CH13)
+COUNTIF(O24,"Eğitim Yardımı (Çocuk-İlköğretim)")*($DN$11*CH13)
+COUNTIF(O24,"Eğitim Yardımı (Çocuk-Ortaöğretim)")*($DN$12*CH13)
+COUNTIF(O24,"Eğitim Yardımı (Çocuk-Lise)")*($DN$13*CH13)
+COUNTIF(O24,"Eğitim Yardımı (Çocuk-Yükseköğretim)")*($DN$14*CH13)
+COUNTIF(O24,"Eğitim Yardımı (Çocuk-Engelli)")*($DN$15*CH13)
+COUNTIF(O24,"Eğitim Yardımı (İşçi-Lise)")*($DN$16*CH13)
+COUNTIF(O24,"Eğitim Yardımı (İşçi-Yükseköğretim)")*($DN$17*CH13)
+COUNTIF(O24,"Evlilik Yardımı")*($DN$18-$DN$18*0.00759)
+COUNTIF(O24,"İş Kazası veya Meslek Hastalığı Tazminatı")*($DN$19-$DN$19*0.00759)
+COUNTIF(O24,"Sünnet Yardımı")*($DN$20*CH13)
+COUNTIF(O24,"Temizlik Yardımı")*($DN$21)
+COUNTIF(P24,"Yok")*(0)
+COUNTIF(P24,"Bayram Yardımı (Kurban)")*($DN$2)
+COUNTIF(P24,"Bayram Yardımı (Ramazan)")*($DN$3)
+COUNTIF(P24,"Cenaze Yardımı (Anne-Baba)")*($DN$4-$DN$4*0.00759)
+COUNTIF(P24,"Cenaze Yardımı (Eş-Çocuk)")*($DN$5-$DN$5*0.00759)
+COUNTIF(P24,"Cenaze Yardımı (İşçi-İş Kazası Sonucu)")*($DN$6-$DN$6*0.00759)
+COUNTIF(P24,"Cenaze Yardımı (İşçi-Tabii Sebepler Sonucu)")*($DN$7-$DN$7*0.00759)
+COUNTIF(P24,"Doğal Afet Yardımı")*($DN$8-$DN$8*0.00759)
+COUNTIF(P24,"Doğum Yardımı (İşveren)")*($DN$9-$DN$9*0.00759)
+COUNTIF(P24,"Eğitim Yardımı (Çocuk-Zorunlu Anaokulu)")*($DN$10*CH13)
+COUNTIF(P24,"Eğitim Yardımı (Çocuk-İlköğretim)")*($DN$11*CH13)
+COUNTIF(P24,"Eğitim Yardımı (Çocuk-Ortaöğretim)")*($DN$12*CH13)
+COUNTIF(P24,"Eğitim Yardımı (Çocuk-Lise)")*($DN$13*CH13)
+COUNTIF(P24,"Eğitim Yardımı (Çocuk-Yükseköğretim)")*($DN$14*CH13)
+COUNTIF(P24,"Eğitim Yardımı (Çocuk-Engelli)")*($DN$15*CH13)
+COUNTIF(P24,"Eğitim Yardımı (İşçi-Lise)")*($DN$16*CH13)
+COUNTIF(P24,"Eğitim Yardımı (İşçi-Yükseköğretim)")*($DN$17*CH13)
+COUNTIF(P24,"Evlilik Yardımı")*($DN$18-$DN$18*0.00759)
+COUNTIF(P24,"İş Kazası veya Meslek Hastalığı Tazminatı")*($DN$19-$DN$19*0.00759)
+COUNTIF(P24,"Sünnet Yardımı")*($DN$20*CH13)
+COUNTIF(P24,"Temizlik Yardımı")*($DN$21)
+COUNTIF(Q24,"Yok")*(0)
+COUNTIF(Q24,"Bayram Yardımı (Kurban)")*($DN$2)
+COUNTIF(Q24,"Bayram Yardımı (Ramazan)")*($DN$3)
+COUNTIF(Q24,"Cenaze Yardımı (Anne-Baba)")*($DN$4-$DN$4*0.00759)
+COUNTIF(Q24,"Cenaze Yardımı (Eş-Çocuk)")*($DN$5-$DN$5*0.00759)
+COUNTIF(Q24,"Cenaze Yardımı (İşçi-İş Kazası Sonucu)")*($DN$6-$DN$6*0.00759)
+COUNTIF(Q24,"Cenaze Yardımı (İşçi-Tabii Sebepler Sonucu)")*($DN$7-$DN$7*0.00759)
+COUNTIF(Q24,"Doğal Afet Yardımı")*($DN$8-$DN$8*0.00759)
+COUNTIF(Q24,"Doğum Yardımı (İşveren)")*($DN$9-$DN$9*0.00759)
+COUNTIF(Q24,"Eğitim Yardımı (Çocuk-Zorunlu Anaokulu)")*($DN$10*CH13)
+COUNTIF(Q24,"Eğitim Yardımı (Çocuk-İlköğretim)")*($DN$11*CH13)
+COUNTIF(Q24,"Eğitim Yardımı (Çocuk-Ortaöğretim)")*($DN$12*CH13)
+COUNTIF(Q24,"Eğitim Yardımı (Çocuk-Lise)")*($DN$13*CH13)
+COUNTIF(Q24,"Eğitim Yardımı (Çocuk-Yükseköğretim)")*($DN$14*CH13)
+COUNTIF(Q24,"Eğitim Yardımı (Çocuk-Engelli)")*($DN$15*CH13)
+COUNTIF(Q24,"Eğitim Yardımı (İşçi-Lise)")*($DN$16*CH13)
+COUNTIF(Q24,"Eğitim Yardımı (İşçi-Yükseköğretim)")*($DN$17*CH13)
+COUNTIF(Q24,"Evlilik Yardımı")*($DN$18-$DN$18*0.00759)
+COUNTIF(Q24,"İş Kazası veya Meslek Hastalığı Tazminatı")*($DN$19-$DN$19*0.00759)
+COUNTIF(Q24,"Sünnet Yardımı")*($DN$20*CH13)
+COUNTIF(Q24,"Temizlik Yardımı")*($DN$21)</f>
        <v>0</v>
      </c>
      <c r="BP5" s="33" t="s">
        <v>12</v>
      </c>
      <c r="BQ5" s="25">
        <f>COUNTIF(BP5,"Var")*(AP13*0.9*-1)</f>
        <v>-227.34</v>
      </c>
      <c r="BR5" s="25">
        <f>(BQ5*-1)</f>
        <v>227.34</v>
      </c>
      <c r="BS5" s="37">
        <f ca="1">(DI20*R24+BT5)*-1</f>
        <v>0</v>
      </c>
      <c r="BT5" s="37">
        <f>(AY3+AY9+BA9+BC9-BH9)*(R24*-1)</f>
        <v>0</v>
      </c>
      <c r="BU5" s="37">
        <f ca="1">(BS5+BT5)</f>
        <v>0</v>
      </c>
      <c r="BV5" s="25" t="s">
        <v>0</v>
      </c>
      <c r="BW5" s="25">
        <f>(6471)</f>
        <v>6471</v>
      </c>
      <c r="BX5" s="25">
        <f>(6471)</f>
        <v>6471</v>
      </c>
      <c r="BY5" s="25">
        <f>(BW5-BX5)</f>
        <v>0</v>
      </c>
      <c r="BZ5" s="25">
        <f>(BY5*0.00759*-1)</f>
        <v>0</v>
      </c>
      <c r="CA5" s="25">
        <f>(0)</f>
        <v>0</v>
      </c>
      <c r="CB5" s="25">
        <f>(BW5-CA5)</f>
        <v>6471</v>
      </c>
      <c r="CC5" s="25">
        <f>(CB5*0.14*-1)</f>
        <v>-905.94</v>
      </c>
      <c r="CD5" s="25">
        <f>(CB5*0.01*-1)</f>
        <v>-64.710000000000008</v>
      </c>
      <c r="CE5" s="37">
        <f ca="1">COUNTIF(O20,"Yok")*(0)
+COUNTIF(O20,"Bayram Yardımı (Kurban)")*($DN$2/CI1)
+COUNTIF(O20,"Bayram Yardımı (Ramazan)")*($DN$3/CI1)
+COUNTIF(O20,"Cenaze Yardımı (Anne-Baba)")*($DN$4)
+COUNTIF(O20,"Cenaze Yardımı (Eş-Çocuk)")*($DN$5)
+COUNTIF(O20,"Cenaze Yardımı (İşçi-İş Kazası Sonucu)")*($DN$6)
+COUNTIF(O20,"Cenaze Yardımı (İşçi-Tabii Sebepler Sonucu)")*($DN$7)
+COUNTIF(O20,"Doğal Afet Yardımı")*($DN$8)
+COUNTIF(O20,"Doğum Yardımı (İşveren)")*($DN$9)
+COUNTIF(O20,"Eğitim Yardımı (Çocuk-Zorunlu Anaokulu)")*($DN$10)
+COUNTIF(O20,"Eğitim Yardımı (Çocuk-İlköğretim)")*($DN$11)
+COUNTIF(O20,"Eğitim Yardımı (Çocuk-Ortaöğretim)")*($DN$12)
+COUNTIF(O20,"Eğitim Yardımı (Çocuk-Lise)")*($DN$13)
+COUNTIF(O20,"Eğitim Yardımı (Çocuk-Yükseköğretim)")*($DN$14)
+COUNTIF(O20,"Eğitim Yardımı (Çocuk-Engelli)")*($DN$15)
+COUNTIF(O20,"Eğitim Yardımı (İşçi-Lise)")*($DN$16)
+COUNTIF(O20,"Eğitim Yardımı (İşçi-Yükseköğretim)")*($DN$17)
+COUNTIF(O20,"Evlilik Yardımı")*($DN$18)
+COUNTIF(O20,"İş Kazası veya Meslek Hastalığı Tazminatı")*($DN$19)
+COUNTIF(O20,"Sünnet Yardımı")*($DN$20)
+COUNTIF(O20,"Temizlik Yardımı")*($DN$21/CI1)
+COUNTIF(P20,"Yok")*(0)
+COUNTIF(P20,"Bayram Yardımı (Kurban)")*($DN$2/CI1)
+COUNTIF(P20,"Bayram Yardımı (Ramazan)")*($DN$3/CI1)
+COUNTIF(P20,"Cenaze Yardımı (Anne-Baba)")*($DN$4)
+COUNTIF(P20,"Cenaze Yardımı (Eş-Çocuk)")*($DN$5)
+COUNTIF(P20,"Cenaze Yardımı (İşçi-İş Kazası Sonucu)")*($DN$6)
+COUNTIF(P20,"Cenaze Yardımı (İşçi-Tabii Sebepler Sonucu)")*($DN$7)
+COUNTIF(P20,"Doğal Afet Yardımı")*($DN$8)
+COUNTIF(P20,"Doğum Yardımı (İşveren)")*($DN$9)
+COUNTIF(P20,"Eğitim Yardımı (Çocuk-Zorunlu Anaokulu)")*($DN$10)
+COUNTIF(P20,"Eğitim Yardımı (Çocuk-İlköğretim)")*($DN$11)
+COUNTIF(P20,"Eğitim Yardımı (Çocuk-Ortaöğretim)")*($DN$12)
+COUNTIF(P20,"Eğitim Yardımı (Çocuk-Lise)")*($DN$13)
+COUNTIF(P20,"Eğitim Yardımı (Çocuk-Yükseköğretim)")*($DN$14)
+COUNTIF(P20,"Eğitim Yardımı (Çocuk-Engelli)")*($DN$15)
+COUNTIF(P20,"Eğitim Yardımı (İşçi-Lise)")*($DN$16)
+COUNTIF(P20,"Eğitim Yardımı (İşçi-Yükseköğretim)")*($DN$17)
+COUNTIF(P20,"Evlilik Yardımı")*($DN$18)
+COUNTIF(P20,"İş Kazası veya Meslek Hastalığı Tazminatı")*($DN$19)
+COUNTIF(P20,"Sünnet Yardımı")*($DN$20)
+COUNTIF(P20,"Temizlik Yardımı")*($DN$21/CI1)
+COUNTIF(Q20,"Yok")*(0)
+COUNTIF(Q20,"Bayram Yardımı (Kurban)")*($DN$2/CI1)
+COUNTIF(Q20,"Bayram Yardımı (Ramazan)")*($DN$3/CI1)
+COUNTIF(Q20,"Cenaze Yardımı (Anne-Baba)")*($DN$4)
+COUNTIF(Q20,"Cenaze Yardımı (Eş-Çocuk)")*($DN$5)
+COUNTIF(Q20,"Cenaze Yardımı (İşçi-İş Kazası Sonucu)")*($DN$6)
+COUNTIF(Q20,"Cenaze Yardımı (İşçi-Tabii Sebepler Sonucu)")*($DN$7)
+COUNTIF(Q20,"Doğal Afet Yardımı")*($DN$8)
+COUNTIF(Q20,"Doğum Yardımı (İşveren)")*($DN$9)
+COUNTIF(Q20,"Eğitim Yardımı (Çocuk-Zorunlu Anaokulu)")*($DN$10)
+COUNTIF(Q20,"Eğitim Yardımı (Çocuk-İlköğretim)")*($DN$11)
+COUNTIF(Q20,"Eğitim Yardımı (Çocuk-Ortaöğretim)")*($DN$12)
+COUNTIF(Q20,"Eğitim Yardımı (Çocuk-Lise)")*($DN$13)
+COUNTIF(Q20,"Eğitim Yardımı (Çocuk-Yükseköğretim)")*($DN$14)
+COUNTIF(Q20,"Eğitim Yardımı (Çocuk-Engelli)")*($DN$15)
+COUNTIF(Q20,"Eğitim Yardımı (İşçi-Lise)")*($DN$16)
+COUNTIF(Q20,"Eğitim Yardımı (İşçi-Yükseköğretim)")*($DN$17)
+COUNTIF(Q20,"Evlilik Yardımı")*($DN$18)
+COUNTIF(Q20,"İş Kazası veya Meslek Hastalığı Tazminatı")*($DN$19)
+COUNTIF(Q20,"Sünnet Yardımı")*($DN$20)
+COUNTIF(Q20,"Temizlik Yardımı")*($DN$21/CI1)</f>
        <v>0</v>
      </c>
      <c r="CF5" s="37">
        <f>COUNTIF(O20,"Yok")*(0)
+COUNTIF(O20,"Bayram Yardımı (Kurban)")*(0)
+COUNTIF(O20,"Bayram Yardımı (Ramazan)")*(0)
+COUNTIF(O20,"Cenaze Yardımı (Anne-Baba)")*($DN$4)
+COUNTIF(O20,"Cenaze Yardımı (Eş-Çocuk)")*($DN$5)
+COUNTIF(O20,"Cenaze Yardımı (İşçi-İş Kazası Sonucu)")*($DN$6)
+COUNTIF(O20,"Cenaze Yardımı (İşçi-Tabii Sebepler Sonucu)")*($DN$7)
+COUNTIF(O20,"Doğal Afet Yardımı")*($DN$8)
+COUNTIF(O20,"Doğum Yardımı (İşveren)")*($DN$9)
+COUNTIF(O20,"Eğitim Yardımı (Çocuk-Zorunlu Anaokulu)")*(0)
+COUNTIF(O20,"Eğitim Yardımı (Çocuk-İlköğretim)")*(0)
+COUNTIF(O20,"Eğitim Yardımı (Çocuk-Ortaöğretim)")*(0)
+COUNTIF(O20,"Eğitim Yardımı (Çocuk-Lise)")*(0)
+COUNTIF(O20,"Eğitim Yardımı (Çocuk-Yükseköğretim)")*(0)
+COUNTIF(O20,"Eğitim Yardımı (Çocuk-Engelli)")*(0)
+COUNTIF(O20,"Eğitim Yardımı (İşçi-Lise)")*(0)
+COUNTIF(O20,"Eğitim Yardımı (İşçi-Yükseköğretim)")*(0)
+COUNTIF(O20,"Evlilik Yardımı")*($DN$18)
+COUNTIF(O20,"İş Kazası veya Meslek Hastalığı Tazminatı")*($DN$19)
+COUNTIF(O20,"Sünnet Yardımı")*(0)
+COUNTIF(O20,"Temizlik Yardımı")*(0)
+COUNTIF(P20,"Yok")*(0)
+COUNTIF(P20,"Bayram Yardımı (Kurban)")*(0)
+COUNTIF(P20,"Bayram Yardımı (Ramazan)")*(0)
+COUNTIF(P20,"Cenaze Yardımı (Anne-Baba)")*($DN$4)
+COUNTIF(P20,"Cenaze Yardımı (Eş-Çocuk)")*($DN$5)
+COUNTIF(P20,"Cenaze Yardımı (İşçi-İş Kazası Sonucu)")*($DN$6)
+COUNTIF(P20,"Cenaze Yardımı (İşçi-Tabii Sebepler Sonucu)")*($DN$7)
+COUNTIF(P20,"Doğal Afet Yardımı")*($DN$8)
+COUNTIF(P20,"Doğum Yardımı (İşveren)")*($DN$9)
+COUNTIF(P20,"Eğitim Yardımı (Çocuk-Zorunlu Anaokulu)")*(0)
+COUNTIF(P20,"Eğitim Yardımı (Çocuk-İlköğretim)")*(0)
+COUNTIF(P20,"Eğitim Yardımı (Çocuk-Ortaöğretim)")*(0)
+COUNTIF(P20,"Eğitim Yardımı (Çocuk-Lise)")*(0)
+COUNTIF(P20,"Eğitim Yardımı (Çocuk-Yükseköğretim)")*(0)
+COUNTIF(P20,"Eğitim Yardımı (Çocuk-Engelli)")*(0)
+COUNTIF(P20,"Eğitim Yardımı (İşçi-Lise)")*(0)
+COUNTIF(P20,"Eğitim Yardımı (İşçi-Yükseköğretim)")*(0)
+COUNTIF(P20,"Evlilik Yardımı")*($DN$18)
+COUNTIF(P20,"İş Kazası veya Meslek Hastalığı Tazminatı")*($DN$19)
+COUNTIF(P20,"Sünnet Yardımı")*(0)
+COUNTIF(P20,"Temizlik Yardımı")*(0)
+COUNTIF(Q20,"Yok")*(0)
+COUNTIF(Q20,"Bayram Yardımı (Kurban)")*(0)
+COUNTIF(Q20,"Bayram Yardımı (Ramazan)")*(0)
+COUNTIF(Q20,"Cenaze Yardımı (Anne-Baba)")*($DN$4)
+COUNTIF(Q20,"Cenaze Yardımı (Eş-Çocuk)")*($DN$5)
+COUNTIF(Q20,"Cenaze Yardımı (İşçi-İş Kazası Sonucu)")*($DN$6)
+COUNTIF(Q20,"Cenaze Yardımı (İşçi-Tabii Sebepler Sonucu)")*($DN$7)
+COUNTIF(Q20,"Doğal Afet Yardımı")*($DN$8)
+COUNTIF(Q20,"Doğum Yardımı (İşveren)")*($DN$9)
+COUNTIF(Q20,"Eğitim Yardımı (Çocuk-Zorunlu Anaokulu)")*(0)
+COUNTIF(Q20,"Eğitim Yardımı (Çocuk-İlköğretim)")*(0)
+COUNTIF(Q20,"Eğitim Yardımı (Çocuk-Ortaöğretim)")*(0)
+COUNTIF(Q20,"Eğitim Yardımı (Çocuk-Lise)")*(0)
+COUNTIF(Q20,"Eğitim Yardımı (Çocuk-Yükseköğretim)")*(0)
+COUNTIF(Q20,"Eğitim Yardımı (Çocuk-Engelli)")*(0)
+COUNTIF(Q20,"Eğitim Yardımı (İşçi-Lise)")*(0)
+COUNTIF(Q20,"Eğitim Yardımı (İşçi-Yükseköğretim)")*(0)
+COUNTIF(Q20,"Evlilik Yardımı")*($DN$18)
+COUNTIF(Q20,"İş Kazası veya Meslek Hastalığı Tazminatı")*($DN$19)
+COUNTIF(Q20,"Sünnet Yardımı")*(0)
+COUNTIF(Q20,"Temizlik Yardımı")*(0)</f>
        <v>0</v>
      </c>
      <c r="CG5" s="37">
        <f ca="1">COUNTIF(O20,"Yok")*(0)
+COUNTIF(O20,"Bayram Yardımı (Kurban)")*($DN$2)
+COUNTIF(O20,"Bayram Yardımı (Ramazan)")*($DN$3)
+COUNTIF(O20,"Cenaze Yardımı (Anne-Baba)")*($DN$4-$DN$4*0.00759)
+COUNTIF(O20,"Cenaze Yardımı (Eş-Çocuk)")*($DN$5-$DN$5*0.00759)
+COUNTIF(O20,"Cenaze Yardımı (İşçi-İş Kazası Sonucu)")*($DN$6-$DN$6*0.00759)
+COUNTIF(O20,"Cenaze Yardımı (İşçi-Tabii Sebepler Sonucu)")*($DN$7-$DN$7*0.00759)
+COUNTIF(O20,"Doğal Afet Yardımı")*($DN$8-$DN$8*0.00759)
+COUNTIF(O20,"Doğum Yardımı (İşveren)")*($DN$9-$DN$9*0.00759)
+COUNTIF(O20,"Eğitim Yardımı (Çocuk-Zorunlu Anaokulu)")*($DN$10*CI1)
+COUNTIF(O20,"Eğitim Yardımı (Çocuk-İlköğretim)")*($DN$11*CI1)
+COUNTIF(O20,"Eğitim Yardımı (Çocuk-Ortaöğretim)")*($DN$12*CI1)
+COUNTIF(O20,"Eğitim Yardımı (Çocuk-Lise)")*($DN$13*CI1)
+COUNTIF(O20,"Eğitim Yardımı (Çocuk-Yükseköğretim)")*($DN$14*CI1)
+COUNTIF(O20,"Eğitim Yardımı (Çocuk-Engelli)")*($DN$15*CI1)
+COUNTIF(O20,"Eğitim Yardımı (İşçi-Lise)")*($DN$16*CI1)
+COUNTIF(O20,"Eğitim Yardımı (İşçi-Yükseköğretim)")*($DN$17*CI1)
+COUNTIF(O20,"Evlilik Yardımı")*($DN$18-$DN$18*0.00759)
+COUNTIF(O20,"İş Kazası veya Meslek Hastalığı Tazminatı")*($DN$19-$DN$19*0.00759)
+COUNTIF(O20,"Sünnet Yardımı")*($DN$20*CI1)
+COUNTIF(O20,"Temizlik Yardımı")*($DN$21)
+COUNTIF(P20,"Yok")*(0)
+COUNTIF(P20,"Bayram Yardımı (Kurban)")*($DN$2)
+COUNTIF(P20,"Bayram Yardımı (Ramazan)")*($DN$3)
+COUNTIF(P20,"Cenaze Yardımı (Anne-Baba)")*($DN$4-$DN$4*0.00759)
+COUNTIF(P20,"Cenaze Yardımı (Eş-Çocuk)")*($DN$5-$DN$5*0.00759)
+COUNTIF(P20,"Cenaze Yardımı (İşçi-İş Kazası Sonucu)")*($DN$6-$DN$6*0.00759)
+COUNTIF(P20,"Cenaze Yardımı (İşçi-Tabii Sebepler Sonucu)")*($DN$7-$DN$7*0.00759)
+COUNTIF(P20,"Doğal Afet Yardımı")*($DN$8-$DN$8*0.00759)
+COUNTIF(P20,"Doğum Yardımı (İşveren)")*($DN$9-$DN$9*0.00759)
+COUNTIF(P20,"Eğitim Yardımı (Çocuk-Zorunlu Anaokulu)")*($DN$10*CI1)
+COUNTIF(P20,"Eğitim Yardımı (Çocuk-İlköğretim)")*($DN$11*CI1)
+COUNTIF(P20,"Eğitim Yardımı (Çocuk-Ortaöğretim)")*($DN$12*CI1)
+COUNTIF(P20,"Eğitim Yardımı (Çocuk-Lise)")*($DN$13*CI1)
+COUNTIF(P20,"Eğitim Yardımı (Çocuk-Yükseköğretim)")*($DN$14*CI1)
+COUNTIF(P20,"Eğitim Yardımı (Çocuk-Engelli)")*($DN$15*CI1)
+COUNTIF(P20,"Eğitim Yardımı (İşçi-Lise)")*($DN$16*CI1)
+COUNTIF(P20,"Eğitim Yardımı (İşçi-Yükseköğretim)")*($DN$17*CI1)
+COUNTIF(P20,"Evlilik Yardımı")*($DN$18-$DN$18*0.00759)
+COUNTIF(P20,"İş Kazası veya Meslek Hastalığı Tazminatı")*($DN$19-$DN$19*0.00759)
+COUNTIF(P20,"Sünnet Yardımı")*($DN$20*CI1)
+COUNTIF(P20,"Temizlik Yardımı")*($DN$21)
+COUNTIF(Q20,"Yok")*(0)
+COUNTIF(Q20,"Bayram Yardımı (Kurban)")*($DN$2)
+COUNTIF(Q20,"Bayram Yardımı (Ramazan)")*($DN$3)
+COUNTIF(Q20,"Cenaze Yardımı (Anne-Baba)")*($DN$4-$DN$4*0.00759)
+COUNTIF(Q20,"Cenaze Yardımı (Eş-Çocuk)")*($DN$5-$DN$5*0.00759)
+COUNTIF(Q20,"Cenaze Yardımı (İşçi-İş Kazası Sonucu)")*($DN$6-$DN$6*0.00759)
+COUNTIF(Q20,"Cenaze Yardımı (İşçi-Tabii Sebepler Sonucu)")*($DN$7-$DN$7*0.00759)
+COUNTIF(Q20,"Doğal Afet Yardımı")*($DN$8-$DN$8*0.00759)
+COUNTIF(Q20,"Doğum Yardımı (İşveren)")*($DN$9-$DN$9*0.00759)
+COUNTIF(Q20,"Eğitim Yardımı (Çocuk-Zorunlu Anaokulu)")*($DN$10*CI1)
+COUNTIF(Q20,"Eğitim Yardımı (Çocuk-İlköğretim)")*($DN$11*CI1)
+COUNTIF(Q20,"Eğitim Yardımı (Çocuk-Ortaöğretim)")*($DN$12*CI1)
+COUNTIF(Q20,"Eğitim Yardımı (Çocuk-Lise)")*($DN$13*CI1)
+COUNTIF(Q20,"Eğitim Yardımı (Çocuk-Yükseköğretim)")*($DN$14*CI1)
+COUNTIF(Q20,"Eğitim Yardımı (Çocuk-Engelli)")*($DN$15*CI1)
+COUNTIF(Q20,"Eğitim Yardımı (İşçi-Lise)")*($DN$16*CI1)
+COUNTIF(Q20,"Eğitim Yardımı (İşçi-Yükseköğretim)")*($DN$17*CI1)
+COUNTIF(Q20,"Evlilik Yardımı")*($DN$18-$DN$18*0.00759)
+COUNTIF(Q20,"İş Kazası veya Meslek Hastalığı Tazminatı")*($DN$19-$DN$19*0.00759)
+COUNTIF(Q20,"Sünnet Yardımı")*($DN$20*CI1)
+COUNTIF(Q20,"Temizlik Yardımı")*($DN$21)</f>
        <v>0</v>
      </c>
      <c r="CH5" s="33" t="s">
        <v>12</v>
      </c>
      <c r="CI5" s="25">
        <f>COUNTIF(CH5,"Var")*(AU20*0.9*-1)</f>
        <v>-192.61800000000002</v>
      </c>
      <c r="CJ5" s="25">
        <f>(CI5*-1)</f>
        <v>192.61800000000002</v>
      </c>
      <c r="CK5" s="37">
        <f ca="1">(DI16*R20+CE9)*-1</f>
        <v>0</v>
      </c>
      <c r="CL5" s="25">
        <f ca="1">(CZ22)</f>
        <v>16438.62</v>
      </c>
      <c r="CM5" s="25">
        <f ca="1">(CL5*0.205)</f>
        <v>3369.9170999999997</v>
      </c>
      <c r="CN5" s="25">
        <f ca="1">(CL5*0.01)</f>
        <v>164.3862</v>
      </c>
      <c r="CO5" s="25">
        <f ca="1">(CL5*0.05*-1)</f>
        <v>-821.93100000000004</v>
      </c>
      <c r="CP5" s="25">
        <f ca="1">(CL5+CM5+CN5+CO5)</f>
        <v>19150.992299999998</v>
      </c>
      <c r="CS5" s="31">
        <v>0.35</v>
      </c>
      <c r="CT5" s="25">
        <f>$CU$4</f>
        <v>250000</v>
      </c>
      <c r="CU5" s="25">
        <v>880000</v>
      </c>
      <c r="CV5" s="25">
        <f>(CU4-CT4)*CS4+CV4</f>
        <v>61000</v>
      </c>
      <c r="CW5" s="25">
        <f>(0)</f>
        <v>0</v>
      </c>
      <c r="CX5" s="25">
        <f>(BW13+CC13+CD13-CW5)</f>
        <v>4253.3999999999996</v>
      </c>
      <c r="CY5" s="25">
        <f>SUM(CX$2:$CX5)</f>
        <v>17013.599999999999</v>
      </c>
      <c r="CZ5" s="29">
        <f t="shared" si="2"/>
        <v>0.15</v>
      </c>
      <c r="DA5" s="33">
        <f t="shared" si="3"/>
        <v>0</v>
      </c>
      <c r="DB5" s="28">
        <f>IF(DA6=0,CZ6,(VLOOKUP($CZ6,$CS$2:$CV$6,2,0)-CY5)/CX6*CZ5+(CY6-VLOOKUP($CZ6,$CS$2:$CV$6,2,0))/CX6*CZ6)</f>
        <v>0.15</v>
      </c>
      <c r="DC5" s="25">
        <f>(ROUND(CX6*DB5,2))</f>
        <v>638.01</v>
      </c>
      <c r="DD5" s="28">
        <f>(100+(100*0.00759*-1)+(100*0.01*-1)+(100*0.01*-1)+(100+100*0.14*-1+100*0.01*-1)*DB5*-1)/100</f>
        <v>0.84491000000000005</v>
      </c>
      <c r="DE5" s="25">
        <f>CH8</f>
        <v>5004</v>
      </c>
      <c r="DF5" s="25">
        <f>CH8+CK8+CN8+CO8</f>
        <v>4253.3999999999996</v>
      </c>
      <c r="DG5" s="25" t="s">
        <v>0</v>
      </c>
      <c r="DH5" s="25">
        <f ca="1">(AJ19+AL19+AN19+AY4+BA4+BC4+BD15+BJ15+BM15+BP15+BR15+BT15+CO15+CE4)</f>
        <v>9496.8100000000013</v>
      </c>
      <c r="DI5" s="25">
        <f ca="1">(AJ19+AL19+AN19+AY4+BA4+BC4+BD15+BJ15+BM15+BP15+BR15+BT15+CO15+CE4)</f>
        <v>9496.8100000000013</v>
      </c>
      <c r="DJ5" s="25">
        <f ca="1">(DI5*0.00759*-1)</f>
        <v>-72.080787900000018</v>
      </c>
      <c r="DK5" s="25">
        <f>(CI8)</f>
        <v>5004</v>
      </c>
      <c r="DL5" s="25">
        <f>(DK5*0.00759*-1)</f>
        <v>-37.980360000000005</v>
      </c>
      <c r="DM5" s="34" t="s">
        <v>62</v>
      </c>
      <c r="DN5" s="25">
        <v>3106.8</v>
      </c>
      <c r="DX5" s="24">
        <v>3</v>
      </c>
      <c r="DY5" s="35">
        <v>1.5</v>
      </c>
      <c r="DZ5" s="36">
        <v>0.05</v>
      </c>
      <c r="EA5" s="49"/>
    </row>
    <row r="6" spans="1:131" ht="39.950000000000003" customHeight="1" x14ac:dyDescent="0.25">
      <c r="A6" s="70"/>
      <c r="B6" s="71"/>
      <c r="C6" s="57"/>
      <c r="D6" s="57"/>
      <c r="E6" s="72"/>
      <c r="F6" s="72"/>
      <c r="G6" s="57"/>
      <c r="H6" s="57"/>
      <c r="I6" s="57"/>
      <c r="J6" s="74"/>
      <c r="K6" s="57"/>
      <c r="L6" s="57"/>
      <c r="M6" s="57"/>
      <c r="N6" s="57"/>
      <c r="O6" s="57"/>
      <c r="P6" s="57"/>
      <c r="Q6" s="57"/>
      <c r="R6" s="57"/>
      <c r="S6" s="57"/>
      <c r="T6" s="57"/>
      <c r="U6" s="73"/>
      <c r="V6" s="15" t="s">
        <v>8</v>
      </c>
      <c r="W6" s="16">
        <f t="shared" ca="1" si="0"/>
        <v>10054.279827512655</v>
      </c>
      <c r="X6" s="16">
        <f ca="1">COUNTIF(Y1,"Ocak")*(AP22)
+COUNTIF(Y1,"Şubat")*(AP23)
+COUNTIF(Y1,"Mart")*(AP24)
+COUNTIF(Y1,"Nisan")*(AP25)
+COUNTIF(Y1,"Mayıs")*(BD4)
+COUNTIF(Y1,"Haziran")*(BD5)
+COUNTIF(Y1,"Temmuz")*(BD6)
+COUNTIF(Y1,"Ağustos")*(BD7)
+COUNTIF(Y1,"Eylül")*(BD8)
+COUNTIF(Y1,"Ekim")*(BD9)
+COUNTIF(Y1,"Kasım")*(BD10)
+COUNTIF(Y1,"Aralık")*(BD11)
+COUNTIF(Y1,"Yıllık Toplam")*(BD12)
+COUNTIF(Y1,"Yıllık Ortalama")*(BD13)</f>
        <v>10054.279827512655</v>
      </c>
      <c r="Y6" s="64"/>
      <c r="Z6" s="68"/>
      <c r="AA6" s="77" t="s">
        <v>135</v>
      </c>
      <c r="AB6" s="78" t="s">
        <v>136</v>
      </c>
      <c r="AC6" s="56"/>
      <c r="AD6" s="58"/>
      <c r="AE6" s="60"/>
      <c r="AF6" s="59"/>
      <c r="AG6" s="21" t="s">
        <v>81</v>
      </c>
      <c r="AH6" s="22">
        <v>309.3</v>
      </c>
      <c r="AI6" s="22">
        <v>364.9</v>
      </c>
      <c r="AJ6" s="24" t="s">
        <v>0</v>
      </c>
      <c r="AK6" s="24" t="s">
        <v>0</v>
      </c>
      <c r="AL6" s="25">
        <f>($AP$3)</f>
        <v>58.861249999999998</v>
      </c>
      <c r="AM6" s="25">
        <f>($AQ$3)</f>
        <v>83.400750000000002</v>
      </c>
      <c r="AN6" s="38">
        <f>(0.235445)</f>
        <v>0.23544499999999999</v>
      </c>
      <c r="AO6" s="38">
        <f>(0.333603)</f>
        <v>0.33360299999999998</v>
      </c>
      <c r="AP6" s="24" t="s">
        <v>0</v>
      </c>
      <c r="AQ6" s="34" t="s">
        <v>0</v>
      </c>
      <c r="AR6" s="24" t="s">
        <v>0</v>
      </c>
      <c r="AS6" s="24" t="s">
        <v>0</v>
      </c>
      <c r="AT6" s="25">
        <f>($AT$1+$AT$2+$AT$3+$AT$4+$AT$5)</f>
        <v>10848.594125</v>
      </c>
      <c r="AU6" s="25">
        <f>($AU$1+$AU$2+$AU$3+$AU$4+$AU$5)</f>
        <v>15371.403274999999</v>
      </c>
      <c r="AX6" s="25">
        <f ca="1">(AN21*CI2)</f>
        <v>0</v>
      </c>
      <c r="AY6" s="25">
        <f>(AW21*E21)</f>
        <v>0</v>
      </c>
      <c r="AZ6" s="25">
        <f ca="1">(AY6*CI2)</f>
        <v>0</v>
      </c>
      <c r="BA6" s="25">
        <f>(AY21/7.5*0.3*F21)</f>
        <v>0</v>
      </c>
      <c r="BB6" s="25">
        <f ca="1">(BA6*CI2)</f>
        <v>0</v>
      </c>
      <c r="BC6" s="25">
        <f t="shared" si="4"/>
        <v>1209.78</v>
      </c>
      <c r="BD6" s="25">
        <f ca="1">(BF6+BG6+BJ6+BK6+AZ22)</f>
        <v>853.84096979999993</v>
      </c>
      <c r="BE6" s="25">
        <f t="shared" si="5"/>
        <v>1209.78</v>
      </c>
      <c r="BF6" s="25">
        <f t="shared" si="6"/>
        <v>1209.78</v>
      </c>
      <c r="BG6" s="25">
        <f t="shared" si="7"/>
        <v>-9.1822302000000011</v>
      </c>
      <c r="BH6" s="25">
        <f t="shared" ref="BH6:BH11" si="11">($AM$9*G21)</f>
        <v>336.44</v>
      </c>
      <c r="BI6" s="25">
        <f t="shared" si="8"/>
        <v>873.33999999999992</v>
      </c>
      <c r="BJ6" s="25">
        <f t="shared" si="9"/>
        <v>-122.2676</v>
      </c>
      <c r="BK6" s="25">
        <f t="shared" si="10"/>
        <v>-8.7333999999999996</v>
      </c>
      <c r="BL6" s="25">
        <f>(0)</f>
        <v>0</v>
      </c>
      <c r="BM6" s="37">
        <f ca="1">COUNTIF(O25,"Yok")*(0)
+COUNTIF(O25,"Bayram Yardımı (Kurban)")*($DN$2/DK6)
+COUNTIF(O25,"Bayram Yardımı (Ramazan)")*($DN$3/DK6)
+COUNTIF(O25,"Cenaze Yardımı (Anne-Baba)")*($DN$4)
+COUNTIF(O25,"Cenaze Yardımı (Eş-Çocuk)")*($DN$5)
+COUNTIF(O25,"Cenaze Yardımı (İşçi-İş Kazası Sonucu)")*($DN$6)
+COUNTIF(O25,"Cenaze Yardımı (İşçi-Tabii Sebepler Sonucu)")*($DN$7)
+COUNTIF(O25,"Doğal Afet Yardımı")*($DN$8)
+COUNTIF(O25,"Doğum Yardımı (İşveren)")*($DN$9)
+COUNTIF(O25,"Eğitim Yardımı (Çocuk-Zorunlu Anaokulu)")*($DN$10)
+COUNTIF(O25,"Eğitim Yardımı (Çocuk-İlköğretim)")*($DN$11)
+COUNTIF(O25,"Eğitim Yardımı (Çocuk-Ortaöğretim)")*($DN$12)
+COUNTIF(O25,"Eğitim Yardımı (Çocuk-Lise)")*($DN$13)
+COUNTIF(O25,"Eğitim Yardımı (Çocuk-Yükseköğretim)")*($DN$14)
+COUNTIF(O25,"Eğitim Yardımı (Çocuk-Engelli)")*($DN$15)
+COUNTIF(O25,"Eğitim Yardımı (İşçi-Lise)")*($DN$16)
+COUNTIF(O25,"Eğitim Yardımı (İşçi-Yükseköğretim)")*($DN$17)
+COUNTIF(O25,"Evlilik Yardımı")*($DN$18)
+COUNTIF(O25,"İş Kazası veya Meslek Hastalığı Tazminatı")*($DN$19)
+COUNTIF(O25,"Sünnet Yardımı")*($DN$20)
+COUNTIF(O25,"Temizlik Yardımı")*($DN$21/DK6)
+COUNTIF(P25,"Yok")*(0)
+COUNTIF(P25,"Bayram Yardımı (Kurban)")*($DN$2/DK6)
+COUNTIF(P25,"Bayram Yardımı (Ramazan)")*($DN$3/DK6)
+COUNTIF(P25,"Cenaze Yardımı (Anne-Baba)")*($DN$4)
+COUNTIF(P25,"Cenaze Yardımı (Eş-Çocuk)")*($DN$5)
+COUNTIF(P25,"Cenaze Yardımı (İşçi-İş Kazası Sonucu)")*($DN$6)
+COUNTIF(P25,"Cenaze Yardımı (İşçi-Tabii Sebepler Sonucu)")*($DN$7)
+COUNTIF(P25,"Doğal Afet Yardımı")*($DN$8)
+COUNTIF(P25,"Doğum Yardımı (İşveren)")*($DN$9)
+COUNTIF(P25,"Eğitim Yardımı (Çocuk-Zorunlu Anaokulu)")*($DN$10)
+COUNTIF(P25,"Eğitim Yardımı (Çocuk-İlköğretim)")*($DN$11)
+COUNTIF(P25,"Eğitim Yardımı (Çocuk-Ortaöğretim)")*($DN$12)
+COUNTIF(P25,"Eğitim Yardımı (Çocuk-Lise)")*($DN$13)
+COUNTIF(P25,"Eğitim Yardımı (Çocuk-Yükseköğretim)")*($DN$14)
+COUNTIF(P25,"Eğitim Yardımı (Çocuk-Engelli)")*($DN$15)
+COUNTIF(P25,"Eğitim Yardımı (İşçi-Lise)")*($DN$16)
+COUNTIF(P25,"Eğitim Yardımı (İşçi-Yükseköğretim)")*($DN$17)
+COUNTIF(P25,"Evlilik Yardımı")*($DN$18)
+COUNTIF(P25,"İş Kazası veya Meslek Hastalığı Tazminatı")*($DN$19)
+COUNTIF(P25,"Sünnet Yardımı")*($DN$20)
+COUNTIF(P25,"Temizlik Yardımı")*($DN$21/DK6)
+COUNTIF(Q25,"Yok")*(0)
+COUNTIF(Q25,"Bayram Yardımı (Kurban)")*($DN$2/DK6)
+COUNTIF(Q25,"Bayram Yardımı (Ramazan)")*($DN$3/DK6)
+COUNTIF(Q25,"Cenaze Yardımı (Anne-Baba)")*($DN$4)
+COUNTIF(Q25,"Cenaze Yardımı (Eş-Çocuk)")*($DN$5)
+COUNTIF(Q25,"Cenaze Yardımı (İşçi-İş Kazası Sonucu)")*($DN$6)
+COUNTIF(Q25,"Cenaze Yardımı (İşçi-Tabii Sebepler Sonucu)")*($DN$7)
+COUNTIF(Q25,"Doğal Afet Yardımı")*($DN$8)
+COUNTIF(Q25,"Doğum Yardımı (İşveren)")*($DN$9)
+COUNTIF(Q25,"Eğitim Yardımı (Çocuk-Zorunlu Anaokulu)")*($DN$10)
+COUNTIF(Q25,"Eğitim Yardımı (Çocuk-İlköğretim)")*($DN$11)
+COUNTIF(Q25,"Eğitim Yardımı (Çocuk-Ortaöğretim)")*($DN$12)
+COUNTIF(Q25,"Eğitim Yardımı (Çocuk-Lise)")*($DN$13)
+COUNTIF(Q25,"Eğitim Yardımı (Çocuk-Yükseköğretim)")*($DN$14)
+COUNTIF(Q25,"Eğitim Yardımı (Çocuk-Engelli)")*($DN$15)
+COUNTIF(Q25,"Eğitim Yardımı (İşçi-Lise)")*($DN$16)
+COUNTIF(Q25,"Eğitim Yardımı (İşçi-Yükseköğretim)")*($DN$17)
+COUNTIF(Q25,"Evlilik Yardımı")*($DN$18)
+COUNTIF(Q25,"İş Kazası veya Meslek Hastalığı Tazminatı")*($DN$19)
+COUNTIF(Q25,"Sünnet Yardımı")*($DN$20)
+COUNTIF(Q25,"Temizlik Yardımı")*($DN$21/DK6)</f>
        <v>0</v>
      </c>
      <c r="BN6" s="37">
        <f>COUNTIF(O25,"Yok")*(0)
+COUNTIF(O25,"Bayram Yardımı (Kurban)")*(0)
+COUNTIF(O25,"Bayram Yardımı (Ramazan)")*(0)
+COUNTIF(O25,"Cenaze Yardımı (Anne-Baba)")*($DN$4)
+COUNTIF(O25,"Cenaze Yardımı (Eş-Çocuk)")*($DN$5)
+COUNTIF(O25,"Cenaze Yardımı (İşçi-İş Kazası Sonucu)")*($DN$6)
+COUNTIF(O25,"Cenaze Yardımı (İşçi-Tabii Sebepler Sonucu)")*($DN$7)
+COUNTIF(O25,"Doğal Afet Yardımı")*($DN$8)
+COUNTIF(O25,"Doğum Yardımı (İşveren)")*($DN$9)
+COUNTIF(O25,"Eğitim Yardımı (Çocuk-Zorunlu Anaokulu)")*(0)
+COUNTIF(O25,"Eğitim Yardımı (Çocuk-İlköğretim)")*(0)
+COUNTIF(O25,"Eğitim Yardımı (Çocuk-Ortaöğretim)")*(0)
+COUNTIF(O25,"Eğitim Yardımı (Çocuk-Lise)")*(0)
+COUNTIF(O25,"Eğitim Yardımı (Çocuk-Yükseköğretim)")*(0)
+COUNTIF(O25,"Eğitim Yardımı (Çocuk-Engelli)")*(0)
+COUNTIF(O25,"Eğitim Yardımı (İşçi-Lise)")*(0)
+COUNTIF(O25,"Eğitim Yardımı (İşçi-Yükseköğretim)")*(0)
+COUNTIF(O25,"Evlilik Yardımı")*($DN$18)
+COUNTIF(O25,"İş Kazası veya Meslek Hastalığı Tazminatı")*($DN$19)
+COUNTIF(O25,"Sünnet Yardımı")*(0)
+COUNTIF(O25,"Temizlik Yardımı")*(0)
+COUNTIF(P25,"Yok")*(0)
+COUNTIF(P25,"Bayram Yardımı (Kurban)")*(0)
+COUNTIF(P25,"Bayram Yardımı (Ramazan)")*(0)
+COUNTIF(P25,"Cenaze Yardımı (Anne-Baba)")*($DN$4)
+COUNTIF(P25,"Cenaze Yardımı (Eş-Çocuk)")*($DN$5)
+COUNTIF(P25,"Cenaze Yardımı (İşçi-İş Kazası Sonucu)")*($DN$6)
+COUNTIF(P25,"Cenaze Yardımı (İşçi-Tabii Sebepler Sonucu)")*($DN$7)
+COUNTIF(P25,"Doğal Afet Yardımı")*($DN$8)
+COUNTIF(P25,"Doğum Yardımı (İşveren)")*($DN$9)
+COUNTIF(P25,"Eğitim Yardımı (Çocuk-Zorunlu Anaokulu)")*(0)
+COUNTIF(P25,"Eğitim Yardımı (Çocuk-İlköğretim)")*(0)
+COUNTIF(P25,"Eğitim Yardımı (Çocuk-Ortaöğretim)")*(0)
+COUNTIF(P25,"Eğitim Yardımı (Çocuk-Lise)")*(0)
+COUNTIF(P25,"Eğitim Yardımı (Çocuk-Yükseköğretim)")*(0)
+COUNTIF(P25,"Eğitim Yardımı (Çocuk-Engelli)")*(0)
+COUNTIF(P25,"Eğitim Yardımı (İşçi-Lise)")*(0)
+COUNTIF(P25,"Eğitim Yardımı (İşçi-Yükseköğretim)")*(0)
+COUNTIF(P25,"Evlilik Yardımı")*($DN$18)
+COUNTIF(P25,"İş Kazası veya Meslek Hastalığı Tazminatı")*($DN$19)
+COUNTIF(P25,"Sünnet Yardımı")*(0)
+COUNTIF(P25,"Temizlik Yardımı")*(0)
+COUNTIF(Q25,"Yok")*(0)
+COUNTIF(Q25,"Bayram Yardımı (Kurban)")*(0)
+COUNTIF(Q25,"Bayram Yardımı (Ramazan)")*(0)
+COUNTIF(Q25,"Cenaze Yardımı (Anne-Baba)")*($DN$4)
+COUNTIF(Q25,"Cenaze Yardımı (Eş-Çocuk)")*($DN$5)
+COUNTIF(Q25,"Cenaze Yardımı (İşçi-İş Kazası Sonucu)")*($DN$6)
+COUNTIF(Q25,"Cenaze Yardımı (İşçi-Tabii Sebepler Sonucu)")*($DN$7)
+COUNTIF(Q25,"Doğal Afet Yardımı")*($DN$8)
+COUNTIF(Q25,"Doğum Yardımı (İşveren)")*($DN$9)
+COUNTIF(Q25,"Eğitim Yardımı (Çocuk-Zorunlu Anaokulu)")*(0)
+COUNTIF(Q25,"Eğitim Yardımı (Çocuk-İlköğretim)")*(0)
+COUNTIF(Q25,"Eğitim Yardımı (Çocuk-Ortaöğretim)")*(0)
+COUNTIF(Q25,"Eğitim Yardımı (Çocuk-Lise)")*(0)
+COUNTIF(Q25,"Eğitim Yardımı (Çocuk-Yükseköğretim)")*(0)
+COUNTIF(Q25,"Eğitim Yardımı (Çocuk-Engelli)")*(0)
+COUNTIF(Q25,"Eğitim Yardımı (İşçi-Lise)")*(0)
+COUNTIF(Q25,"Eğitim Yardımı (İşçi-Yükseköğretim)")*(0)
+COUNTIF(Q25,"Evlilik Yardımı")*($DN$18)
+COUNTIF(Q25,"İş Kazası veya Meslek Hastalığı Tazminatı")*($DN$19)
+COUNTIF(Q25,"Sünnet Yardımı")*(0)
+COUNTIF(Q25,"Temizlik Yardımı")*(0)</f>
        <v>0</v>
      </c>
      <c r="BO6" s="37">
        <f ca="1">COUNTIF(O25,"Yok")*(0)
+COUNTIF(O25,"Bayram Yardımı (Kurban)")*($DN$2)
+COUNTIF(O25,"Bayram Yardımı (Ramazan)")*($DN$3)
+COUNTIF(O25,"Cenaze Yardımı (Anne-Baba)")*($DN$4-$DN$4*0.00759)
+COUNTIF(O25,"Cenaze Yardımı (Eş-Çocuk)")*($DN$5-$DN$5*0.00759)
+COUNTIF(O25,"Cenaze Yardımı (İşçi-İş Kazası Sonucu)")*($DN$6-$DN$6*0.00759)
+COUNTIF(O25,"Cenaze Yardımı (İşçi-Tabii Sebepler Sonucu)")*($DN$7-$DN$7*0.00759)
+COUNTIF(O25,"Doğal Afet Yardımı")*($DN$8-$DN$8*0.00759)
+COUNTIF(O25,"Doğum Yardımı (İşveren)")*($DN$9-$DN$9*0.00759)
+COUNTIF(O25,"Eğitim Yardımı (Çocuk-Zorunlu Anaokulu)")*($DN$10*DK6)
+COUNTIF(O25,"Eğitim Yardımı (Çocuk-İlköğretim)")*($DN$11*DK6)
+COUNTIF(O25,"Eğitim Yardımı (Çocuk-Ortaöğretim)")*($DN$12*DK6)
+COUNTIF(O25,"Eğitim Yardımı (Çocuk-Lise)")*($DN$13*DK6)
+COUNTIF(O25,"Eğitim Yardımı (Çocuk-Yükseköğretim)")*($DN$14*DK6)
+COUNTIF(O25,"Eğitim Yardımı (Çocuk-Engelli)")*($DN$15*DK6)
+COUNTIF(O25,"Eğitim Yardımı (İşçi-Lise)")*($DN$16*DK6)
+COUNTIF(O25,"Eğitim Yardımı (İşçi-Yükseköğretim)")*($DN$17*DK6)
+COUNTIF(O25,"Evlilik Yardımı")*($DN$18-$DN$18*0.00759)
+COUNTIF(O25,"İş Kazası veya Meslek Hastalığı Tazminatı")*($DN$19-$DN$19*0.00759)
+COUNTIF(O25,"Sünnet Yardımı")*($DN$20*DK6)
+COUNTIF(O25,"Temizlik Yardımı")*($DN$21)
+COUNTIF(P25,"Yok")*(0)
+COUNTIF(P25,"Bayram Yardımı (Kurban)")*($DN$2)
+COUNTIF(P25,"Bayram Yardımı (Ramazan)")*($DN$3)
+COUNTIF(P25,"Cenaze Yardımı (Anne-Baba)")*($DN$4-$DN$4*0.00759)
+COUNTIF(P25,"Cenaze Yardımı (Eş-Çocuk)")*($DN$5-$DN$5*0.00759)
+COUNTIF(P25,"Cenaze Yardımı (İşçi-İş Kazası Sonucu)")*($DN$6-$DN$6*0.00759)
+COUNTIF(P25,"Cenaze Yardımı (İşçi-Tabii Sebepler Sonucu)")*($DN$7-$DN$7*0.00759)
+COUNTIF(P25,"Doğal Afet Yardımı")*($DN$8-$DN$8*0.00759)
+COUNTIF(P25,"Doğum Yardımı (İşveren)")*($DN$9-$DN$9*0.00759)
+COUNTIF(P25,"Eğitim Yardımı (Çocuk-Zorunlu Anaokulu)")*($DN$10*DK6)
+COUNTIF(P25,"Eğitim Yardımı (Çocuk-İlköğretim)")*($DN$11*DK6)
+COUNTIF(P25,"Eğitim Yardımı (Çocuk-Ortaöğretim)")*($DN$12*DK6)
+COUNTIF(P25,"Eğitim Yardımı (Çocuk-Lise)")*($DN$13*DK6)
+COUNTIF(P25,"Eğitim Yardımı (Çocuk-Yükseköğretim)")*($DN$14*DK6)
+COUNTIF(P25,"Eğitim Yardımı (Çocuk-Engelli)")*($DN$15*DK6)
+COUNTIF(P25,"Eğitim Yardımı (İşçi-Lise)")*($DN$16*DK6)
+COUNTIF(P25,"Eğitim Yardımı (İşçi-Yükseköğretim)")*($DN$17*DK6)
+COUNTIF(P25,"Evlilik Yardımı")*($DN$18-$DN$18*0.00759)
+COUNTIF(P25,"İş Kazası veya Meslek Hastalığı Tazminatı")*($DN$19-$DN$19*0.00759)
+COUNTIF(P25,"Sünnet Yardımı")*($DN$20*DK6)
+COUNTIF(P25,"Temizlik Yardımı")*($DN$21)
+COUNTIF(Q25,"Yok")*(0)
+COUNTIF(Q25,"Bayram Yardımı (Kurban)")*($DN$2)
+COUNTIF(Q25,"Bayram Yardımı (Ramazan)")*($DN$3)
+COUNTIF(Q25,"Cenaze Yardımı (Anne-Baba)")*($DN$4-$DN$4*0.00759)
+COUNTIF(Q25,"Cenaze Yardımı (Eş-Çocuk)")*($DN$5-$DN$5*0.00759)
+COUNTIF(Q25,"Cenaze Yardımı (İşçi-İş Kazası Sonucu)")*($DN$6-$DN$6*0.00759)
+COUNTIF(Q25,"Cenaze Yardımı (İşçi-Tabii Sebepler Sonucu)")*($DN$7-$DN$7*0.00759)
+COUNTIF(Q25,"Doğal Afet Yardımı")*($DN$8-$DN$8*0.00759)
+COUNTIF(Q25,"Doğum Yardımı (İşveren)")*($DN$9-$DN$9*0.00759)
+COUNTIF(Q25,"Eğitim Yardımı (Çocuk-Zorunlu Anaokulu)")*($DN$10*DK6)
+COUNTIF(Q25,"Eğitim Yardımı (Çocuk-İlköğretim)")*($DN$11*DK6)
+COUNTIF(Q25,"Eğitim Yardımı (Çocuk-Ortaöğretim)")*($DN$12*DK6)
+COUNTIF(Q25,"Eğitim Yardımı (Çocuk-Lise)")*($DN$13*DK6)
+COUNTIF(Q25,"Eğitim Yardımı (Çocuk-Yükseköğretim)")*($DN$14*DK6)
+COUNTIF(Q25,"Eğitim Yardımı (Çocuk-Engelli)")*($DN$15*DK6)
+COUNTIF(Q25,"Eğitim Yardımı (İşçi-Lise)")*($DN$16*DK6)
+COUNTIF(Q25,"Eğitim Yardımı (İşçi-Yükseköğretim)")*($DN$17*DK6)
+COUNTIF(Q25,"Evlilik Yardımı")*($DN$18-$DN$18*0.00759)
+COUNTIF(Q25,"İş Kazası veya Meslek Hastalığı Tazminatı")*($DN$19-$DN$19*0.00759)
+COUNTIF(Q25,"Sünnet Yardımı")*($DN$20*DK6)
+COUNTIF(Q25,"Temizlik Yardımı")*($DN$21)</f>
        <v>0</v>
      </c>
      <c r="BP6" s="33" t="s">
        <v>12</v>
      </c>
      <c r="BQ6" s="25">
        <f>COUNTIF(BP6,"Var")*(AP14*0.9*-1)</f>
        <v>-227.34</v>
      </c>
      <c r="BR6" s="25">
        <f>(BQ6*-1)</f>
        <v>227.34</v>
      </c>
      <c r="BS6" s="37">
        <f ca="1">(DI21*R25+BT6)*-1</f>
        <v>0</v>
      </c>
      <c r="BT6" s="37">
        <f>(AU7+AY10+BA10+BC10-BH10)*(R25*-1)</f>
        <v>0</v>
      </c>
      <c r="BU6" s="37">
        <f ca="1">(BS6+BT6)</f>
        <v>0</v>
      </c>
      <c r="BV6" s="25" t="s">
        <v>0</v>
      </c>
      <c r="BW6" s="25">
        <f>(6471)</f>
        <v>6471</v>
      </c>
      <c r="BX6" s="25">
        <f>(6471)</f>
        <v>6471</v>
      </c>
      <c r="BY6" s="25">
        <f>(BW6-BX6)</f>
        <v>0</v>
      </c>
      <c r="BZ6" s="25">
        <f>(BY6*0.00759*-1)</f>
        <v>0</v>
      </c>
      <c r="CA6" s="25">
        <f>(0)</f>
        <v>0</v>
      </c>
      <c r="CB6" s="25">
        <f>(BW6-CA6)</f>
        <v>6471</v>
      </c>
      <c r="CC6" s="25">
        <f>(CB6*0.14*-1)</f>
        <v>-905.94</v>
      </c>
      <c r="CD6" s="25">
        <f>(CB6*0.01*-1)</f>
        <v>-64.710000000000008</v>
      </c>
      <c r="CE6" s="37">
        <f ca="1">COUNTIF(O21,"Yok")*(0)
+COUNTIF(O21,"Bayram Yardımı (Kurban)")*($DN$2/CI2)
+COUNTIF(O21,"Bayram Yardımı (Ramazan)")*($DN$3/CI2)
+COUNTIF(O21,"Cenaze Yardımı (Anne-Baba)")*($DN$4)
+COUNTIF(O21,"Cenaze Yardımı (Eş-Çocuk)")*($DN$5)
+COUNTIF(O21,"Cenaze Yardımı (İşçi-İş Kazası Sonucu)")*($DN$6)
+COUNTIF(O21,"Cenaze Yardımı (İşçi-Tabii Sebepler Sonucu)")*($DN$7)
+COUNTIF(O21,"Doğal Afet Yardımı")*($DN$8)
+COUNTIF(O21,"Doğum Yardımı (İşveren)")*($DN$9)
+COUNTIF(O21,"Eğitim Yardımı (Çocuk-Zorunlu Anaokulu)")*($DN$10)
+COUNTIF(O21,"Eğitim Yardımı (Çocuk-İlköğretim)")*($DN$11)
+COUNTIF(O21,"Eğitim Yardımı (Çocuk-Ortaöğretim)")*($DN$12)
+COUNTIF(O21,"Eğitim Yardımı (Çocuk-Lise)")*($DN$13)
+COUNTIF(O21,"Eğitim Yardımı (Çocuk-Yükseköğretim)")*($DN$14)
+COUNTIF(O21,"Eğitim Yardımı (Çocuk-Engelli)")*($DN$15)
+COUNTIF(O21,"Eğitim Yardımı (İşçi-Lise)")*($DN$16)
+COUNTIF(O21,"Eğitim Yardımı (İşçi-Yükseköğretim)")*($DN$17)
+COUNTIF(O21,"Evlilik Yardımı")*($DN$18)
+COUNTIF(O21,"İş Kazası veya Meslek Hastalığı Tazminatı")*($DN$19)
+COUNTIF(O21,"Sünnet Yardımı")*($DN$20)
+COUNTIF(O21,"Temizlik Yardımı")*($DN$21/CI2)
+COUNTIF(P21,"Yok")*(0)
+COUNTIF(P21,"Bayram Yardımı (Kurban)")*($DN$2/CI2)
+COUNTIF(P21,"Bayram Yardımı (Ramazan)")*($DN$3/CI2)
+COUNTIF(P21,"Cenaze Yardımı (Anne-Baba)")*($DN$4)
+COUNTIF(P21,"Cenaze Yardımı (Eş-Çocuk)")*($DN$5)
+COUNTIF(P21,"Cenaze Yardımı (İşçi-İş Kazası Sonucu)")*($DN$6)
+COUNTIF(P21,"Cenaze Yardımı (İşçi-Tabii Sebepler Sonucu)")*($DN$7)
+COUNTIF(P21,"Doğal Afet Yardımı")*($DN$8)
+COUNTIF(P21,"Doğum Yardımı (İşveren)")*($DN$9)
+COUNTIF(P21,"Eğitim Yardımı (Çocuk-Zorunlu Anaokulu)")*($DN$10)
+COUNTIF(P21,"Eğitim Yardımı (Çocuk-İlköğretim)")*($DN$11)
+COUNTIF(P21,"Eğitim Yardımı (Çocuk-Ortaöğretim)")*($DN$12)
+COUNTIF(P21,"Eğitim Yardımı (Çocuk-Lise)")*($DN$13)
+COUNTIF(P21,"Eğitim Yardımı (Çocuk-Yükseköğretim)")*($DN$14)
+COUNTIF(P21,"Eğitim Yardımı (Çocuk-Engelli)")*($DN$15)
+COUNTIF(P21,"Eğitim Yardımı (İşçi-Lise)")*($DN$16)
+COUNTIF(P21,"Eğitim Yardımı (İşçi-Yükseköğretim)")*($DN$17)
+COUNTIF(P21,"Evlilik Yardımı")*($DN$18)
+COUNTIF(P21,"İş Kazası veya Meslek Hastalığı Tazminatı")*($DN$19)
+COUNTIF(P21,"Sünnet Yardımı")*($DN$20)
+COUNTIF(P21,"Temizlik Yardımı")*($DN$21/CI2)
+COUNTIF(Q21,"Yok")*(0)
+COUNTIF(Q21,"Bayram Yardımı (Kurban)")*($DN$2/CI2)
+COUNTIF(Q21,"Bayram Yardımı (Ramazan)")*($DN$3/CI2)
+COUNTIF(Q21,"Cenaze Yardımı (Anne-Baba)")*($DN$4)
+COUNTIF(Q21,"Cenaze Yardımı (Eş-Çocuk)")*($DN$5)
+COUNTIF(Q21,"Cenaze Yardımı (İşçi-İş Kazası Sonucu)")*($DN$6)
+COUNTIF(Q21,"Cenaze Yardımı (İşçi-Tabii Sebepler Sonucu)")*($DN$7)
+COUNTIF(Q21,"Doğal Afet Yardımı")*($DN$8)
+COUNTIF(Q21,"Doğum Yardımı (İşveren)")*($DN$9)
+COUNTIF(Q21,"Eğitim Yardımı (Çocuk-Zorunlu Anaokulu)")*($DN$10)
+COUNTIF(Q21,"Eğitim Yardımı (Çocuk-İlköğretim)")*($DN$11)
+COUNTIF(Q21,"Eğitim Yardımı (Çocuk-Ortaöğretim)")*($DN$12)
+COUNTIF(Q21,"Eğitim Yardımı (Çocuk-Lise)")*($DN$13)
+COUNTIF(Q21,"Eğitim Yardımı (Çocuk-Yükseköğretim)")*($DN$14)
+COUNTIF(Q21,"Eğitim Yardımı (Çocuk-Engelli)")*($DN$15)
+COUNTIF(Q21,"Eğitim Yardımı (İşçi-Lise)")*($DN$16)
+COUNTIF(Q21,"Eğitim Yardımı (İşçi-Yükseköğretim)")*($DN$17)
+COUNTIF(Q21,"Evlilik Yardımı")*($DN$18)
+COUNTIF(Q21,"İş Kazası veya Meslek Hastalığı Tazminatı")*($DN$19)
+COUNTIF(Q21,"Sünnet Yardımı")*($DN$20)
+COUNTIF(Q21,"Temizlik Yardımı")*($DN$21/CI2)</f>
        <v>0</v>
      </c>
      <c r="CF6" s="37">
        <f>COUNTIF(O21,"Yok")*(0)
+COUNTIF(O21,"Bayram Yardımı (Kurban)")*(0)
+COUNTIF(O21,"Bayram Yardımı (Ramazan)")*(0)
+COUNTIF(O21,"Cenaze Yardımı (Anne-Baba)")*($DN$4)
+COUNTIF(O21,"Cenaze Yardımı (Eş-Çocuk)")*($DN$5)
+COUNTIF(O21,"Cenaze Yardımı (İşçi-İş Kazası Sonucu)")*($DN$6)
+COUNTIF(O21,"Cenaze Yardımı (İşçi-Tabii Sebepler Sonucu)")*($DN$7)
+COUNTIF(O21,"Doğal Afet Yardımı")*($DN$8)
+COUNTIF(O21,"Doğum Yardımı (İşveren)")*($DN$9)
+COUNTIF(O21,"Eğitim Yardımı (Çocuk-Zorunlu Anaokulu)")*(0)
+COUNTIF(O21,"Eğitim Yardımı (Çocuk-İlköğretim)")*(0)
+COUNTIF(O21,"Eğitim Yardımı (Çocuk-Ortaöğretim)")*(0)
+COUNTIF(O21,"Eğitim Yardımı (Çocuk-Lise)")*(0)
+COUNTIF(O21,"Eğitim Yardımı (Çocuk-Yükseköğretim)")*(0)
+COUNTIF(O21,"Eğitim Yardımı (Çocuk-Engelli)")*(0)
+COUNTIF(O21,"Eğitim Yardımı (İşçi-Lise)")*(0)
+COUNTIF(O21,"Eğitim Yardımı (İşçi-Yükseköğretim)")*(0)
+COUNTIF(O21,"Evlilik Yardımı")*($DN$18)
+COUNTIF(O21,"İş Kazası veya Meslek Hastalığı Tazminatı")*($DN$19)
+COUNTIF(O21,"Sünnet Yardımı")*(0)
+COUNTIF(O21,"Temizlik Yardımı")*(0)
+COUNTIF(P21,"Yok")*(0)
+COUNTIF(P21,"Bayram Yardımı (Kurban)")*(0)
+COUNTIF(P21,"Bayram Yardımı (Ramazan)")*(0)
+COUNTIF(P21,"Cenaze Yardımı (Anne-Baba)")*($DN$4)
+COUNTIF(P21,"Cenaze Yardımı (Eş-Çocuk)")*($DN$5)
+COUNTIF(P21,"Cenaze Yardımı (İşçi-İş Kazası Sonucu)")*($DN$6)
+COUNTIF(P21,"Cenaze Yardımı (İşçi-Tabii Sebepler Sonucu)")*($DN$7)
+COUNTIF(P21,"Doğal Afet Yardımı")*($DN$8)
+COUNTIF(P21,"Doğum Yardımı (İşveren)")*($DN$9)
+COUNTIF(P21,"Eğitim Yardımı (Çocuk-Zorunlu Anaokulu)")*(0)
+COUNTIF(P21,"Eğitim Yardımı (Çocuk-İlköğretim)")*(0)
+COUNTIF(P21,"Eğitim Yardımı (Çocuk-Ortaöğretim)")*(0)
+COUNTIF(P21,"Eğitim Yardımı (Çocuk-Lise)")*(0)
+COUNTIF(P21,"Eğitim Yardımı (Çocuk-Yükseköğretim)")*(0)
+COUNTIF(P21,"Eğitim Yardımı (Çocuk-Engelli)")*(0)
+COUNTIF(P21,"Eğitim Yardımı (İşçi-Lise)")*(0)
+COUNTIF(P21,"Eğitim Yardımı (İşçi-Yükseköğretim)")*(0)
+COUNTIF(P21,"Evlilik Yardımı")*($DN$18)
+COUNTIF(P21,"İş Kazası veya Meslek Hastalığı Tazminatı")*($DN$19)
+COUNTIF(P21,"Sünnet Yardımı")*(0)
+COUNTIF(P21,"Temizlik Yardımı")*(0)
+COUNTIF(Q21,"Yok")*(0)
+COUNTIF(Q21,"Bayram Yardımı (Kurban)")*(0)
+COUNTIF(Q21,"Bayram Yardımı (Ramazan)")*(0)
+COUNTIF(Q21,"Cenaze Yardımı (Anne-Baba)")*($DN$4)
+COUNTIF(Q21,"Cenaze Yardımı (Eş-Çocuk)")*($DN$5)
+COUNTIF(Q21,"Cenaze Yardımı (İşçi-İş Kazası Sonucu)")*($DN$6)
+COUNTIF(Q21,"Cenaze Yardımı (İşçi-Tabii Sebepler Sonucu)")*($DN$7)
+COUNTIF(Q21,"Doğal Afet Yardımı")*($DN$8)
+COUNTIF(Q21,"Doğum Yardımı (İşveren)")*($DN$9)
+COUNTIF(Q21,"Eğitim Yardımı (Çocuk-Zorunlu Anaokulu)")*(0)
+COUNTIF(Q21,"Eğitim Yardımı (Çocuk-İlköğretim)")*(0)
+COUNTIF(Q21,"Eğitim Yardımı (Çocuk-Ortaöğretim)")*(0)
+COUNTIF(Q21,"Eğitim Yardımı (Çocuk-Lise)")*(0)
+COUNTIF(Q21,"Eğitim Yardımı (Çocuk-Yükseköğretim)")*(0)
+COUNTIF(Q21,"Eğitim Yardımı (Çocuk-Engelli)")*(0)
+COUNTIF(Q21,"Eğitim Yardımı (İşçi-Lise)")*(0)
+COUNTIF(Q21,"Eğitim Yardımı (İşçi-Yükseköğretim)")*(0)
+COUNTIF(Q21,"Evlilik Yardımı")*($DN$18)
+COUNTIF(Q21,"İş Kazası veya Meslek Hastalığı Tazminatı")*($DN$19)
+COUNTIF(Q21,"Sünnet Yardımı")*(0)
+COUNTIF(Q21,"Temizlik Yardımı")*(0)</f>
        <v>0</v>
      </c>
      <c r="CG6" s="37">
        <f ca="1">COUNTIF(O21,"Yok")*(0)
+COUNTIF(O21,"Bayram Yardımı (Kurban)")*($DN$2)
+COUNTIF(O21,"Bayram Yardımı (Ramazan)")*($DN$3)
+COUNTIF(O21,"Cenaze Yardımı (Anne-Baba)")*($DN$4-$DN$4*0.00759)
+COUNTIF(O21,"Cenaze Yardımı (Eş-Çocuk)")*($DN$5-$DN$5*0.00759)
+COUNTIF(O21,"Cenaze Yardımı (İşçi-İş Kazası Sonucu)")*($DN$6-$DN$6*0.00759)
+COUNTIF(O21,"Cenaze Yardımı (İşçi-Tabii Sebepler Sonucu)")*($DN$7-$DN$7*0.00759)
+COUNTIF(O21,"Doğal Afet Yardımı")*($DN$8-$DN$8*0.00759)
+COUNTIF(O21,"Doğum Yardımı (İşveren)")*($DN$9-$DN$9*0.00759)
+COUNTIF(O21,"Eğitim Yardımı (Çocuk-Zorunlu Anaokulu)")*($DN$10*CI2)
+COUNTIF(O21,"Eğitim Yardımı (Çocuk-İlköğretim)")*($DN$11*CI2)
+COUNTIF(O21,"Eğitim Yardımı (Çocuk-Ortaöğretim)")*($DN$12*CI2)
+COUNTIF(O21,"Eğitim Yardımı (Çocuk-Lise)")*($DN$13*CI2)
+COUNTIF(O21,"Eğitim Yardımı (Çocuk-Yükseköğretim)")*($DN$14*CI2)
+COUNTIF(O21,"Eğitim Yardımı (Çocuk-Engelli)")*($DN$15*CI2)
+COUNTIF(O21,"Eğitim Yardımı (İşçi-Lise)")*($DN$16*CI2)
+COUNTIF(O21,"Eğitim Yardımı (İşçi-Yükseköğretim)")*($DN$17*CI2)
+COUNTIF(O21,"Evlilik Yardımı")*($DN$18-$DN$18*0.00759)
+COUNTIF(O21,"İş Kazası veya Meslek Hastalığı Tazminatı")*($DN$19-$DN$19*0.00759)
+COUNTIF(O21,"Sünnet Yardımı")*($DN$20*CI2)
+COUNTIF(O21,"Temizlik Yardımı")*($DN$21)
+COUNTIF(P21,"Yok")*(0)
+COUNTIF(P21,"Bayram Yardımı (Kurban)")*($DN$2)
+COUNTIF(P21,"Bayram Yardımı (Ramazan)")*($DN$3)
+COUNTIF(P21,"Cenaze Yardımı (Anne-Baba)")*($DN$4-$DN$4*0.00759)
+COUNTIF(P21,"Cenaze Yardımı (Eş-Çocuk)")*($DN$5-$DN$5*0.00759)
+COUNTIF(P21,"Cenaze Yardımı (İşçi-İş Kazası Sonucu)")*($DN$6-$DN$6*0.00759)
+COUNTIF(P21,"Cenaze Yardımı (İşçi-Tabii Sebepler Sonucu)")*($DN$7-$DN$7*0.00759)
+COUNTIF(P21,"Doğal Afet Yardımı")*($DN$8-$DN$8*0.00759)
+COUNTIF(P21,"Doğum Yardımı (İşveren)")*($DN$9-$DN$9*0.00759)
+COUNTIF(P21,"Eğitim Yardımı (Çocuk-Zorunlu Anaokulu)")*($DN$10*CI2)
+COUNTIF(P21,"Eğitim Yardımı (Çocuk-İlköğretim)")*($DN$11*CI2)
+COUNTIF(P21,"Eğitim Yardımı (Çocuk-Ortaöğretim)")*($DN$12*CI2)
+COUNTIF(P21,"Eğitim Yardımı (Çocuk-Lise)")*($DN$13*CI2)
+COUNTIF(P21,"Eğitim Yardımı (Çocuk-Yükseköğretim)")*($DN$14*CI2)
+COUNTIF(P21,"Eğitim Yardımı (Çocuk-Engelli)")*($DN$15*CI2)
+COUNTIF(P21,"Eğitim Yardımı (İşçi-Lise)")*($DN$16*CI2)
+COUNTIF(P21,"Eğitim Yardımı (İşçi-Yükseköğretim)")*($DN$17*CI2)
+COUNTIF(P21,"Evlilik Yardımı")*($DN$18-$DN$18*0.00759)
+COUNTIF(P21,"İş Kazası veya Meslek Hastalığı Tazminatı")*($DN$19-$DN$19*0.00759)
+COUNTIF(P21,"Sünnet Yardımı")*($DN$20*CI2)
+COUNTIF(P21,"Temizlik Yardımı")*($DN$21)
+COUNTIF(Q21,"Yok")*(0)
+COUNTIF(Q21,"Bayram Yardımı (Kurban)")*($DN$2)
+COUNTIF(Q21,"Bayram Yardımı (Ramazan)")*($DN$3)
+COUNTIF(Q21,"Cenaze Yardımı (Anne-Baba)")*($DN$4-$DN$4*0.00759)
+COUNTIF(Q21,"Cenaze Yardımı (Eş-Çocuk)")*($DN$5-$DN$5*0.00759)
+COUNTIF(Q21,"Cenaze Yardımı (İşçi-İş Kazası Sonucu)")*($DN$6-$DN$6*0.00759)
+COUNTIF(Q21,"Cenaze Yardımı (İşçi-Tabii Sebepler Sonucu)")*($DN$7-$DN$7*0.00759)
+COUNTIF(Q21,"Doğal Afet Yardımı")*($DN$8-$DN$8*0.00759)
+COUNTIF(Q21,"Doğum Yardımı (İşveren)")*($DN$9-$DN$9*0.00759)
+COUNTIF(Q21,"Eğitim Yardımı (Çocuk-Zorunlu Anaokulu)")*($DN$10*CI2)
+COUNTIF(Q21,"Eğitim Yardımı (Çocuk-İlköğretim)")*($DN$11*CI2)
+COUNTIF(Q21,"Eğitim Yardımı (Çocuk-Ortaöğretim)")*($DN$12*CI2)
+COUNTIF(Q21,"Eğitim Yardımı (Çocuk-Lise)")*($DN$13*CI2)
+COUNTIF(Q21,"Eğitim Yardımı (Çocuk-Yükseköğretim)")*($DN$14*CI2)
+COUNTIF(Q21,"Eğitim Yardımı (Çocuk-Engelli)")*($DN$15*CI2)
+COUNTIF(Q21,"Eğitim Yardımı (İşçi-Lise)")*($DN$16*CI2)
+COUNTIF(Q21,"Eğitim Yardımı (İşçi-Yükseköğretim)")*($DN$17*CI2)
+COUNTIF(Q21,"Evlilik Yardımı")*($DN$18-$DN$18*0.00759)
+COUNTIF(Q21,"İş Kazası veya Meslek Hastalığı Tazminatı")*($DN$19-$DN$19*0.00759)
+COUNTIF(Q21,"Sünnet Yardımı")*($DN$20*CI2)
+COUNTIF(Q21,"Temizlik Yardımı")*($DN$21)</f>
        <v>0</v>
      </c>
      <c r="CH6" s="33" t="s">
        <v>12</v>
      </c>
      <c r="CI6" s="25">
        <f>COUNTIF(CH6,"Var")*(AU21*0.9*-1)</f>
        <v>-227.34</v>
      </c>
      <c r="CJ6" s="25">
        <f>(CI6*-1)</f>
        <v>227.34</v>
      </c>
      <c r="CK6" s="37">
        <f ca="1">(DI17*R21+CE10)*-1</f>
        <v>0</v>
      </c>
      <c r="CL6" s="25">
        <f ca="1">(DG11+DG12+DG13+DG14+DG15+CK1+CK2+CK3+CJ12+CJ13+CL4+CL5)</f>
        <v>146901.96000000002</v>
      </c>
      <c r="CM6" s="25">
        <f ca="1">(DH11+DH12+DH13+DH14+DH15+CL1+CL2+CL3+CK12+CK13+CM4+CM5)</f>
        <v>30114.901800000003</v>
      </c>
      <c r="CN6" s="25">
        <f ca="1">(DI11+DI12+DI13+DI14+DI15+CM1+CM2+CM3+CL12+CL13+CN4+CN5)</f>
        <v>1469.0196000000001</v>
      </c>
      <c r="CO6" s="25">
        <f ca="1">(CQ6+CQ7+CQ8+CQ9+CQ10+CQ11+CQ12+CQ13+CM12+CM13+CO4+CO5)</f>
        <v>-7345.098</v>
      </c>
      <c r="CP6" s="25">
        <f ca="1">(CR6+CR7+CR8+CR9+CR10+CR11+CR12+CR13+CN12+CN13+CP4+CP5)</f>
        <v>171140.78340000001</v>
      </c>
      <c r="CQ6" s="25">
        <f ca="1">(DG11*0.05*-1)</f>
        <v>-474.84050000000008</v>
      </c>
      <c r="CR6" s="25">
        <f ca="1">(DG11+DH11+DI11+CQ6)</f>
        <v>11063.783650000001</v>
      </c>
      <c r="CS6" s="31">
        <v>0.4</v>
      </c>
      <c r="CT6" s="39">
        <f>$CU$5</f>
        <v>880000</v>
      </c>
      <c r="CU6" s="25">
        <v>999999999</v>
      </c>
      <c r="CV6" s="25">
        <f>(CU5-CT5)*CS5+CV5</f>
        <v>281500</v>
      </c>
      <c r="CW6" s="25">
        <f>(0)</f>
        <v>0</v>
      </c>
      <c r="CX6" s="25">
        <f>(CH8+CN8+CO8-CW6)</f>
        <v>4253.3999999999996</v>
      </c>
      <c r="CY6" s="25">
        <f>SUM(CX$2:$CX6)</f>
        <v>21267</v>
      </c>
      <c r="CZ6" s="29">
        <f t="shared" si="2"/>
        <v>0.15</v>
      </c>
      <c r="DA6" s="33">
        <f t="shared" si="3"/>
        <v>0</v>
      </c>
      <c r="DB6" s="25">
        <f ca="1">(DI1-DK1)</f>
        <v>4492.8100000000013</v>
      </c>
      <c r="DC6" s="25">
        <f ca="1">(DB6*0.00759*-1)</f>
        <v>-34.100427900000014</v>
      </c>
      <c r="DD6" s="25">
        <f ca="1">(DC6)</f>
        <v>-34.100427900000014</v>
      </c>
      <c r="DE6" s="25">
        <f ca="1">(AT22+BE1+BX1+BG26+BN10)</f>
        <v>752.8</v>
      </c>
      <c r="DF6" s="25">
        <f ca="1">(DI1-DE6)</f>
        <v>8744.010000000002</v>
      </c>
      <c r="DG6" s="25">
        <f ca="1">IF(DF6&gt;=BW10*7.5,BW10*7.5,DF6)</f>
        <v>8744.010000000002</v>
      </c>
      <c r="DH6" s="25">
        <f>(CT21)</f>
        <v>1100.07</v>
      </c>
      <c r="DI6" s="25">
        <f ca="1">(DW25+DH6)</f>
        <v>-1135.1600000000001</v>
      </c>
      <c r="DJ6" s="28">
        <f t="shared" si="1"/>
        <v>0.84240999999999999</v>
      </c>
      <c r="DK6" s="28">
        <f ca="1">(100+(100*0.00759*-1)+(100*0.14*-1)+(100*0.01*-1)+(100+100*0.14*-1+100*0.01*-1)*DV25*-1)/100</f>
        <v>0.61290999999999995</v>
      </c>
      <c r="DL6" s="28">
        <f ca="1">(100+(100*0.00759*-1)+(100)*DV25*-1)/100</f>
        <v>0.72241</v>
      </c>
      <c r="DM6" s="34" t="s">
        <v>63</v>
      </c>
      <c r="DN6" s="25">
        <v>0</v>
      </c>
      <c r="DX6" s="24">
        <v>4</v>
      </c>
      <c r="DY6" s="35">
        <v>2</v>
      </c>
      <c r="DZ6" s="36">
        <v>0.06</v>
      </c>
      <c r="EA6" s="49"/>
    </row>
    <row r="7" spans="1:131" ht="39.950000000000003" customHeight="1" x14ac:dyDescent="0.25">
      <c r="A7" s="70"/>
      <c r="B7" s="71"/>
      <c r="C7" s="57"/>
      <c r="D7" s="57"/>
      <c r="E7" s="72"/>
      <c r="F7" s="72"/>
      <c r="G7" s="57"/>
      <c r="H7" s="57"/>
      <c r="I7" s="57"/>
      <c r="J7" s="74"/>
      <c r="K7" s="57"/>
      <c r="L7" s="57"/>
      <c r="M7" s="57"/>
      <c r="N7" s="57"/>
      <c r="O7" s="57"/>
      <c r="P7" s="57"/>
      <c r="Q7" s="57"/>
      <c r="R7" s="57"/>
      <c r="S7" s="57"/>
      <c r="T7" s="57"/>
      <c r="U7" s="73"/>
      <c r="V7" s="15" t="s">
        <v>32</v>
      </c>
      <c r="W7" s="16">
        <f t="shared" si="0"/>
        <v>6988.8</v>
      </c>
      <c r="X7" s="16">
        <f>COUNTIF(Y1,"Ocak")*(BC1)
+COUNTIF(Y1,"Şubat")*(BC2)
+COUNTIF(Y1,"Mart")*(BC3)
+COUNTIF(Y1,"Nisan")*(BE14)
+COUNTIF(Y1,"Mayıs")*(BE15)
+COUNTIF(Y1,"Haziran")*(BE16)
+COUNTIF(Y1,"Temmuz")*(BB22)
+COUNTIF(Y1,"Ağustos")*(BB23)
+COUNTIF(Y1,"Eylül")*(BB24)
+COUNTIF(Y1,"Ekim")*(BB25)
+COUNTIF(Y1,"Kasım")*(BE17)
+COUNTIF(Y1,"Aralık")*(BE18)
+COUNTIF(Y1,"Yıllık Toplam")*(BE19)
+COUNTIF(Y1,"Yıllık Ortalama")*(BE20)</f>
        <v>6988.8</v>
      </c>
      <c r="Y7" s="64"/>
      <c r="Z7" s="68"/>
      <c r="AA7" s="77" t="s">
        <v>29</v>
      </c>
      <c r="AB7" s="78" t="s">
        <v>130</v>
      </c>
      <c r="AC7" s="56"/>
      <c r="AD7" s="58"/>
      <c r="AE7" s="60"/>
      <c r="AF7" s="59"/>
      <c r="AG7" s="21" t="s">
        <v>82</v>
      </c>
      <c r="AH7" s="22">
        <v>276.16000000000003</v>
      </c>
      <c r="AI7" s="22">
        <v>325.89999999999998</v>
      </c>
      <c r="AJ7" s="25" t="s">
        <v>0</v>
      </c>
      <c r="AK7" s="24" t="s">
        <v>0</v>
      </c>
      <c r="AL7" s="25">
        <f>(5004)</f>
        <v>5004</v>
      </c>
      <c r="AM7" s="25">
        <f>(6471)</f>
        <v>6471</v>
      </c>
      <c r="AN7" s="38">
        <f>(3.68518)</f>
        <v>3.6851799999999999</v>
      </c>
      <c r="AO7" s="38">
        <f>(5.221532)</f>
        <v>5.2215319999999998</v>
      </c>
      <c r="AP7" s="24" t="s">
        <v>0</v>
      </c>
      <c r="AQ7" s="34" t="s">
        <v>0</v>
      </c>
      <c r="AR7" s="25">
        <f ca="1">(AW14*DK6)</f>
        <v>4644.6319800000001</v>
      </c>
      <c r="AS7" s="25">
        <f>(0.58*C25)</f>
        <v>0</v>
      </c>
      <c r="AT7" s="25">
        <f ca="1">(AS7*DK6)</f>
        <v>0</v>
      </c>
      <c r="AU7" s="25">
        <f>(AT14/7.5*1.6*D25)</f>
        <v>0</v>
      </c>
      <c r="AX7" s="25">
        <f ca="1">(AY1*CI3)</f>
        <v>0</v>
      </c>
      <c r="AY7" s="25">
        <f>(AR11*E22)</f>
        <v>0</v>
      </c>
      <c r="AZ7" s="25">
        <f ca="1">(AY7*CI3)</f>
        <v>0</v>
      </c>
      <c r="BA7" s="25">
        <f>(AT11/7.5*0.3*F22)</f>
        <v>0</v>
      </c>
      <c r="BB7" s="25">
        <f ca="1">(BA7*CI3)</f>
        <v>0</v>
      </c>
      <c r="BC7" s="25">
        <f t="shared" si="4"/>
        <v>1209.78</v>
      </c>
      <c r="BD7" s="25">
        <f ca="1">(BF7+BG7+BJ7+BK7+AZ23)</f>
        <v>824.72010750860102</v>
      </c>
      <c r="BE7" s="25">
        <f t="shared" si="5"/>
        <v>1209.78</v>
      </c>
      <c r="BF7" s="25">
        <f t="shared" si="6"/>
        <v>1209.78</v>
      </c>
      <c r="BG7" s="25">
        <f t="shared" si="7"/>
        <v>-9.1822302000000011</v>
      </c>
      <c r="BH7" s="25">
        <f t="shared" si="11"/>
        <v>336.44</v>
      </c>
      <c r="BI7" s="25">
        <f t="shared" si="8"/>
        <v>873.33999999999992</v>
      </c>
      <c r="BJ7" s="25">
        <f t="shared" si="9"/>
        <v>-122.2676</v>
      </c>
      <c r="BK7" s="25">
        <f t="shared" si="10"/>
        <v>-8.7333999999999996</v>
      </c>
      <c r="BL7" s="25">
        <f>(0)</f>
        <v>0</v>
      </c>
      <c r="BM7" s="37">
        <f ca="1">COUNTIF(O26,"Yok")*(0)
+COUNTIF(O26,"Bayram Yardımı (Kurban)")*($DN$2/DK7)
+COUNTIF(O26,"Bayram Yardımı (Ramazan)")*($DN$3/DK7)
+COUNTIF(O26,"Cenaze Yardımı (Anne-Baba)")*($DN$4)
+COUNTIF(O26,"Cenaze Yardımı (Eş-Çocuk)")*($DN$5)
+COUNTIF(O26,"Cenaze Yardımı (İşçi-İş Kazası Sonucu)")*($DN$6)
+COUNTIF(O26,"Cenaze Yardımı (İşçi-Tabii Sebepler Sonucu)")*($DN$7)
+COUNTIF(O26,"Doğal Afet Yardımı")*($DN$8)
+COUNTIF(O26,"Doğum Yardımı (İşveren)")*($DN$9)
+COUNTIF(O26,"Eğitim Yardımı (Çocuk-Zorunlu Anaokulu)")*($DN$10)
+COUNTIF(O26,"Eğitim Yardımı (Çocuk-İlköğretim)")*($DN$11)
+COUNTIF(O26,"Eğitim Yardımı (Çocuk-Ortaöğretim)")*($DN$12)
+COUNTIF(O26,"Eğitim Yardımı (Çocuk-Lise)")*($DN$13)
+COUNTIF(O26,"Eğitim Yardımı (Çocuk-Yükseköğretim)")*($DN$14)
+COUNTIF(O26,"Eğitim Yardımı (Çocuk-Engelli)")*($DN$15)
+COUNTIF(O26,"Eğitim Yardımı (İşçi-Lise)")*($DN$16)
+COUNTIF(O26,"Eğitim Yardımı (İşçi-Yükseköğretim)")*($DN$17)
+COUNTIF(O26,"Evlilik Yardımı")*($DN$18)
+COUNTIF(O26,"İş Kazası veya Meslek Hastalığı Tazminatı")*($DN$19)
+COUNTIF(O26,"Sünnet Yardımı")*($DN$20)
+COUNTIF(O26,"Temizlik Yardımı")*($DN$21/DK7)
+COUNTIF(P26,"Yok")*(0)
+COUNTIF(P26,"Bayram Yardımı (Kurban)")*($DN$2/DK7)
+COUNTIF(P26,"Bayram Yardımı (Ramazan)")*($DN$3/DK7)
+COUNTIF(P26,"Cenaze Yardımı (Anne-Baba)")*($DN$4)
+COUNTIF(P26,"Cenaze Yardımı (Eş-Çocuk)")*($DN$5)
+COUNTIF(P26,"Cenaze Yardımı (İşçi-İş Kazası Sonucu)")*($DN$6)
+COUNTIF(P26,"Cenaze Yardımı (İşçi-Tabii Sebepler Sonucu)")*($DN$7)
+COUNTIF(P26,"Doğal Afet Yardımı")*($DN$8)
+COUNTIF(P26,"Doğum Yardımı (İşveren)")*($DN$9)
+COUNTIF(P26,"Eğitim Yardımı (Çocuk-Zorunlu Anaokulu)")*($DN$10)
+COUNTIF(P26,"Eğitim Yardımı (Çocuk-İlköğretim)")*($DN$11)
+COUNTIF(P26,"Eğitim Yardımı (Çocuk-Ortaöğretim)")*($DN$12)
+COUNTIF(P26,"Eğitim Yardımı (Çocuk-Lise)")*($DN$13)
+COUNTIF(P26,"Eğitim Yardımı (Çocuk-Yükseköğretim)")*($DN$14)
+COUNTIF(P26,"Eğitim Yardımı (Çocuk-Engelli)")*($DN$15)
+COUNTIF(P26,"Eğitim Yardımı (İşçi-Lise)")*($DN$16)
+COUNTIF(P26,"Eğitim Yardımı (İşçi-Yükseköğretim)")*($DN$17)
+COUNTIF(P26,"Evlilik Yardımı")*($DN$18)
+COUNTIF(P26,"İş Kazası veya Meslek Hastalığı Tazminatı")*($DN$19)
+COUNTIF(P26,"Sünnet Yardımı")*($DN$20)
+COUNTIF(P26,"Temizlik Yardımı")*($DN$21/DK7)
+COUNTIF(Q26,"Yok")*(0)
+COUNTIF(Q26,"Bayram Yardımı (Kurban)")*($DN$2/DK7)
+COUNTIF(Q26,"Bayram Yardımı (Ramazan)")*($DN$3/DK7)
+COUNTIF(Q26,"Cenaze Yardımı (Anne-Baba)")*($DN$4)
+COUNTIF(Q26,"Cenaze Yardımı (Eş-Çocuk)")*($DN$5)
+COUNTIF(Q26,"Cenaze Yardımı (İşçi-İş Kazası Sonucu)")*($DN$6)
+COUNTIF(Q26,"Cenaze Yardımı (İşçi-Tabii Sebepler Sonucu)")*($DN$7)
+COUNTIF(Q26,"Doğal Afet Yardımı")*($DN$8)
+COUNTIF(Q26,"Doğum Yardımı (İşveren)")*($DN$9)
+COUNTIF(Q26,"Eğitim Yardımı (Çocuk-Zorunlu Anaokulu)")*($DN$10)
+COUNTIF(Q26,"Eğitim Yardımı (Çocuk-İlköğretim)")*($DN$11)
+COUNTIF(Q26,"Eğitim Yardımı (Çocuk-Ortaöğretim)")*($DN$12)
+COUNTIF(Q26,"Eğitim Yardımı (Çocuk-Lise)")*($DN$13)
+COUNTIF(Q26,"Eğitim Yardımı (Çocuk-Yükseköğretim)")*($DN$14)
+COUNTIF(Q26,"Eğitim Yardımı (Çocuk-Engelli)")*($DN$15)
+COUNTIF(Q26,"Eğitim Yardımı (İşçi-Lise)")*($DN$16)
+COUNTIF(Q26,"Eğitim Yardımı (İşçi-Yükseköğretim)")*($DN$17)
+COUNTIF(Q26,"Evlilik Yardımı")*($DN$18)
+COUNTIF(Q26,"İş Kazası veya Meslek Hastalığı Tazminatı")*($DN$19)
+COUNTIF(Q26,"Sünnet Yardımı")*($DN$20)
+COUNTIF(Q26,"Temizlik Yardımı")*($DN$21/DK7)</f>
        <v>0</v>
      </c>
      <c r="BN7" s="37">
        <f>COUNTIF(O26,"Yok")*(0)
+COUNTIF(O26,"Bayram Yardımı (Kurban)")*(0)
+COUNTIF(O26,"Bayram Yardımı (Ramazan)")*(0)
+COUNTIF(O26,"Cenaze Yardımı (Anne-Baba)")*($DN$4)
+COUNTIF(O26,"Cenaze Yardımı (Eş-Çocuk)")*($DN$5)
+COUNTIF(O26,"Cenaze Yardımı (İşçi-İş Kazası Sonucu)")*($DN$6)
+COUNTIF(O26,"Cenaze Yardımı (İşçi-Tabii Sebepler Sonucu)")*($DN$7)
+COUNTIF(O26,"Doğal Afet Yardımı")*($DN$8)
+COUNTIF(O26,"Doğum Yardımı (İşveren)")*($DN$9)
+COUNTIF(O26,"Eğitim Yardımı (Çocuk-Zorunlu Anaokulu)")*(0)
+COUNTIF(O26,"Eğitim Yardımı (Çocuk-İlköğretim)")*(0)
+COUNTIF(O26,"Eğitim Yardımı (Çocuk-Ortaöğretim)")*(0)
+COUNTIF(O26,"Eğitim Yardımı (Çocuk-Lise)")*(0)
+COUNTIF(O26,"Eğitim Yardımı (Çocuk-Yükseköğretim)")*(0)
+COUNTIF(O26,"Eğitim Yardımı (Çocuk-Engelli)")*(0)
+COUNTIF(O26,"Eğitim Yardımı (İşçi-Lise)")*(0)
+COUNTIF(O26,"Eğitim Yardımı (İşçi-Yükseköğretim)")*(0)
+COUNTIF(O26,"Evlilik Yardımı")*($DN$18)
+COUNTIF(O26,"İş Kazası veya Meslek Hastalığı Tazminatı")*($DN$19)
+COUNTIF(O26,"Sünnet Yardımı")*(0)
+COUNTIF(O26,"Temizlik Yardımı")*(0)
+COUNTIF(P26,"Yok")*(0)
+COUNTIF(P26,"Bayram Yardımı (Kurban)")*(0)
+COUNTIF(P26,"Bayram Yardımı (Ramazan)")*(0)
+COUNTIF(P26,"Cenaze Yardımı (Anne-Baba)")*($DN$4)
+COUNTIF(P26,"Cenaze Yardımı (Eş-Çocuk)")*($DN$5)
+COUNTIF(P26,"Cenaze Yardımı (İşçi-İş Kazası Sonucu)")*($DN$6)
+COUNTIF(P26,"Cenaze Yardımı (İşçi-Tabii Sebepler Sonucu)")*($DN$7)
+COUNTIF(P26,"Doğal Afet Yardımı")*($DN$8)
+COUNTIF(P26,"Doğum Yardımı (İşveren)")*($DN$9)
+COUNTIF(P26,"Eğitim Yardımı (Çocuk-Zorunlu Anaokulu)")*(0)
+COUNTIF(P26,"Eğitim Yardımı (Çocuk-İlköğretim)")*(0)
+COUNTIF(P26,"Eğitim Yardımı (Çocuk-Ortaöğretim)")*(0)
+COUNTIF(P26,"Eğitim Yardımı (Çocuk-Lise)")*(0)
+COUNTIF(P26,"Eğitim Yardımı (Çocuk-Yükseköğretim)")*(0)
+COUNTIF(P26,"Eğitim Yardımı (Çocuk-Engelli)")*(0)
+COUNTIF(P26,"Eğitim Yardımı (İşçi-Lise)")*(0)
+COUNTIF(P26,"Eğitim Yardımı (İşçi-Yükseköğretim)")*(0)
+COUNTIF(P26,"Evlilik Yardımı")*($DN$18)
+COUNTIF(P26,"İş Kazası veya Meslek Hastalığı Tazminatı")*($DN$19)
+COUNTIF(P26,"Sünnet Yardımı")*(0)
+COUNTIF(P26,"Temizlik Yardımı")*(0)
+COUNTIF(Q26,"Yok")*(0)
+COUNTIF(Q26,"Bayram Yardımı (Kurban)")*(0)
+COUNTIF(Q26,"Bayram Yardımı (Ramazan)")*(0)
+COUNTIF(Q26,"Cenaze Yardımı (Anne-Baba)")*($DN$4)
+COUNTIF(Q26,"Cenaze Yardımı (Eş-Çocuk)")*($DN$5)
+COUNTIF(Q26,"Cenaze Yardımı (İşçi-İş Kazası Sonucu)")*($DN$6)
+COUNTIF(Q26,"Cenaze Yardımı (İşçi-Tabii Sebepler Sonucu)")*($DN$7)
+COUNTIF(Q26,"Doğal Afet Yardımı")*($DN$8)
+COUNTIF(Q26,"Doğum Yardımı (İşveren)")*($DN$9)
+COUNTIF(Q26,"Eğitim Yardımı (Çocuk-Zorunlu Anaokulu)")*(0)
+COUNTIF(Q26,"Eğitim Yardımı (Çocuk-İlköğretim)")*(0)
+COUNTIF(Q26,"Eğitim Yardımı (Çocuk-Ortaöğretim)")*(0)
+COUNTIF(Q26,"Eğitim Yardımı (Çocuk-Lise)")*(0)
+COUNTIF(Q26,"Eğitim Yardımı (Çocuk-Yükseköğretim)")*(0)
+COUNTIF(Q26,"Eğitim Yardımı (Çocuk-Engelli)")*(0)
+COUNTIF(Q26,"Eğitim Yardımı (İşçi-Lise)")*(0)
+COUNTIF(Q26,"Eğitim Yardımı (İşçi-Yükseköğretim)")*(0)
+COUNTIF(Q26,"Evlilik Yardımı")*($DN$18)
+COUNTIF(Q26,"İş Kazası veya Meslek Hastalığı Tazminatı")*($DN$19)
+COUNTIF(Q26,"Sünnet Yardımı")*(0)
+COUNTIF(Q26,"Temizlik Yardımı")*(0)</f>
        <v>0</v>
      </c>
      <c r="BO7" s="37">
        <f ca="1">COUNTIF(O26,"Yok")*(0)
+COUNTIF(O26,"Bayram Yardımı (Kurban)")*($DN$2)
+COUNTIF(O26,"Bayram Yardımı (Ramazan)")*($DN$3)
+COUNTIF(O26,"Cenaze Yardımı (Anne-Baba)")*($DN$4-$DN$4*0.00759)
+COUNTIF(O26,"Cenaze Yardımı (Eş-Çocuk)")*($DN$5-$DN$5*0.00759)
+COUNTIF(O26,"Cenaze Yardımı (İşçi-İş Kazası Sonucu)")*($DN$6-$DN$6*0.00759)
+COUNTIF(O26,"Cenaze Yardımı (İşçi-Tabii Sebepler Sonucu)")*($DN$7-$DN$7*0.00759)
+COUNTIF(O26,"Doğal Afet Yardımı")*($DN$8-$DN$8*0.00759)
+COUNTIF(O26,"Doğum Yardımı (İşveren)")*($DN$9-$DN$9*0.00759)
+COUNTIF(O26,"Eğitim Yardımı (Çocuk-Zorunlu Anaokulu)")*($DN$10*DK7)
+COUNTIF(O26,"Eğitim Yardımı (Çocuk-İlköğretim)")*($DN$11*DK7)
+COUNTIF(O26,"Eğitim Yardımı (Çocuk-Ortaöğretim)")*($DN$12*DK7)
+COUNTIF(O26,"Eğitim Yardımı (Çocuk-Lise)")*($DN$13*DK7)
+COUNTIF(O26,"Eğitim Yardımı (Çocuk-Yükseköğretim)")*($DN$14*DK7)
+COUNTIF(O26,"Eğitim Yardımı (Çocuk-Engelli)")*($DN$15*DK7)
+COUNTIF(O26,"Eğitim Yardımı (İşçi-Lise)")*($DN$16*DK7)
+COUNTIF(O26,"Eğitim Yardımı (İşçi-Yükseköğretim)")*($DN$17*DK7)
+COUNTIF(O26,"Evlilik Yardımı")*($DN$18-$DN$18*0.00759)
+COUNTIF(O26,"İş Kazası veya Meslek Hastalığı Tazminatı")*($DN$19-$DN$19*0.00759)
+COUNTIF(O26,"Sünnet Yardımı")*($DN$20*DK7)
+COUNTIF(O26,"Temizlik Yardımı")*($DN$21)
+COUNTIF(P26,"Yok")*(0)
+COUNTIF(P26,"Bayram Yardımı (Kurban)")*($DN$2)
+COUNTIF(P26,"Bayram Yardımı (Ramazan)")*($DN$3)
+COUNTIF(P26,"Cenaze Yardımı (Anne-Baba)")*($DN$4-$DN$4*0.00759)
+COUNTIF(P26,"Cenaze Yardımı (Eş-Çocuk)")*($DN$5-$DN$5*0.00759)
+COUNTIF(P26,"Cenaze Yardımı (İşçi-İş Kazası Sonucu)")*($DN$6-$DN$6*0.00759)
+COUNTIF(P26,"Cenaze Yardımı (İşçi-Tabii Sebepler Sonucu)")*($DN$7-$DN$7*0.00759)
+COUNTIF(P26,"Doğal Afet Yardımı")*($DN$8-$DN$8*0.00759)
+COUNTIF(P26,"Doğum Yardımı (İşveren)")*($DN$9-$DN$9*0.00759)
+COUNTIF(P26,"Eğitim Yardımı (Çocuk-Zorunlu Anaokulu)")*($DN$10*DK7)
+COUNTIF(P26,"Eğitim Yardımı (Çocuk-İlköğretim)")*($DN$11*DK7)
+COUNTIF(P26,"Eğitim Yardımı (Çocuk-Ortaöğretim)")*($DN$12*DK7)
+COUNTIF(P26,"Eğitim Yardımı (Çocuk-Lise)")*($DN$13*DK7)
+COUNTIF(P26,"Eğitim Yardımı (Çocuk-Yükseköğretim)")*($DN$14*DK7)
+COUNTIF(P26,"Eğitim Yardımı (Çocuk-Engelli)")*($DN$15*DK7)
+COUNTIF(P26,"Eğitim Yardımı (İşçi-Lise)")*($DN$16*DK7)
+COUNTIF(P26,"Eğitim Yardımı (İşçi-Yükseköğretim)")*($DN$17*DK7)
+COUNTIF(P26,"Evlilik Yardımı")*($DN$18-$DN$18*0.00759)
+COUNTIF(P26,"İş Kazası veya Meslek Hastalığı Tazminatı")*($DN$19-$DN$19*0.00759)
+COUNTIF(P26,"Sünnet Yardımı")*($DN$20*DK7)
+COUNTIF(P26,"Temizlik Yardımı")*($DN$21)
+COUNTIF(Q26,"Yok")*(0)
+COUNTIF(Q26,"Bayram Yardımı (Kurban)")*($DN$2)
+COUNTIF(Q26,"Bayram Yardımı (Ramazan)")*($DN$3)
+COUNTIF(Q26,"Cenaze Yardımı (Anne-Baba)")*($DN$4-$DN$4*0.00759)
+COUNTIF(Q26,"Cenaze Yardımı (Eş-Çocuk)")*($DN$5-$DN$5*0.00759)
+COUNTIF(Q26,"Cenaze Yardımı (İşçi-İş Kazası Sonucu)")*($DN$6-$DN$6*0.00759)
+COUNTIF(Q26,"Cenaze Yardımı (İşçi-Tabii Sebepler Sonucu)")*($DN$7-$DN$7*0.00759)
+COUNTIF(Q26,"Doğal Afet Yardımı")*($DN$8-$DN$8*0.00759)
+COUNTIF(Q26,"Doğum Yardımı (İşveren)")*($DN$9-$DN$9*0.00759)
+COUNTIF(Q26,"Eğitim Yardımı (Çocuk-Zorunlu Anaokulu)")*($DN$10*DK7)
+COUNTIF(Q26,"Eğitim Yardımı (Çocuk-İlköğretim)")*($DN$11*DK7)
+COUNTIF(Q26,"Eğitim Yardımı (Çocuk-Ortaöğretim)")*($DN$12*DK7)
+COUNTIF(Q26,"Eğitim Yardımı (Çocuk-Lise)")*($DN$13*DK7)
+COUNTIF(Q26,"Eğitim Yardımı (Çocuk-Yükseköğretim)")*($DN$14*DK7)
+COUNTIF(Q26,"Eğitim Yardımı (Çocuk-Engelli)")*($DN$15*DK7)
+COUNTIF(Q26,"Eğitim Yardımı (İşçi-Lise)")*($DN$16*DK7)
+COUNTIF(Q26,"Eğitim Yardımı (İşçi-Yükseköğretim)")*($DN$17*DK7)
+COUNTIF(Q26,"Evlilik Yardımı")*($DN$18-$DN$18*0.00759)
+COUNTIF(Q26,"İş Kazası veya Meslek Hastalığı Tazminatı")*($DN$19-$DN$19*0.00759)
+COUNTIF(Q26,"Sünnet Yardımı")*($DN$20*DK7)
+COUNTIF(Q26,"Temizlik Yardımı")*($DN$21)</f>
        <v>0</v>
      </c>
      <c r="BP7" s="33" t="s">
        <v>12</v>
      </c>
      <c r="BQ7" s="25">
        <f>COUNTIF(BP7,"Var")*(AP26*0.9*-1)</f>
        <v>-227.34</v>
      </c>
      <c r="BR7" s="25">
        <f>(BQ7*-1)</f>
        <v>227.34</v>
      </c>
      <c r="BS7" s="37">
        <f ca="1">(DI22*R26+BT7)*-1</f>
        <v>0</v>
      </c>
      <c r="BT7" s="37">
        <f>(AU8+AY11+BA11+BC11-BH11)*(R26*-1)</f>
        <v>0</v>
      </c>
      <c r="BU7" s="37">
        <f ca="1">(BS7+BT7)</f>
        <v>0</v>
      </c>
      <c r="BV7" s="25" t="s">
        <v>0</v>
      </c>
      <c r="BW7" s="25">
        <f>(6471)</f>
        <v>6471</v>
      </c>
      <c r="BX7" s="25">
        <f>(6471)</f>
        <v>6471</v>
      </c>
      <c r="BY7" s="25">
        <f>(BW7-BX7)</f>
        <v>0</v>
      </c>
      <c r="BZ7" s="25">
        <f>(BY7*0.00759*-1)</f>
        <v>0</v>
      </c>
      <c r="CA7" s="25">
        <f>(0)</f>
        <v>0</v>
      </c>
      <c r="CB7" s="25">
        <f>(BW7-CA7)</f>
        <v>6471</v>
      </c>
      <c r="CC7" s="25">
        <f>(CB7*0.14*-1)</f>
        <v>-905.94</v>
      </c>
      <c r="CD7" s="25">
        <f>(CB7*0.01*-1)</f>
        <v>-64.710000000000008</v>
      </c>
      <c r="CE7" s="37">
        <f ca="1">COUNTIF(O22,"Yok")*(0)
+COUNTIF(O22,"Bayram Yardımı (Kurban)")*($DN$2/CI3)
+COUNTIF(O22,"Bayram Yardımı (Ramazan)")*($DN$3/CI3)
+COUNTIF(O22,"Cenaze Yardımı (Anne-Baba)")*($DN$4)
+COUNTIF(O22,"Cenaze Yardımı (Eş-Çocuk)")*($DN$5)
+COUNTIF(O22,"Cenaze Yardımı (İşçi-İş Kazası Sonucu)")*($DN$6)
+COUNTIF(O22,"Cenaze Yardımı (İşçi-Tabii Sebepler Sonucu)")*($DN$7)
+COUNTIF(O22,"Doğal Afet Yardımı")*($DN$8)
+COUNTIF(O22,"Doğum Yardımı (İşveren)")*($DN$9)
+COUNTIF(O22,"Eğitim Yardımı (Çocuk-Zorunlu Anaokulu)")*($DN$10)
+COUNTIF(O22,"Eğitim Yardımı (Çocuk-İlköğretim)")*($DN$11)
+COUNTIF(O22,"Eğitim Yardımı (Çocuk-Ortaöğretim)")*($DN$12)
+COUNTIF(O22,"Eğitim Yardımı (Çocuk-Lise)")*($DN$13)
+COUNTIF(O22,"Eğitim Yardımı (Çocuk-Yükseköğretim)")*($DN$14)
+COUNTIF(O22,"Eğitim Yardımı (Çocuk-Engelli)")*($DN$15)
+COUNTIF(O22,"Eğitim Yardımı (İşçi-Lise)")*($DN$16)
+COUNTIF(O22,"Eğitim Yardımı (İşçi-Yükseköğretim)")*($DN$17)
+COUNTIF(O22,"Evlilik Yardımı")*($DN$18)
+COUNTIF(O22,"İş Kazası veya Meslek Hastalığı Tazminatı")*($DN$19)
+COUNTIF(O22,"Sünnet Yardımı")*($DN$20)
+COUNTIF(O22,"Temizlik Yardımı")*($DN$21/CI3)
+COUNTIF(P22,"Yok")*(0)
+COUNTIF(P22,"Bayram Yardımı (Kurban)")*($DN$2/CI3)
+COUNTIF(P22,"Bayram Yardımı (Ramazan)")*($DN$3/CI3)
+COUNTIF(P22,"Cenaze Yardımı (Anne-Baba)")*($DN$4)
+COUNTIF(P22,"Cenaze Yardımı (Eş-Çocuk)")*($DN$5)
+COUNTIF(P22,"Cenaze Yardımı (İşçi-İş Kazası Sonucu)")*($DN$6)
+COUNTIF(P22,"Cenaze Yardımı (İşçi-Tabii Sebepler Sonucu)")*($DN$7)
+COUNTIF(P22,"Doğal Afet Yardımı")*($DN$8)
+COUNTIF(P22,"Doğum Yardımı (İşveren)")*($DN$9)
+COUNTIF(P22,"Eğitim Yardımı (Çocuk-Zorunlu Anaokulu)")*($DN$10)
+COUNTIF(P22,"Eğitim Yardımı (Çocuk-İlköğretim)")*($DN$11)
+COUNTIF(P22,"Eğitim Yardımı (Çocuk-Ortaöğretim)")*($DN$12)
+COUNTIF(P22,"Eğitim Yardımı (Çocuk-Lise)")*($DN$13)
+COUNTIF(P22,"Eğitim Yardımı (Çocuk-Yükseköğretim)")*($DN$14)
+COUNTIF(P22,"Eğitim Yardımı (Çocuk-Engelli)")*($DN$15)
+COUNTIF(P22,"Eğitim Yardımı (İşçi-Lise)")*($DN$16)
+COUNTIF(P22,"Eğitim Yardımı (İşçi-Yükseköğretim)")*($DN$17)
+COUNTIF(P22,"Evlilik Yardımı")*($DN$18)
+COUNTIF(P22,"İş Kazası veya Meslek Hastalığı Tazminatı")*($DN$19)
+COUNTIF(P22,"Sünnet Yardımı")*($DN$20)
+COUNTIF(P22,"Temizlik Yardımı")*($DN$21/CI3)
+COUNTIF(Q22,"Yok")*(0)
+COUNTIF(Q22,"Bayram Yardımı (Kurban)")*($DN$2/CI3)
+COUNTIF(Q22,"Bayram Yardımı (Ramazan)")*($DN$3/CI3)
+COUNTIF(Q22,"Cenaze Yardımı (Anne-Baba)")*($DN$4)
+COUNTIF(Q22,"Cenaze Yardımı (Eş-Çocuk)")*($DN$5)
+COUNTIF(Q22,"Cenaze Yardımı (İşçi-İş Kazası Sonucu)")*($DN$6)
+COUNTIF(Q22,"Cenaze Yardımı (İşçi-Tabii Sebepler Sonucu)")*($DN$7)
+COUNTIF(Q22,"Doğal Afet Yardımı")*($DN$8)
+COUNTIF(Q22,"Doğum Yardımı (İşveren)")*($DN$9)
+COUNTIF(Q22,"Eğitim Yardımı (Çocuk-Zorunlu Anaokulu)")*($DN$10)
+COUNTIF(Q22,"Eğitim Yardımı (Çocuk-İlköğretim)")*($DN$11)
+COUNTIF(Q22,"Eğitim Yardımı (Çocuk-Ortaöğretim)")*($DN$12)
+COUNTIF(Q22,"Eğitim Yardımı (Çocuk-Lise)")*($DN$13)
+COUNTIF(Q22,"Eğitim Yardımı (Çocuk-Yükseköğretim)")*($DN$14)
+COUNTIF(Q22,"Eğitim Yardımı (Çocuk-Engelli)")*($DN$15)
+COUNTIF(Q22,"Eğitim Yardımı (İşçi-Lise)")*($DN$16)
+COUNTIF(Q22,"Eğitim Yardımı (İşçi-Yükseköğretim)")*($DN$17)
+COUNTIF(Q22,"Evlilik Yardımı")*($DN$18)
+COUNTIF(Q22,"İş Kazası veya Meslek Hastalığı Tazminatı")*($DN$19)
+COUNTIF(Q22,"Sünnet Yardımı")*($DN$20)
+COUNTIF(Q22,"Temizlik Yardımı")*($DN$21/CI3)</f>
        <v>0</v>
      </c>
      <c r="CF7" s="37">
        <f>COUNTIF(O22,"Yok")*(0)
+COUNTIF(O22,"Bayram Yardımı (Kurban)")*(0)
+COUNTIF(O22,"Bayram Yardımı (Ramazan)")*(0)
+COUNTIF(O22,"Cenaze Yardımı (Anne-Baba)")*($DN$4)
+COUNTIF(O22,"Cenaze Yardımı (Eş-Çocuk)")*($DN$5)
+COUNTIF(O22,"Cenaze Yardımı (İşçi-İş Kazası Sonucu)")*($DN$6)
+COUNTIF(O22,"Cenaze Yardımı (İşçi-Tabii Sebepler Sonucu)")*($DN$7)
+COUNTIF(O22,"Doğal Afet Yardımı")*($DN$8)
+COUNTIF(O22,"Doğum Yardımı (İşveren)")*($DN$9)
+COUNTIF(O22,"Eğitim Yardımı (Çocuk-Zorunlu Anaokulu)")*(0)
+COUNTIF(O22,"Eğitim Yardımı (Çocuk-İlköğretim)")*(0)
+COUNTIF(O22,"Eğitim Yardımı (Çocuk-Ortaöğretim)")*(0)
+COUNTIF(O22,"Eğitim Yardımı (Çocuk-Lise)")*(0)
+COUNTIF(O22,"Eğitim Yardımı (Çocuk-Yükseköğretim)")*(0)
+COUNTIF(O22,"Eğitim Yardımı (Çocuk-Engelli)")*(0)
+COUNTIF(O22,"Eğitim Yardımı (İşçi-Lise)")*(0)
+COUNTIF(O22,"Eğitim Yardımı (İşçi-Yükseköğretim)")*(0)
+COUNTIF(O22,"Evlilik Yardımı")*($DN$18)
+COUNTIF(O22,"İş Kazası veya Meslek Hastalığı Tazminatı")*($DN$19)
+COUNTIF(O22,"Sünnet Yardımı")*(0)
+COUNTIF(O22,"Temizlik Yardımı")*(0)
+COUNTIF(P22,"Yok")*(0)
+COUNTIF(P22,"Bayram Yardımı (Kurban)")*(0)
+COUNTIF(P22,"Bayram Yardımı (Ramazan)")*(0)
+COUNTIF(P22,"Cenaze Yardımı (Anne-Baba)")*($DN$4)
+COUNTIF(P22,"Cenaze Yardımı (Eş-Çocuk)")*($DN$5)
+COUNTIF(P22,"Cenaze Yardımı (İşçi-İş Kazası Sonucu)")*($DN$6)
+COUNTIF(P22,"Cenaze Yardımı (İşçi-Tabii Sebepler Sonucu)")*($DN$7)
+COUNTIF(P22,"Doğal Afet Yardımı")*($DN$8)
+COUNTIF(P22,"Doğum Yardımı (İşveren)")*($DN$9)
+COUNTIF(P22,"Eğitim Yardımı (Çocuk-Zorunlu Anaokulu)")*(0)
+COUNTIF(P22,"Eğitim Yardımı (Çocuk-İlköğretim)")*(0)
+COUNTIF(P22,"Eğitim Yardımı (Çocuk-Ortaöğretim)")*(0)
+COUNTIF(P22,"Eğitim Yardımı (Çocuk-Lise)")*(0)
+COUNTIF(P22,"Eğitim Yardımı (Çocuk-Yükseköğretim)")*(0)
+COUNTIF(P22,"Eğitim Yardımı (Çocuk-Engelli)")*(0)
+COUNTIF(P22,"Eğitim Yardımı (İşçi-Lise)")*(0)
+COUNTIF(P22,"Eğitim Yardımı (İşçi-Yükseköğretim)")*(0)
+COUNTIF(P22,"Evlilik Yardımı")*($DN$18)
+COUNTIF(P22,"İş Kazası veya Meslek Hastalığı Tazminatı")*($DN$19)
+COUNTIF(P22,"Sünnet Yardımı")*(0)
+COUNTIF(P22,"Temizlik Yardımı")*(0)
+COUNTIF(Q22,"Yok")*(0)
+COUNTIF(Q22,"Bayram Yardımı (Kurban)")*(0)
+COUNTIF(Q22,"Bayram Yardımı (Ramazan)")*(0)
+COUNTIF(Q22,"Cenaze Yardımı (Anne-Baba)")*($DN$4)
+COUNTIF(Q22,"Cenaze Yardımı (Eş-Çocuk)")*($DN$5)
+COUNTIF(Q22,"Cenaze Yardımı (İşçi-İş Kazası Sonucu)")*($DN$6)
+COUNTIF(Q22,"Cenaze Yardımı (İşçi-Tabii Sebepler Sonucu)")*($DN$7)
+COUNTIF(Q22,"Doğal Afet Yardımı")*($DN$8)
+COUNTIF(Q22,"Doğum Yardımı (İşveren)")*($DN$9)
+COUNTIF(Q22,"Eğitim Yardımı (Çocuk-Zorunlu Anaokulu)")*(0)
+COUNTIF(Q22,"Eğitim Yardımı (Çocuk-İlköğretim)")*(0)
+COUNTIF(Q22,"Eğitim Yardımı (Çocuk-Ortaöğretim)")*(0)
+COUNTIF(Q22,"Eğitim Yardımı (Çocuk-Lise)")*(0)
+COUNTIF(Q22,"Eğitim Yardımı (Çocuk-Yükseköğretim)")*(0)
+COUNTIF(Q22,"Eğitim Yardımı (Çocuk-Engelli)")*(0)
+COUNTIF(Q22,"Eğitim Yardımı (İşçi-Lise)")*(0)
+COUNTIF(Q22,"Eğitim Yardımı (İşçi-Yükseköğretim)")*(0)
+COUNTIF(Q22,"Evlilik Yardımı")*($DN$18)
+COUNTIF(Q22,"İş Kazası veya Meslek Hastalığı Tazminatı")*($DN$19)
+COUNTIF(Q22,"Sünnet Yardımı")*(0)
+COUNTIF(Q22,"Temizlik Yardımı")*(0)</f>
        <v>0</v>
      </c>
      <c r="CG7" s="37">
        <f ca="1">COUNTIF(O22,"Yok")*(0)
+COUNTIF(O22,"Bayram Yardımı (Kurban)")*($DN$2)
+COUNTIF(O22,"Bayram Yardımı (Ramazan)")*($DN$3)
+COUNTIF(O22,"Cenaze Yardımı (Anne-Baba)")*($DN$4-$DN$4*0.00759)
+COUNTIF(O22,"Cenaze Yardımı (Eş-Çocuk)")*($DN$5-$DN$5*0.00759)
+COUNTIF(O22,"Cenaze Yardımı (İşçi-İş Kazası Sonucu)")*($DN$6-$DN$6*0.00759)
+COUNTIF(O22,"Cenaze Yardımı (İşçi-Tabii Sebepler Sonucu)")*($DN$7-$DN$7*0.00759)
+COUNTIF(O22,"Doğal Afet Yardımı")*($DN$8-$DN$8*0.00759)
+COUNTIF(O22,"Doğum Yardımı (İşveren)")*($DN$9-$DN$9*0.00759)
+COUNTIF(O22,"Eğitim Yardımı (Çocuk-Zorunlu Anaokulu)")*($DN$10*CI3)
+COUNTIF(O22,"Eğitim Yardımı (Çocuk-İlköğretim)")*($DN$11*CI3)
+COUNTIF(O22,"Eğitim Yardımı (Çocuk-Ortaöğretim)")*($DN$12*CI3)
+COUNTIF(O22,"Eğitim Yardımı (Çocuk-Lise)")*($DN$13*CI3)
+COUNTIF(O22,"Eğitim Yardımı (Çocuk-Yükseköğretim)")*($DN$14*CI3)
+COUNTIF(O22,"Eğitim Yardımı (Çocuk-Engelli)")*($DN$15*CI3)
+COUNTIF(O22,"Eğitim Yardımı (İşçi-Lise)")*($DN$16*CI3)
+COUNTIF(O22,"Eğitim Yardımı (İşçi-Yükseköğretim)")*($DN$17*CI3)
+COUNTIF(O22,"Evlilik Yardımı")*($DN$18-$DN$18*0.00759)
+COUNTIF(O22,"İş Kazası veya Meslek Hastalığı Tazminatı")*($DN$19-$DN$19*0.00759)
+COUNTIF(O22,"Sünnet Yardımı")*($DN$20*CI3)
+COUNTIF(O22,"Temizlik Yardımı")*($DN$21)
+COUNTIF(P22,"Yok")*(0)
+COUNTIF(P22,"Bayram Yardımı (Kurban)")*($DN$2)
+COUNTIF(P22,"Bayram Yardımı (Ramazan)")*($DN$3)
+COUNTIF(P22,"Cenaze Yardımı (Anne-Baba)")*($DN$4-$DN$4*0.00759)
+COUNTIF(P22,"Cenaze Yardımı (Eş-Çocuk)")*($DN$5-$DN$5*0.00759)
+COUNTIF(P22,"Cenaze Yardımı (İşçi-İş Kazası Sonucu)")*($DN$6-$DN$6*0.00759)
+COUNTIF(P22,"Cenaze Yardımı (İşçi-Tabii Sebepler Sonucu)")*($DN$7-$DN$7*0.00759)
+COUNTIF(P22,"Doğal Afet Yardımı")*($DN$8-$DN$8*0.00759)
+COUNTIF(P22,"Doğum Yardımı (İşveren)")*($DN$9-$DN$9*0.00759)
+COUNTIF(P22,"Eğitim Yardımı (Çocuk-Zorunlu Anaokulu)")*($DN$10*CI3)
+COUNTIF(P22,"Eğitim Yardımı (Çocuk-İlköğretim)")*($DN$11*CI3)
+COUNTIF(P22,"Eğitim Yardımı (Çocuk-Ortaöğretim)")*($DN$12*CI3)
+COUNTIF(P22,"Eğitim Yardımı (Çocuk-Lise)")*($DN$13*CI3)
+COUNTIF(P22,"Eğitim Yardımı (Çocuk-Yükseköğretim)")*($DN$14*CI3)
+COUNTIF(P22,"Eğitim Yardımı (Çocuk-Engelli)")*($DN$15*CI3)
+COUNTIF(P22,"Eğitim Yardımı (İşçi-Lise)")*($DN$16*CI3)
+COUNTIF(P22,"Eğitim Yardımı (İşçi-Yükseköğretim)")*($DN$17*CI3)
+COUNTIF(P22,"Evlilik Yardımı")*($DN$18-$DN$18*0.00759)
+COUNTIF(P22,"İş Kazası veya Meslek Hastalığı Tazminatı")*($DN$19-$DN$19*0.00759)
+COUNTIF(P22,"Sünnet Yardımı")*($DN$20*CI3)
+COUNTIF(P22,"Temizlik Yardımı")*($DN$21)
+COUNTIF(Q22,"Yok")*(0)
+COUNTIF(Q22,"Bayram Yardımı (Kurban)")*($DN$2)
+COUNTIF(Q22,"Bayram Yardımı (Ramazan)")*($DN$3)
+COUNTIF(Q22,"Cenaze Yardımı (Anne-Baba)")*($DN$4-$DN$4*0.00759)
+COUNTIF(Q22,"Cenaze Yardımı (Eş-Çocuk)")*($DN$5-$DN$5*0.00759)
+COUNTIF(Q22,"Cenaze Yardımı (İşçi-İş Kazası Sonucu)")*($DN$6-$DN$6*0.00759)
+COUNTIF(Q22,"Cenaze Yardımı (İşçi-Tabii Sebepler Sonucu)")*($DN$7-$DN$7*0.00759)
+COUNTIF(Q22,"Doğal Afet Yardımı")*($DN$8-$DN$8*0.00759)
+COUNTIF(Q22,"Doğum Yardımı (İşveren)")*($DN$9-$DN$9*0.00759)
+COUNTIF(Q22,"Eğitim Yardımı (Çocuk-Zorunlu Anaokulu)")*($DN$10*CI3)
+COUNTIF(Q22,"Eğitim Yardımı (Çocuk-İlköğretim)")*($DN$11*CI3)
+COUNTIF(Q22,"Eğitim Yardımı (Çocuk-Ortaöğretim)")*($DN$12*CI3)
+COUNTIF(Q22,"Eğitim Yardımı (Çocuk-Lise)")*($DN$13*CI3)
+COUNTIF(Q22,"Eğitim Yardımı (Çocuk-Yükseköğretim)")*($DN$14*CI3)
+COUNTIF(Q22,"Eğitim Yardımı (Çocuk-Engelli)")*($DN$15*CI3)
+COUNTIF(Q22,"Eğitim Yardımı (İşçi-Lise)")*($DN$16*CI3)
+COUNTIF(Q22,"Eğitim Yardımı (İşçi-Yükseköğretim)")*($DN$17*CI3)
+COUNTIF(Q22,"Evlilik Yardımı")*($DN$18-$DN$18*0.00759)
+COUNTIF(Q22,"İş Kazası veya Meslek Hastalığı Tazminatı")*($DN$19-$DN$19*0.00759)
+COUNTIF(Q22,"Sünnet Yardımı")*($DN$20*CI3)
+COUNTIF(Q22,"Temizlik Yardımı")*($DN$21)</f>
        <v>0</v>
      </c>
      <c r="CH7" s="33" t="s">
        <v>12</v>
      </c>
      <c r="CI7" s="25">
        <f>COUNTIF(CH7,"Var")*(AP11*0.9*-1)</f>
        <v>-227.34</v>
      </c>
      <c r="CJ7" s="25">
        <f>(CI7*-1)</f>
        <v>227.34</v>
      </c>
      <c r="CK7" s="37">
        <f ca="1">(DI18*R22+CE11)*-1</f>
        <v>0</v>
      </c>
      <c r="CL7" s="25">
        <f t="shared" ref="CL7" ca="1" si="12">(CL6/12)</f>
        <v>12241.830000000002</v>
      </c>
      <c r="CM7" s="25">
        <f t="shared" ref="CM7" ca="1" si="13">(CM6/12)</f>
        <v>2509.5751500000001</v>
      </c>
      <c r="CN7" s="25">
        <f t="shared" ref="CN7" ca="1" si="14">(CN6/12)</f>
        <v>122.4183</v>
      </c>
      <c r="CO7" s="25">
        <f t="shared" ref="CO7" ca="1" si="15">(CO6/12)</f>
        <v>-612.0915</v>
      </c>
      <c r="CP7" s="25">
        <f t="shared" ref="CP7" ca="1" si="16">(CP6/12)</f>
        <v>14261.731950000001</v>
      </c>
      <c r="CQ7" s="25">
        <f ca="1">(DG12*0.05*-1)</f>
        <v>-635.35550000000012</v>
      </c>
      <c r="CR7" s="25">
        <f ca="1">(DG12+DH12+DI12+CQ7)</f>
        <v>14803.783149999999</v>
      </c>
      <c r="CS7" s="25" t="s">
        <v>0</v>
      </c>
      <c r="CT7" s="25" t="s">
        <v>0</v>
      </c>
      <c r="CU7" s="25" t="s">
        <v>0</v>
      </c>
      <c r="CV7" s="25" t="s">
        <v>0</v>
      </c>
      <c r="CW7" s="25">
        <f>(0)</f>
        <v>0</v>
      </c>
      <c r="CX7" s="25">
        <f>(CH9+CN9+CO9-CW7)</f>
        <v>4253.3999999999996</v>
      </c>
      <c r="CY7" s="25">
        <f>SUM(CX$2:$CX7)</f>
        <v>25520.400000000001</v>
      </c>
      <c r="CZ7" s="29">
        <f t="shared" si="2"/>
        <v>0.15</v>
      </c>
      <c r="DA7" s="33">
        <f t="shared" si="3"/>
        <v>0</v>
      </c>
      <c r="DB7" s="25">
        <f ca="1">(DI2-DK2)</f>
        <v>7703.1100000000006</v>
      </c>
      <c r="DC7" s="25">
        <f ca="1">(DB7*0.00759*-1)</f>
        <v>-58.466604900000007</v>
      </c>
      <c r="DD7" s="25">
        <f ca="1">(DC7)</f>
        <v>-58.466604900000007</v>
      </c>
      <c r="DE7" s="25">
        <f ca="1">(AT23+BE2+BX2+BG27+BN11)</f>
        <v>752.8</v>
      </c>
      <c r="DF7" s="25">
        <f ca="1">(DI2-DE7)</f>
        <v>11954.310000000001</v>
      </c>
      <c r="DG7" s="25">
        <f ca="1">IF(DF7&gt;=BW11*7.5,BW11*7.5,DF7)</f>
        <v>11954.310000000001</v>
      </c>
      <c r="DH7" s="25">
        <f>(CT22)</f>
        <v>1100.07</v>
      </c>
      <c r="DI7" s="25">
        <f ca="1">(DW26+DH7)</f>
        <v>-2468.5100000000002</v>
      </c>
      <c r="DJ7" s="28">
        <f t="shared" si="1"/>
        <v>0.84240999999999999</v>
      </c>
      <c r="DK7" s="28">
        <f ca="1">(100+(100*0.00759*-1)+(100*0.14*-1)+(100*0.01*-1)+(100+100*0.14*-1+100*0.01*-1)*DV26*-1)/100</f>
        <v>0.61290999999999995</v>
      </c>
      <c r="DL7" s="28">
        <f ca="1">(100+(100*0.00759*-1)+(100)*DV26*-1)/100</f>
        <v>0.72241</v>
      </c>
      <c r="DM7" s="34" t="s">
        <v>64</v>
      </c>
      <c r="DN7" s="25">
        <v>0</v>
      </c>
      <c r="DX7" s="24">
        <v>5</v>
      </c>
      <c r="DY7" s="35">
        <v>2.5</v>
      </c>
      <c r="DZ7" s="36">
        <v>7.0000000000000007E-2</v>
      </c>
      <c r="EA7" s="49"/>
    </row>
    <row r="8" spans="1:131" ht="39.950000000000003" customHeight="1" x14ac:dyDescent="0.25">
      <c r="A8" s="70"/>
      <c r="B8" s="71"/>
      <c r="C8" s="57"/>
      <c r="D8" s="57"/>
      <c r="E8" s="72"/>
      <c r="F8" s="72"/>
      <c r="G8" s="57"/>
      <c r="H8" s="57"/>
      <c r="I8" s="57"/>
      <c r="J8" s="74"/>
      <c r="K8" s="57"/>
      <c r="L8" s="57"/>
      <c r="M8" s="57"/>
      <c r="N8" s="57"/>
      <c r="O8" s="57"/>
      <c r="P8" s="57"/>
      <c r="Q8" s="57"/>
      <c r="R8" s="57"/>
      <c r="S8" s="57"/>
      <c r="T8" s="57"/>
      <c r="U8" s="73"/>
      <c r="V8" s="15" t="s">
        <v>37</v>
      </c>
      <c r="W8" s="16">
        <f t="shared" ca="1" si="0"/>
        <v>17185.308451470555</v>
      </c>
      <c r="X8" s="16">
        <f ca="1">COUNTIF(Y1,"Ocak")*(BI1)
+COUNTIF(Y1,"Şubat")*(BI2)
+COUNTIF(Y1,"Mart")*(BI3)
+COUNTIF(Y1,"Nisan")*(BK14)
+COUNTIF(Y1,"Mayıs")*(BK15)
+COUNTIF(Y1,"Haziran")*(BK16)
+COUNTIF(Y1,"Temmuz")*(BH22)
+COUNTIF(Y1,"Ağustos")*(BH23)
+COUNTIF(Y1,"Eylül")*(BH24)
+COUNTIF(Y1,"Ekim")*(BH25)
+COUNTIF(Y1,"Kasım")*(BK17)
+COUNTIF(Y1,"Aralık")*(BK18)
+COUNTIF(Y1,"Yıllık Toplam")*(BK19)
+COUNTIF(Y1,"Yıllık Ortalama")*(BK20)</f>
        <v>17185.308451470555</v>
      </c>
      <c r="Y8" s="64"/>
      <c r="Z8" s="68"/>
      <c r="AA8" s="77" t="s">
        <v>30</v>
      </c>
      <c r="AB8" s="78" t="s">
        <v>131</v>
      </c>
      <c r="AC8" s="56"/>
      <c r="AD8" s="58"/>
      <c r="AE8" s="60"/>
      <c r="AF8" s="59"/>
      <c r="AG8" s="34" t="s">
        <v>83</v>
      </c>
      <c r="AH8" s="40">
        <v>276.16000000000003</v>
      </c>
      <c r="AI8" s="22">
        <v>325.89999999999998</v>
      </c>
      <c r="AJ8" s="25" t="s">
        <v>0</v>
      </c>
      <c r="AK8" s="24" t="s">
        <v>0</v>
      </c>
      <c r="AL8" s="25">
        <f>(17)</f>
        <v>17</v>
      </c>
      <c r="AM8" s="25">
        <f>(25.5)</f>
        <v>25.5</v>
      </c>
      <c r="AN8" s="38">
        <f>(0.074667)</f>
        <v>7.4666999999999997E-2</v>
      </c>
      <c r="AO8" s="38">
        <f>(0.105796)</f>
        <v>0.105796</v>
      </c>
      <c r="AP8" s="24" t="s">
        <v>0</v>
      </c>
      <c r="AQ8" s="34" t="s">
        <v>0</v>
      </c>
      <c r="AR8" s="25">
        <f ca="1">(AW26*DK7)</f>
        <v>4799.4530459999996</v>
      </c>
      <c r="AS8" s="25">
        <f>(0.58*C26)</f>
        <v>0</v>
      </c>
      <c r="AT8" s="25">
        <f ca="1">(AS8*DK7)</f>
        <v>0</v>
      </c>
      <c r="AU8" s="25">
        <f>(AT26/7.5*1.6*D26)</f>
        <v>0</v>
      </c>
      <c r="AX8" s="25">
        <f ca="1">(AY2*CH12)</f>
        <v>0</v>
      </c>
      <c r="AY8" s="25">
        <f>(AR12*E23)</f>
        <v>0</v>
      </c>
      <c r="AZ8" s="25">
        <f ca="1">(AY8*CH12)</f>
        <v>0</v>
      </c>
      <c r="BA8" s="25">
        <f>(AT12/7.5*0.3*F23)</f>
        <v>0</v>
      </c>
      <c r="BB8" s="25">
        <f ca="1">(BA8*CH12)</f>
        <v>0</v>
      </c>
      <c r="BC8" s="25">
        <f t="shared" si="4"/>
        <v>1209.78</v>
      </c>
      <c r="BD8" s="25">
        <f ca="1">(BF8+BG8+BJ8+BK8+AZ24)</f>
        <v>778.32643979999989</v>
      </c>
      <c r="BE8" s="25">
        <f t="shared" si="5"/>
        <v>1209.78</v>
      </c>
      <c r="BF8" s="25">
        <f t="shared" si="6"/>
        <v>1209.78</v>
      </c>
      <c r="BG8" s="25">
        <f t="shared" si="7"/>
        <v>-9.1822302000000011</v>
      </c>
      <c r="BH8" s="25">
        <f t="shared" si="11"/>
        <v>336.44</v>
      </c>
      <c r="BI8" s="25">
        <f t="shared" si="8"/>
        <v>873.33999999999992</v>
      </c>
      <c r="BJ8" s="25">
        <f t="shared" si="9"/>
        <v>-122.2676</v>
      </c>
      <c r="BK8" s="25">
        <f t="shared" si="10"/>
        <v>-8.7333999999999996</v>
      </c>
      <c r="BL8" s="25">
        <f>(0)</f>
        <v>0</v>
      </c>
      <c r="BM8" s="25">
        <f ca="1">(BM10+BM11+BM12+BM13+CE4+CE5+CE6+CE7+BM4+BM5+BM6+BM7)</f>
        <v>0</v>
      </c>
      <c r="BN8" s="25">
        <f>(BN10+BN11+BN12+BN13+CF4+CF5+CF6+CF7+BN4+BN5+BN6+BN7)</f>
        <v>0</v>
      </c>
      <c r="BO8" s="25">
        <f ca="1">(BO10+BO11+BO12+BO13+CG4+CG5+CG6+CG7+BO4+BO5+BO6+BO7)</f>
        <v>0</v>
      </c>
      <c r="BP8" s="41" t="s">
        <v>0</v>
      </c>
      <c r="BQ8" s="25">
        <f>(BQ10+BQ11+BQ12+BQ13+CI4+CI5+CI6+CI7+BQ4+BQ5+BQ6+BQ7)</f>
        <v>-2519.748</v>
      </c>
      <c r="BR8" s="25">
        <f>(BR10+BR11+BR12+BR13+CJ4+CJ5+CJ6+CJ7+BR4+BR5+BR6+BR7)</f>
        <v>2519.748</v>
      </c>
      <c r="BS8" s="25">
        <f ca="1">(BS10+BS11+BS12+BS13+CK4+CK5+CK6+CK7+BS4+BS5+BS6+BS7)</f>
        <v>0</v>
      </c>
      <c r="BT8" s="25">
        <f>(BT10+BT11+BT12+BT13+CE8+CE9+CE10+CE11+BT4+BT5+BT6+BT7)</f>
        <v>0</v>
      </c>
      <c r="BU8" s="25">
        <f ca="1">(BU10+BU11+BU12+BU13+CF8+CF9+CF10+CF11+BU4+BU5+BU6+BU7)</f>
        <v>0</v>
      </c>
      <c r="BV8" s="37" t="s">
        <v>0</v>
      </c>
      <c r="BW8" s="25">
        <f t="shared" ref="BW8:CD8" si="17">(BW10+BW11+BW12+BW13+CH8+CH9+CH10+CH11+BW4+BW5+BW6+BW7)</f>
        <v>68850</v>
      </c>
      <c r="BX8" s="25">
        <f t="shared" si="17"/>
        <v>68850</v>
      </c>
      <c r="BY8" s="25">
        <f t="shared" si="17"/>
        <v>0</v>
      </c>
      <c r="BZ8" s="25">
        <f t="shared" si="17"/>
        <v>0</v>
      </c>
      <c r="CA8" s="25">
        <f t="shared" si="17"/>
        <v>0</v>
      </c>
      <c r="CB8" s="25">
        <f t="shared" si="17"/>
        <v>68850</v>
      </c>
      <c r="CC8" s="25">
        <f t="shared" si="17"/>
        <v>-9639.0000000000036</v>
      </c>
      <c r="CD8" s="25">
        <f t="shared" si="17"/>
        <v>-688.50000000000023</v>
      </c>
      <c r="CE8" s="37">
        <f>(AN19+AY4+BA4+BC4-BH4)*(R19*-1)</f>
        <v>0</v>
      </c>
      <c r="CF8" s="37">
        <f ca="1">(CK4+CE8)</f>
        <v>0</v>
      </c>
      <c r="CG8" s="25" t="s">
        <v>0</v>
      </c>
      <c r="CH8" s="25">
        <f>(5004)</f>
        <v>5004</v>
      </c>
      <c r="CI8" s="25">
        <f>(5004)</f>
        <v>5004</v>
      </c>
      <c r="CJ8" s="25">
        <f>(CH8-CI8)</f>
        <v>0</v>
      </c>
      <c r="CK8" s="25">
        <f>(CJ8*0.00759*-1)</f>
        <v>0</v>
      </c>
      <c r="CL8" s="25">
        <f>(0)</f>
        <v>0</v>
      </c>
      <c r="CM8" s="25">
        <f>(CH8-CL8)</f>
        <v>5004</v>
      </c>
      <c r="CN8" s="25">
        <f>(CM8*0.14*-1)</f>
        <v>-700.56000000000006</v>
      </c>
      <c r="CO8" s="25">
        <f>(CM8*0.01*-1)</f>
        <v>-50.04</v>
      </c>
      <c r="CQ8" s="25">
        <f ca="1">(DG13*0.05*-1)</f>
        <v>-474.84050000000008</v>
      </c>
      <c r="CR8" s="25">
        <f ca="1">(DG13+DH13+DI13+CQ8)</f>
        <v>11063.783650000001</v>
      </c>
      <c r="CS8" s="25" t="s">
        <v>0</v>
      </c>
      <c r="CT8" s="25" t="s">
        <v>0</v>
      </c>
      <c r="CU8" s="25" t="s">
        <v>0</v>
      </c>
      <c r="CV8" s="25" t="s">
        <v>0</v>
      </c>
      <c r="CW8" s="25">
        <f>(0)</f>
        <v>0</v>
      </c>
      <c r="CX8" s="25">
        <f>(CH10+CN10+CO10-CW8)</f>
        <v>5500.3499999999995</v>
      </c>
      <c r="CY8" s="25">
        <f>SUM(CX$2:$CX8)</f>
        <v>31020.75</v>
      </c>
      <c r="CZ8" s="29">
        <f t="shared" si="2"/>
        <v>0.15</v>
      </c>
      <c r="DA8" s="33">
        <f t="shared" si="3"/>
        <v>0</v>
      </c>
      <c r="DB8" s="25">
        <f ca="1">(DI3-DK3)</f>
        <v>4492.8100000000013</v>
      </c>
      <c r="DC8" s="25">
        <f ca="1">(DB8*0.00759*-1)</f>
        <v>-34.100427900000014</v>
      </c>
      <c r="DD8" s="25">
        <f ca="1">(DC8)</f>
        <v>-34.100427900000014</v>
      </c>
      <c r="DE8" s="25">
        <f ca="1">(AT24+BE3+BX3+BG28+BN12)</f>
        <v>752.8</v>
      </c>
      <c r="DF8" s="25">
        <f ca="1">(DI3-DE8)</f>
        <v>8744.010000000002</v>
      </c>
      <c r="DG8" s="25">
        <f ca="1">IF(DF8&gt;=BW12*7.5,BW12*7.5,DF8)</f>
        <v>8744.010000000002</v>
      </c>
      <c r="DH8" s="25">
        <f>(DB11+DB12+DB13+DB14+DB15+CF1+CF2+CF3+CE12+CE13+DH6+DH7)</f>
        <v>10104.5</v>
      </c>
      <c r="DI8" s="25">
        <f ca="1">(DC11+DC12+DC13+DC14+DC15+CG1+CG2+CG3+CF12+CF13+DI6+DI7)</f>
        <v>-14957.97</v>
      </c>
      <c r="DJ8" s="24" t="s">
        <v>0</v>
      </c>
      <c r="DK8" s="24" t="s">
        <v>0</v>
      </c>
      <c r="DL8" s="24" t="s">
        <v>0</v>
      </c>
      <c r="DM8" s="34" t="s">
        <v>3</v>
      </c>
      <c r="DN8" s="25">
        <v>7594.4</v>
      </c>
      <c r="DX8" s="24">
        <v>6</v>
      </c>
      <c r="DY8" s="35">
        <v>3</v>
      </c>
      <c r="DZ8" s="36">
        <v>0.08</v>
      </c>
      <c r="EA8" s="49"/>
    </row>
    <row r="9" spans="1:131" ht="39.950000000000003" customHeight="1" x14ac:dyDescent="0.25">
      <c r="A9" s="70"/>
      <c r="B9" s="71"/>
      <c r="C9" s="57"/>
      <c r="D9" s="57"/>
      <c r="E9" s="72"/>
      <c r="F9" s="72"/>
      <c r="G9" s="57"/>
      <c r="H9" s="57"/>
      <c r="I9" s="57"/>
      <c r="J9" s="74"/>
      <c r="K9" s="57"/>
      <c r="L9" s="57"/>
      <c r="M9" s="57"/>
      <c r="N9" s="57"/>
      <c r="O9" s="57"/>
      <c r="P9" s="57"/>
      <c r="Q9" s="57"/>
      <c r="R9" s="57"/>
      <c r="S9" s="57"/>
      <c r="T9" s="57"/>
      <c r="U9" s="73"/>
      <c r="V9" s="15" t="s">
        <v>9</v>
      </c>
      <c r="W9" s="16">
        <f t="shared" ca="1" si="0"/>
        <v>6157.1129101076149</v>
      </c>
      <c r="X9" s="16">
        <f ca="1">COUNTIF(Y1,"Ocak")*(BL1)
+COUNTIF(Y1,"Şubat")*(BL2)
+COUNTIF(Y1,"Mart")*(BL3)
+COUNTIF(Y1,"Nisan")*(BN14)
+COUNTIF(Y1,"Mayıs")*(BN15)
+COUNTIF(Y1,"Haziran")*(BN16)
+COUNTIF(Y1,"Temmuz")*(BK22)
+COUNTIF(Y1,"Ağustos")*(BK23)
+COUNTIF(Y1,"Eylül")*(BK24)
+COUNTIF(Y1,"Ekim")*(BK25)
+COUNTIF(Y1,"Kasım")*(BN17)
+COUNTIF(Y1,"Aralık")*(BN18)
+COUNTIF(Y1,"Yıllık Toplam")*(BN19)
+COUNTIF(Y1,"Yıllık Ortalama")*(BN20)</f>
        <v>6157.1129101076149</v>
      </c>
      <c r="Y9" s="64"/>
      <c r="Z9" s="68"/>
      <c r="AA9" s="77" t="s">
        <v>47</v>
      </c>
      <c r="AB9" s="79" t="s">
        <v>137</v>
      </c>
      <c r="AC9" s="56"/>
      <c r="AD9" s="58"/>
      <c r="AE9" s="60"/>
      <c r="AF9" s="59"/>
      <c r="AG9" s="34" t="s">
        <v>84</v>
      </c>
      <c r="AH9" s="40">
        <v>276.16000000000003</v>
      </c>
      <c r="AI9" s="22">
        <v>325.89999999999998</v>
      </c>
      <c r="AJ9" s="23">
        <f>(6%)</f>
        <v>0.06</v>
      </c>
      <c r="AK9" s="24" t="s">
        <v>0</v>
      </c>
      <c r="AL9" s="32">
        <f>(10.01)</f>
        <v>10.01</v>
      </c>
      <c r="AM9" s="32">
        <f>(12.94)</f>
        <v>12.94</v>
      </c>
      <c r="AN9" s="41">
        <f>($AN$10*2)</f>
        <v>19000</v>
      </c>
      <c r="AO9" s="24" t="s">
        <v>0</v>
      </c>
      <c r="AP9" s="25">
        <f>($AN$6*$AN$9)</f>
        <v>4473.4549999999999</v>
      </c>
      <c r="AQ9" s="25">
        <f>($AO$6*$AN$9)</f>
        <v>6338.4569999999994</v>
      </c>
      <c r="AR9" s="25">
        <f ca="1">(AK15+AK16+AK17+AK18+AK19+AK20+AK21+AV1+AV2+AV3+AR7+AR8)</f>
        <v>56279.862100810584</v>
      </c>
      <c r="AS9" s="25">
        <f>(AL15+AL16+AL17+AL18+AL19+AL20+AL21+AW1+AW2+AW3+AS7+AS8)</f>
        <v>0</v>
      </c>
      <c r="AT9" s="25">
        <f ca="1">(AM15+AM16+AM17+AM18+AM19+AM20+AM21+AX1+AX2+AX3+AT7+AT8)</f>
        <v>0</v>
      </c>
      <c r="AU9" s="25">
        <f>(AN15+AN16+AN17+AN18+AN19+AN20+AN21+AY1+AY2+AY3+AU7+AU8)</f>
        <v>0</v>
      </c>
      <c r="AX9" s="25">
        <f ca="1">(AY3*CH13)</f>
        <v>0</v>
      </c>
      <c r="AY9" s="25">
        <f>(AR13*E24)</f>
        <v>0</v>
      </c>
      <c r="AZ9" s="25">
        <f ca="1">(AY9*CH13)</f>
        <v>0</v>
      </c>
      <c r="BA9" s="25">
        <f>(AT13/7.5*0.3*F24)</f>
        <v>0</v>
      </c>
      <c r="BB9" s="25">
        <f ca="1">(BA9*CH13)</f>
        <v>0</v>
      </c>
      <c r="BC9" s="25">
        <f t="shared" si="4"/>
        <v>1209.78</v>
      </c>
      <c r="BD9" s="25">
        <f ca="1">(BF9+BG9+BJ9+BK9+AZ25)</f>
        <v>778.32643979999989</v>
      </c>
      <c r="BE9" s="25">
        <f t="shared" si="5"/>
        <v>1209.78</v>
      </c>
      <c r="BF9" s="25">
        <f t="shared" si="6"/>
        <v>1209.78</v>
      </c>
      <c r="BG9" s="25">
        <f t="shared" si="7"/>
        <v>-9.1822302000000011</v>
      </c>
      <c r="BH9" s="25">
        <f t="shared" si="11"/>
        <v>336.44</v>
      </c>
      <c r="BI9" s="25">
        <f t="shared" si="8"/>
        <v>873.33999999999992</v>
      </c>
      <c r="BJ9" s="25">
        <f t="shared" si="9"/>
        <v>-122.2676</v>
      </c>
      <c r="BK9" s="25">
        <f t="shared" si="10"/>
        <v>-8.7333999999999996</v>
      </c>
      <c r="BL9" s="25">
        <f>(0)</f>
        <v>0</v>
      </c>
      <c r="BM9" s="25">
        <f t="shared" ref="BM9" ca="1" si="18">BM8/12</f>
        <v>0</v>
      </c>
      <c r="BN9" s="25">
        <f t="shared" ref="BN9" si="19">BN8/12</f>
        <v>0</v>
      </c>
      <c r="BO9" s="25">
        <f t="shared" ref="BO9" ca="1" si="20">BO8/12</f>
        <v>0</v>
      </c>
      <c r="BP9" s="41" t="s">
        <v>0</v>
      </c>
      <c r="BQ9" s="25">
        <f t="shared" ref="BQ9:BR9" si="21">(BQ8/12)</f>
        <v>-209.97900000000001</v>
      </c>
      <c r="BR9" s="25">
        <f t="shared" si="21"/>
        <v>209.97900000000001</v>
      </c>
      <c r="BS9" s="25">
        <f t="shared" ref="BS9:BU9" ca="1" si="22">(BS8/12)</f>
        <v>0</v>
      </c>
      <c r="BT9" s="25">
        <f t="shared" si="22"/>
        <v>0</v>
      </c>
      <c r="BU9" s="25">
        <f t="shared" ca="1" si="22"/>
        <v>0</v>
      </c>
      <c r="BV9" s="25" t="s">
        <v>0</v>
      </c>
      <c r="BW9" s="25">
        <f t="shared" ref="BW9" si="23">(BW8/12)</f>
        <v>5737.5</v>
      </c>
      <c r="BX9" s="25">
        <f t="shared" ref="BX9" si="24">(BX8/12)</f>
        <v>5737.5</v>
      </c>
      <c r="BY9" s="25">
        <f t="shared" ref="BY9" si="25">(BY8/12)</f>
        <v>0</v>
      </c>
      <c r="BZ9" s="25">
        <f t="shared" ref="BZ9" si="26">(BZ8/12)</f>
        <v>0</v>
      </c>
      <c r="CA9" s="25">
        <f t="shared" ref="CA9" si="27">(CA8/12)</f>
        <v>0</v>
      </c>
      <c r="CB9" s="25">
        <f t="shared" ref="CB9" si="28">(CB8/12)</f>
        <v>5737.5</v>
      </c>
      <c r="CC9" s="25">
        <f t="shared" ref="CC9" si="29">(CC8/12)</f>
        <v>-803.25000000000034</v>
      </c>
      <c r="CD9" s="25">
        <f t="shared" ref="CD9" si="30">(CD8/12)</f>
        <v>-57.375000000000021</v>
      </c>
      <c r="CE9" s="37">
        <f>(AN20+AY5+BA5+BC5-BH5)*(R20*-1)</f>
        <v>0</v>
      </c>
      <c r="CF9" s="37">
        <f ca="1">(CK5+CE9)</f>
        <v>0</v>
      </c>
      <c r="CG9" s="25" t="s">
        <v>0</v>
      </c>
      <c r="CH9" s="25">
        <f>(5004)</f>
        <v>5004</v>
      </c>
      <c r="CI9" s="25">
        <f>(5004)</f>
        <v>5004</v>
      </c>
      <c r="CJ9" s="25">
        <f>(CH9-CI9)</f>
        <v>0</v>
      </c>
      <c r="CK9" s="25">
        <f>(CJ9*0.00759*-1)</f>
        <v>0</v>
      </c>
      <c r="CL9" s="25">
        <f>(0)</f>
        <v>0</v>
      </c>
      <c r="CM9" s="25">
        <f>(CH9-CL9)</f>
        <v>5004</v>
      </c>
      <c r="CN9" s="25">
        <f>(CM9*0.14*-1)</f>
        <v>-700.56000000000006</v>
      </c>
      <c r="CO9" s="25">
        <f>(CM9*0.01*-1)</f>
        <v>-50.04</v>
      </c>
      <c r="CQ9" s="25">
        <f ca="1">(DG14*0.05*-1)</f>
        <v>-656.75750000000016</v>
      </c>
      <c r="CR9" s="25">
        <f ca="1">(DG14+DH14+DI14+CQ9)</f>
        <v>15302.449750000003</v>
      </c>
      <c r="CS9" s="25" t="s">
        <v>0</v>
      </c>
      <c r="CT9" s="25" t="s">
        <v>0</v>
      </c>
      <c r="CU9" s="25" t="s">
        <v>0</v>
      </c>
      <c r="CV9" s="25" t="s">
        <v>0</v>
      </c>
      <c r="CW9" s="25">
        <f>(0)</f>
        <v>0</v>
      </c>
      <c r="CX9" s="25">
        <f>(CH11+CN11+CO11-CW9)</f>
        <v>5500.3499999999995</v>
      </c>
      <c r="CY9" s="25">
        <f>SUM(CX$2:$CX9)</f>
        <v>36521.1</v>
      </c>
      <c r="CZ9" s="29">
        <f t="shared" si="2"/>
        <v>0.2</v>
      </c>
      <c r="DA9" s="33">
        <f t="shared" si="3"/>
        <v>1</v>
      </c>
      <c r="DB9" s="25">
        <f ca="1">(DI4-DK4)</f>
        <v>8131.1500000000015</v>
      </c>
      <c r="DC9" s="25">
        <f ca="1">(DB9*0.00759*-1)</f>
        <v>-61.715428500000016</v>
      </c>
      <c r="DD9" s="25">
        <f ca="1">(DC9)</f>
        <v>-61.715428500000016</v>
      </c>
      <c r="DE9" s="25">
        <f ca="1">(AT25+BG14+BZ14+CQ14+BN13)</f>
        <v>752.8</v>
      </c>
      <c r="DF9" s="25">
        <f ca="1">(DI4-DE9)</f>
        <v>12382.350000000002</v>
      </c>
      <c r="DG9" s="25">
        <f ca="1">IF(DF9&gt;=BW13*7.5,BW13*7.5,DF9)</f>
        <v>12382.350000000002</v>
      </c>
      <c r="DH9" s="25">
        <f t="shared" ref="DH9" si="31">(DH8/12)</f>
        <v>842.04166666666663</v>
      </c>
      <c r="DI9" s="25">
        <f t="shared" ref="DI9" ca="1" si="32">(DI8/12)</f>
        <v>-1246.4974999999999</v>
      </c>
      <c r="DJ9" s="41" t="s">
        <v>0</v>
      </c>
      <c r="DK9" s="41" t="s">
        <v>0</v>
      </c>
      <c r="DL9" s="41" t="s">
        <v>0</v>
      </c>
      <c r="DM9" s="34" t="s">
        <v>114</v>
      </c>
      <c r="DN9" s="25">
        <v>1312.64</v>
      </c>
      <c r="DX9" s="24">
        <v>7</v>
      </c>
      <c r="DY9" s="35">
        <v>3.5</v>
      </c>
      <c r="DZ9" s="36">
        <v>0.09</v>
      </c>
      <c r="EA9" s="49"/>
    </row>
    <row r="10" spans="1:131" ht="39.950000000000003" customHeight="1" x14ac:dyDescent="0.25">
      <c r="A10" s="70"/>
      <c r="B10" s="71"/>
      <c r="C10" s="57"/>
      <c r="D10" s="57"/>
      <c r="E10" s="72"/>
      <c r="F10" s="72"/>
      <c r="G10" s="57"/>
      <c r="H10" s="57"/>
      <c r="I10" s="57"/>
      <c r="J10" s="74"/>
      <c r="K10" s="57"/>
      <c r="L10" s="57"/>
      <c r="M10" s="57"/>
      <c r="N10" s="57"/>
      <c r="O10" s="57"/>
      <c r="P10" s="57"/>
      <c r="Q10" s="57"/>
      <c r="R10" s="57"/>
      <c r="S10" s="57"/>
      <c r="T10" s="57"/>
      <c r="U10" s="73"/>
      <c r="V10" s="15" t="s">
        <v>123</v>
      </c>
      <c r="W10" s="16">
        <f t="shared" ref="W10" ca="1" si="33">IF(X10&gt;0,X10,X10*-1)</f>
        <v>3078.5166418439153</v>
      </c>
      <c r="X10" s="16">
        <f ca="1">COUNTIF(Y1,"Ocak")*(BO1)
+COUNTIF(Y1,"Şubat")*(BO2)
+COUNTIF(Y1,"Mart")*(BO3)
+COUNTIF(Y1,"Nisan")*(BQ14)
+COUNTIF(Y1,"Mayıs")*(BQ15)
+COUNTIF(Y1,"Haziran")*(BQ16)
+COUNTIF(Y1,"Temmuz")*(BN22)
+COUNTIF(Y1,"Ağustos")*(BN23)
+COUNTIF(Y1,"Eylül")*(BN24)
+COUNTIF(Y1,"Ekim")*(BN25)
+COUNTIF(Y1,"Kasım")*(BQ17)
+COUNTIF(Y1,"Aralık")*(BQ18)
+COUNTIF(Y1,"Yıllık Toplam")*(BQ19)
+COUNTIF(Y1,"Yıllık Ortalama")*(BQ20)</f>
        <v>3078.5166418439153</v>
      </c>
      <c r="Y10" s="64"/>
      <c r="Z10" s="68"/>
      <c r="AA10" s="77" t="s">
        <v>42</v>
      </c>
      <c r="AB10" s="78" t="s">
        <v>138</v>
      </c>
      <c r="AC10" s="56"/>
      <c r="AD10" s="58"/>
      <c r="AE10" s="60"/>
      <c r="AF10" s="59"/>
      <c r="AG10" s="34" t="s">
        <v>85</v>
      </c>
      <c r="AH10" s="40">
        <v>276.16000000000003</v>
      </c>
      <c r="AI10" s="22">
        <v>325.89999999999998</v>
      </c>
      <c r="AJ10" s="25" t="s">
        <v>0</v>
      </c>
      <c r="AK10" s="24" t="s">
        <v>0</v>
      </c>
      <c r="AL10" s="25">
        <f>(34)</f>
        <v>34</v>
      </c>
      <c r="AM10" s="25">
        <f>(51)</f>
        <v>51</v>
      </c>
      <c r="AN10" s="41">
        <f>(9500)</f>
        <v>9500</v>
      </c>
      <c r="AO10" s="24" t="s">
        <v>0</v>
      </c>
      <c r="AP10" s="25">
        <f>($AN$6*$AN$10)</f>
        <v>2236.7275</v>
      </c>
      <c r="AQ10" s="25">
        <f>($AO$6*$AN$10)</f>
        <v>3169.2284999999997</v>
      </c>
      <c r="AR10" s="25">
        <f ca="1">(AR9/12)</f>
        <v>4689.988508400882</v>
      </c>
      <c r="AS10" s="25">
        <f t="shared" ref="AS10:AT10" si="34">(AS9/12)</f>
        <v>0</v>
      </c>
      <c r="AT10" s="25">
        <f t="shared" ca="1" si="34"/>
        <v>0</v>
      </c>
      <c r="AU10" s="25">
        <f>(AU9/12)</f>
        <v>0</v>
      </c>
      <c r="AX10" s="25">
        <f ca="1">(AU7*DK6)</f>
        <v>0</v>
      </c>
      <c r="AY10" s="25">
        <f>(AR14*E25)</f>
        <v>0</v>
      </c>
      <c r="AZ10" s="25">
        <f ca="1">(AY10*DK6)</f>
        <v>0</v>
      </c>
      <c r="BA10" s="25">
        <f>(AT14/7.5*0.3*F25)</f>
        <v>0</v>
      </c>
      <c r="BB10" s="25">
        <f ca="1">(BA10*DK6)</f>
        <v>0</v>
      </c>
      <c r="BC10" s="25">
        <f t="shared" si="4"/>
        <v>1209.78</v>
      </c>
      <c r="BD10" s="25">
        <f ca="1">(BF10+BG10+BJ10+BK10+BC17)</f>
        <v>778.32643979999989</v>
      </c>
      <c r="BE10" s="25">
        <f t="shared" si="5"/>
        <v>1209.78</v>
      </c>
      <c r="BF10" s="25">
        <f t="shared" si="6"/>
        <v>1209.78</v>
      </c>
      <c r="BG10" s="25">
        <f t="shared" si="7"/>
        <v>-9.1822302000000011</v>
      </c>
      <c r="BH10" s="25">
        <f t="shared" si="11"/>
        <v>336.44</v>
      </c>
      <c r="BI10" s="25">
        <f t="shared" si="8"/>
        <v>873.33999999999992</v>
      </c>
      <c r="BJ10" s="25">
        <f t="shared" si="9"/>
        <v>-122.2676</v>
      </c>
      <c r="BK10" s="25">
        <f t="shared" si="10"/>
        <v>-8.7333999999999996</v>
      </c>
      <c r="BL10" s="25">
        <f>(0)</f>
        <v>0</v>
      </c>
      <c r="BM10" s="37">
        <f ca="1">COUNTIF(O15,"Yok")*(0)
+COUNTIF(O15,"Bayram Yardımı (Kurban)")*($DN$2/DE11)
+COUNTIF(O15,"Bayram Yardımı (Ramazan)")*($DN$3/DE11)
+COUNTIF(O15,"Cenaze Yardımı (Anne-Baba)")*($DN$4)
+COUNTIF(O15,"Cenaze Yardımı (Eş-Çocuk)")*($DN$5)
+COUNTIF(O15,"Cenaze Yardımı (İşçi-İş Kazası Sonucu)")*($DN$6)
+COUNTIF(O15,"Cenaze Yardımı (İşçi-Tabii Sebepler Sonucu)")*($DN$7)
+COUNTIF(O15,"Doğal Afet Yardımı")*($DN$8)
+COUNTIF(O15,"Doğum Yardımı (İşveren)")*($DN$9)
+COUNTIF(O15,"Eğitim Yardımı (Çocuk-Zorunlu Anaokulu)")*($DN$10)
+COUNTIF(O15,"Eğitim Yardımı (Çocuk-İlköğretim)")*($DN$11)
+COUNTIF(O15,"Eğitim Yardımı (Çocuk-Ortaöğretim)")*($DN$12)
+COUNTIF(O15,"Eğitim Yardımı (Çocuk-Lise)")*($DN$13)
+COUNTIF(O15,"Eğitim Yardımı (Çocuk-Yükseköğretim)")*($DN$14)
+COUNTIF(O15,"Eğitim Yardımı (Çocuk-Engelli)")*($DN$15)
+COUNTIF(O15,"Eğitim Yardımı (İşçi-Lise)")*($DN$16)
+COUNTIF(O15,"Eğitim Yardımı (İşçi-Yükseköğretim)")*($DN$17)
+COUNTIF(O15,"Evlilik Yardımı")*($DN$18)
+COUNTIF(O15,"İş Kazası veya Meslek Hastalığı Tazminatı")*($DN$19)
+COUNTIF(O15,"Sünnet Yardımı")*($DN$20)
+COUNTIF(O15,"Temizlik Yardımı")*($DN$21/DE11)
+COUNTIF(P15,"Yok")*(0)
+COUNTIF(P15,"Bayram Yardımı (Kurban)")*($DN$2/DE11)
+COUNTIF(P15,"Bayram Yardımı (Ramazan)")*($DN$3/DE11)
+COUNTIF(P15,"Cenaze Yardımı (Anne-Baba)")*($DN$4)
+COUNTIF(P15,"Cenaze Yardımı (Eş-Çocuk)")*($DN$5)
+COUNTIF(P15,"Cenaze Yardımı (İşçi-İş Kazası Sonucu)")*($DN$6)
+COUNTIF(P15,"Cenaze Yardımı (İşçi-Tabii Sebepler Sonucu)")*($DN$7)
+COUNTIF(P15,"Doğal Afet Yardımı")*($DN$8)
+COUNTIF(P15,"Doğum Yardımı (İşveren)")*($DN$9)
+COUNTIF(P15,"Eğitim Yardımı (Çocuk-Zorunlu Anaokulu)")*($DN$10)
+COUNTIF(P15,"Eğitim Yardımı (Çocuk-İlköğretim)")*($DN$11)
+COUNTIF(P15,"Eğitim Yardımı (Çocuk-Ortaöğretim)")*($DN$12)
+COUNTIF(P15,"Eğitim Yardımı (Çocuk-Lise)")*($DN$13)
+COUNTIF(P15,"Eğitim Yardımı (Çocuk-Yükseköğretim)")*($DN$14)
+COUNTIF(P15,"Eğitim Yardımı (Çocuk-Engelli)")*($DN$15)
+COUNTIF(P15,"Eğitim Yardımı (İşçi-Lise)")*($DN$16)
+COUNTIF(P15,"Eğitim Yardımı (İşçi-Yükseköğretim)")*($DN$17)
+COUNTIF(P15,"Evlilik Yardımı")*($DN$18)
+COUNTIF(P15,"İş Kazası veya Meslek Hastalığı Tazminatı")*($DN$19)
+COUNTIF(P15,"Sünnet Yardımı")*($DN$20)
+COUNTIF(P15,"Temizlik Yardımı")*($DN$21/DE11)
+COUNTIF(Q15,"Yok")*(0)
+COUNTIF(Q15,"Bayram Yardımı (Kurban)")*($DN$2/DE11)
+COUNTIF(Q15,"Bayram Yardımı (Ramazan)")*($DN$3/DE11)
+COUNTIF(Q15,"Cenaze Yardımı (Anne-Baba)")*($DN$4)
+COUNTIF(Q15,"Cenaze Yardımı (Eş-Çocuk)")*($DN$5)
+COUNTIF(Q15,"Cenaze Yardımı (İşçi-İş Kazası Sonucu)")*($DN$6)
+COUNTIF(Q15,"Cenaze Yardımı (İşçi-Tabii Sebepler Sonucu)")*($DN$7)
+COUNTIF(Q15,"Doğal Afet Yardımı")*($DN$8)
+COUNTIF(Q15,"Doğum Yardımı (İşveren)")*($DN$9)
+COUNTIF(Q15,"Eğitim Yardımı (Çocuk-Zorunlu Anaokulu)")*($DN$10)
+COUNTIF(Q15,"Eğitim Yardımı (Çocuk-İlköğretim)")*($DN$11)
+COUNTIF(Q15,"Eğitim Yardımı (Çocuk-Ortaöğretim)")*($DN$12)
+COUNTIF(Q15,"Eğitim Yardımı (Çocuk-Lise)")*($DN$13)
+COUNTIF(Q15,"Eğitim Yardımı (Çocuk-Yükseköğretim)")*($DN$14)
+COUNTIF(Q15,"Eğitim Yardımı (Çocuk-Engelli)")*($DN$15)
+COUNTIF(Q15,"Eğitim Yardımı (İşçi-Lise)")*($DN$16)
+COUNTIF(Q15,"Eğitim Yardımı (İşçi-Yükseköğretim)")*($DN$17)
+COUNTIF(Q15,"Evlilik Yardımı")*($DN$18)
+COUNTIF(Q15,"İş Kazası veya Meslek Hastalığı Tazminatı")*($DN$19)
+COUNTIF(Q15,"Sünnet Yardımı")*($DN$20)
+COUNTIF(Q15,"Temizlik Yardımı")*($DN$21/DE11)</f>
        <v>0</v>
      </c>
      <c r="BN10" s="37">
        <f>COUNTIF(O15,"Yok")*(0)
+COUNTIF(O15,"Bayram Yardımı (Kurban)")*(0)
+COUNTIF(O15,"Bayram Yardımı (Ramazan)")*(0)
+COUNTIF(O15,"Cenaze Yardımı (Anne-Baba)")*($DN$4)
+COUNTIF(O15,"Cenaze Yardımı (Eş-Çocuk)")*($DN$5)
+COUNTIF(O15,"Cenaze Yardımı (İşçi-İş Kazası Sonucu)")*($DN$6)
+COUNTIF(O15,"Cenaze Yardımı (İşçi-Tabii Sebepler Sonucu)")*($DN$7)
+COUNTIF(O15,"Doğal Afet Yardımı")*($DN$8)
+COUNTIF(O15,"Doğum Yardımı (İşveren)")*($DN$9)
+COUNTIF(O15,"Eğitim Yardımı (Çocuk-Zorunlu Anaokulu)")*(0)
+COUNTIF(O15,"Eğitim Yardımı (Çocuk-İlköğretim)")*(0)
+COUNTIF(O15,"Eğitim Yardımı (Çocuk-Ortaöğretim)")*(0)
+COUNTIF(O15,"Eğitim Yardımı (Çocuk-Lise)")*(0)
+COUNTIF(O15,"Eğitim Yardımı (Çocuk-Yükseköğretim)")*(0)
+COUNTIF(O15,"Eğitim Yardımı (Çocuk-Engelli)")*(0)
+COUNTIF(O15,"Eğitim Yardımı (İşçi-Lise)")*(0)
+COUNTIF(O15,"Eğitim Yardımı (İşçi-Yükseköğretim)")*(0)
+COUNTIF(O15,"Evlilik Yardımı")*($DN$18)
+COUNTIF(O15,"İş Kazası veya Meslek Hastalığı Tazminatı")*($DN$19)
+COUNTIF(O15,"Sünnet Yardımı")*(0)
+COUNTIF(O15,"Temizlik Yardımı")*(0)
+COUNTIF(P15,"Yok")*(0)
+COUNTIF(P15,"Bayram Yardımı (Kurban)")*(0)
+COUNTIF(P15,"Bayram Yardımı (Ramazan)")*(0)
+COUNTIF(P15,"Cenaze Yardımı (Anne-Baba)")*($DN$4)
+COUNTIF(P15,"Cenaze Yardımı (Eş-Çocuk)")*($DN$5)
+COUNTIF(P15,"Cenaze Yardımı (İşçi-İş Kazası Sonucu)")*($DN$6)
+COUNTIF(P15,"Cenaze Yardımı (İşçi-Tabii Sebepler Sonucu)")*($DN$7)
+COUNTIF(P15,"Doğal Afet Yardımı")*($DN$8)
+COUNTIF(P15,"Doğum Yardımı (İşveren)")*($DN$9)
+COUNTIF(P15,"Eğitim Yardımı (Çocuk-Zorunlu Anaokulu)")*(0)
+COUNTIF(P15,"Eğitim Yardımı (Çocuk-İlköğretim)")*(0)
+COUNTIF(P15,"Eğitim Yardımı (Çocuk-Ortaöğretim)")*(0)
+COUNTIF(P15,"Eğitim Yardımı (Çocuk-Lise)")*(0)
+COUNTIF(P15,"Eğitim Yardımı (Çocuk-Yükseköğretim)")*(0)
+COUNTIF(P15,"Eğitim Yardımı (Çocuk-Engelli)")*(0)
+COUNTIF(P15,"Eğitim Yardımı (İşçi-Lise)")*(0)
+COUNTIF(P15,"Eğitim Yardımı (İşçi-Yükseköğretim)")*(0)
+COUNTIF(P15,"Evlilik Yardımı")*($DN$18)
+COUNTIF(P15,"İş Kazası veya Meslek Hastalığı Tazminatı")*($DN$19)
+COUNTIF(P15,"Sünnet Yardımı")*(0)
+COUNTIF(P15,"Temizlik Yardımı")*(0)
+COUNTIF(Q15,"Yok")*(0)
+COUNTIF(Q15,"Bayram Yardımı (Kurban)")*(0)
+COUNTIF(Q15,"Bayram Yardımı (Ramazan)")*(0)
+COUNTIF(Q15,"Cenaze Yardımı (Anne-Baba)")*($DN$4)
+COUNTIF(Q15,"Cenaze Yardımı (Eş-Çocuk)")*($DN$5)
+COUNTIF(Q15,"Cenaze Yardımı (İşçi-İş Kazası Sonucu)")*($DN$6)
+COUNTIF(Q15,"Cenaze Yardımı (İşçi-Tabii Sebepler Sonucu)")*($DN$7)
+COUNTIF(Q15,"Doğal Afet Yardımı")*($DN$8)
+COUNTIF(Q15,"Doğum Yardımı (İşveren)")*($DN$9)
+COUNTIF(Q15,"Eğitim Yardımı (Çocuk-Zorunlu Anaokulu)")*(0)
+COUNTIF(Q15,"Eğitim Yardımı (Çocuk-İlköğretim)")*(0)
+COUNTIF(Q15,"Eğitim Yardımı (Çocuk-Ortaöğretim)")*(0)
+COUNTIF(Q15,"Eğitim Yardımı (Çocuk-Lise)")*(0)
+COUNTIF(Q15,"Eğitim Yardımı (Çocuk-Yükseköğretim)")*(0)
+COUNTIF(Q15,"Eğitim Yardımı (Çocuk-Engelli)")*(0)
+COUNTIF(Q15,"Eğitim Yardımı (İşçi-Lise)")*(0)
+COUNTIF(Q15,"Eğitim Yardımı (İşçi-Yükseköğretim)")*(0)
+COUNTIF(Q15,"Evlilik Yardımı")*($DN$18)
+COUNTIF(Q15,"İş Kazası veya Meslek Hastalığı Tazminatı")*($DN$19)
+COUNTIF(Q15,"Sünnet Yardımı")*(0)
+COUNTIF(Q15,"Temizlik Yardımı")*(0)</f>
        <v>0</v>
      </c>
      <c r="BO10" s="37">
        <f ca="1">COUNTIF(O15,"Yok")*(0)
+COUNTIF(O15,"Bayram Yardımı (Kurban)")*($DN$2)
+COUNTIF(O15,"Bayram Yardımı (Ramazan)")*($DN$3)
+COUNTIF(O15,"Cenaze Yardımı (Anne-Baba)")*($DN$4-$DN$4*0.00759)
+COUNTIF(O15,"Cenaze Yardımı (Eş-Çocuk)")*($DN$5-$DN$5*0.00759)
+COUNTIF(O15,"Cenaze Yardımı (İşçi-İş Kazası Sonucu)")*($DN$6-$DN$6*0.00759)
+COUNTIF(O15,"Cenaze Yardımı (İşçi-Tabii Sebepler Sonucu)")*($DN$7-$DN$7*0.00759)
+COUNTIF(O15,"Doğal Afet Yardımı")*($DN$8-$DN$8*0.00759)
+COUNTIF(O15,"Doğum Yardımı (İşveren)")*($DN$9-$DN$9*0.00759)
+COUNTIF(O15,"Eğitim Yardımı (Çocuk-Zorunlu Anaokulu)")*($DN$10*DE11)
+COUNTIF(O15,"Eğitim Yardımı (Çocuk-İlköğretim)")*($DN$11*DE11)
+COUNTIF(O15,"Eğitim Yardımı (Çocuk-Ortaöğretim)")*($DN$12*DE11)
+COUNTIF(O15,"Eğitim Yardımı (Çocuk-Lise)")*($DN$13*DE11)
+COUNTIF(O15,"Eğitim Yardımı (Çocuk-Yükseköğretim)")*($DN$14*DE11)
+COUNTIF(O15,"Eğitim Yardımı (Çocuk-Engelli)")*($DN$15*DE11)
+COUNTIF(O15,"Eğitim Yardımı (İşçi-Lise)")*($DN$16*DE11)
+COUNTIF(O15,"Eğitim Yardımı (İşçi-Yükseköğretim)")*($DN$17*DE11)
+COUNTIF(O15,"Evlilik Yardımı")*($DN$18-$DN$18*0.00759)
+COUNTIF(O15,"İş Kazası veya Meslek Hastalığı Tazminatı")*($DN$19-$DN$19*0.00759)
+COUNTIF(O15,"Sünnet Yardımı")*($DN$20*DE11)
+COUNTIF(O15,"Temizlik Yardımı")*($DN$21)
+COUNTIF(P15,"Yok")*(0)
+COUNTIF(P15,"Bayram Yardımı (Kurban)")*($DN$2)
+COUNTIF(P15,"Bayram Yardımı (Ramazan)")*($DN$3)
+COUNTIF(P15,"Cenaze Yardımı (Anne-Baba)")*($DN$4-$DN$4*0.00759)
+COUNTIF(P15,"Cenaze Yardımı (Eş-Çocuk)")*($DN$5-$DN$5*0.00759)
+COUNTIF(P15,"Cenaze Yardımı (İşçi-İş Kazası Sonucu)")*($DN$6-$DN$6*0.00759)
+COUNTIF(P15,"Cenaze Yardımı (İşçi-Tabii Sebepler Sonucu)")*($DN$7-$DN$7*0.00759)
+COUNTIF(P15,"Doğal Afet Yardımı")*($DN$8-$DN$8*0.00759)
+COUNTIF(P15,"Doğum Yardımı (İşveren)")*($DN$9-$DN$9*0.00759)
+COUNTIF(P15,"Eğitim Yardımı (Çocuk-Zorunlu Anaokulu)")*($DN$10*DE11)
+COUNTIF(P15,"Eğitim Yardımı (Çocuk-İlköğretim)")*($DN$11*DE11)
+COUNTIF(P15,"Eğitim Yardımı (Çocuk-Ortaöğretim)")*($DN$12*DE11)
+COUNTIF(P15,"Eğitim Yardımı (Çocuk-Lise)")*($DN$13*DE11)
+COUNTIF(P15,"Eğitim Yardımı (Çocuk-Yükseköğretim)")*($DN$14*DE11)
+COUNTIF(P15,"Eğitim Yardımı (Çocuk-Engelli)")*($DN$15*DE11)
+COUNTIF(P15,"Eğitim Yardımı (İşçi-Lise)")*($DN$16*DE11)
+COUNTIF(P15,"Eğitim Yardımı (İşçi-Yükseköğretim)")*($DN$17*DE11)
+COUNTIF(P15,"Evlilik Yardımı")*($DN$18-$DN$18*0.00759)
+COUNTIF(P15,"İş Kazası veya Meslek Hastalığı Tazminatı")*($DN$19-$DN$19*0.00759)
+COUNTIF(P15,"Sünnet Yardımı")*($DN$20*DE11)
+COUNTIF(P15,"Temizlik Yardımı")*($DN$21)
+COUNTIF(Q15,"Yok")*(0)
+COUNTIF(Q15,"Bayram Yardımı (Kurban)")*($DN$2)
+COUNTIF(Q15,"Bayram Yardımı (Ramazan)")*($DN$3)
+COUNTIF(Q15,"Cenaze Yardımı (Anne-Baba)")*($DN$4-$DN$4*0.00759)
+COUNTIF(Q15,"Cenaze Yardımı (Eş-Çocuk)")*($DN$5-$DN$5*0.00759)
+COUNTIF(Q15,"Cenaze Yardımı (İşçi-İş Kazası Sonucu)")*($DN$6-$DN$6*0.00759)
+COUNTIF(Q15,"Cenaze Yardımı (İşçi-Tabii Sebepler Sonucu)")*($DN$7-$DN$7*0.00759)
+COUNTIF(Q15,"Doğal Afet Yardımı")*($DN$8-$DN$8*0.00759)
+COUNTIF(Q15,"Doğum Yardımı (İşveren)")*($DN$9-$DN$9*0.00759)
+COUNTIF(Q15,"Eğitim Yardımı (Çocuk-Zorunlu Anaokulu)")*($DN$10*DE11)
+COUNTIF(Q15,"Eğitim Yardımı (Çocuk-İlköğretim)")*($DN$11*DE11)
+COUNTIF(Q15,"Eğitim Yardımı (Çocuk-Ortaöğretim)")*($DN$12*DE11)
+COUNTIF(Q15,"Eğitim Yardımı (Çocuk-Lise)")*($DN$13*DE11)
+COUNTIF(Q15,"Eğitim Yardımı (Çocuk-Yükseköğretim)")*($DN$14*DE11)
+COUNTIF(Q15,"Eğitim Yardımı (Çocuk-Engelli)")*($DN$15*DE11)
+COUNTIF(Q15,"Eğitim Yardımı (İşçi-Lise)")*($DN$16*DE11)
+COUNTIF(Q15,"Eğitim Yardımı (İşçi-Yükseköğretim)")*($DN$17*DE11)
+COUNTIF(Q15,"Evlilik Yardımı")*($DN$18-$DN$18*0.00759)
+COUNTIF(Q15,"İş Kazası veya Meslek Hastalığı Tazminatı")*($DN$19-$DN$19*0.00759)
+COUNTIF(Q15,"Sünnet Yardımı")*($DN$20*DE11)
+COUNTIF(Q15,"Temizlik Yardımı")*($DN$21)</f>
        <v>0</v>
      </c>
      <c r="BP10" s="33" t="s">
        <v>12</v>
      </c>
      <c r="BQ10" s="25">
        <f>COUNTIF(BP10,"Var")*(AU15*0.9*-1)</f>
        <v>-192.61800000000002</v>
      </c>
      <c r="BR10" s="25">
        <f>(BQ10*-1)</f>
        <v>192.61800000000002</v>
      </c>
      <c r="BS10" s="37">
        <f ca="1">(DG6*R15+BT10)*-1</f>
        <v>0</v>
      </c>
      <c r="BT10" s="37">
        <f>(AN15+AK22+AM22+AO22-AT22)*(R15*-1)</f>
        <v>0</v>
      </c>
      <c r="BU10" s="37">
        <f ca="1">(BS10+BT10)</f>
        <v>0</v>
      </c>
      <c r="BV10" s="25" t="s">
        <v>0</v>
      </c>
      <c r="BW10" s="25">
        <f>(5004)</f>
        <v>5004</v>
      </c>
      <c r="BX10" s="25">
        <f>(5004)</f>
        <v>5004</v>
      </c>
      <c r="BY10" s="25">
        <f>(BW10-BX10)</f>
        <v>0</v>
      </c>
      <c r="BZ10" s="25">
        <f>(BY10*0.00759*-1)</f>
        <v>0</v>
      </c>
      <c r="CA10" s="25">
        <f>(0)</f>
        <v>0</v>
      </c>
      <c r="CB10" s="25">
        <f>(BW10-CA10)</f>
        <v>5004</v>
      </c>
      <c r="CC10" s="25">
        <f>(CB10*0.14*-1)</f>
        <v>-700.56000000000006</v>
      </c>
      <c r="CD10" s="25">
        <f>(CB10*0.01*-1)</f>
        <v>-50.04</v>
      </c>
      <c r="CE10" s="37">
        <f>(AN21+AY6+BA6+BC6-BH6)*(R21*-1)</f>
        <v>0</v>
      </c>
      <c r="CF10" s="37">
        <f ca="1">(CK6+CE10)</f>
        <v>0</v>
      </c>
      <c r="CG10" s="25" t="s">
        <v>0</v>
      </c>
      <c r="CH10" s="25">
        <f>(6471)</f>
        <v>6471</v>
      </c>
      <c r="CI10" s="25">
        <f>(6471)</f>
        <v>6471</v>
      </c>
      <c r="CJ10" s="25">
        <f>(CH10-CI10)</f>
        <v>0</v>
      </c>
      <c r="CK10" s="25">
        <f>(CJ10*0.00759*-1)</f>
        <v>0</v>
      </c>
      <c r="CL10" s="25">
        <f>(0)</f>
        <v>0</v>
      </c>
      <c r="CM10" s="25">
        <f>(CH10-CL10)</f>
        <v>6471</v>
      </c>
      <c r="CN10" s="25">
        <f>(CM10*0.14*-1)</f>
        <v>-905.94</v>
      </c>
      <c r="CO10" s="25">
        <f>(CM10*0.01*-1)</f>
        <v>-64.710000000000008</v>
      </c>
      <c r="CQ10" s="25">
        <f ca="1">(DG15*0.05*-1)</f>
        <v>-474.84050000000008</v>
      </c>
      <c r="CR10" s="25">
        <f ca="1">(DG15+DH15+DI15+CQ10)</f>
        <v>11063.783650000001</v>
      </c>
      <c r="CS10" s="25" t="s">
        <v>0</v>
      </c>
      <c r="CT10" s="25" t="s">
        <v>0</v>
      </c>
      <c r="CU10" s="25" t="s">
        <v>0</v>
      </c>
      <c r="CV10" s="25" t="s">
        <v>0</v>
      </c>
      <c r="CW10" s="25">
        <f>(0)</f>
        <v>0</v>
      </c>
      <c r="CX10" s="25">
        <f>(BW4+CC4+CD4-CW10)</f>
        <v>5500.3499999999995</v>
      </c>
      <c r="CY10" s="25">
        <f>SUM(CX$2:$CX10)</f>
        <v>42021.45</v>
      </c>
      <c r="CZ10" s="29">
        <f t="shared" si="2"/>
        <v>0.2</v>
      </c>
      <c r="DA10" s="33">
        <f t="shared" si="3"/>
        <v>0</v>
      </c>
      <c r="DB10" s="25">
        <f ca="1">(DI5-DK5)</f>
        <v>4492.8100000000013</v>
      </c>
      <c r="DC10" s="25">
        <f ca="1">(DB10*0.00759*-1)</f>
        <v>-34.100427900000014</v>
      </c>
      <c r="DD10" s="25">
        <f ca="1">(DC10)</f>
        <v>-34.100427900000014</v>
      </c>
      <c r="DE10" s="25">
        <f ca="1">(BH4+BG15+BZ15+CQ15+CF4)</f>
        <v>752.8</v>
      </c>
      <c r="DF10" s="25">
        <f ca="1">(DI5-DE10)</f>
        <v>8744.010000000002</v>
      </c>
      <c r="DG10" s="25">
        <f ca="1">IF(DF10&gt;=CH8*7.5,CH8*7.5,DF10)</f>
        <v>8744.010000000002</v>
      </c>
      <c r="DM10" s="34" t="s">
        <v>115</v>
      </c>
      <c r="DN10" s="25">
        <v>2071.1999999999998</v>
      </c>
      <c r="DX10" s="24">
        <v>8</v>
      </c>
      <c r="DY10" s="35">
        <v>4</v>
      </c>
      <c r="DZ10" s="36">
        <v>0.1</v>
      </c>
      <c r="EA10" s="49"/>
    </row>
    <row r="11" spans="1:131" ht="39.950000000000003" customHeight="1" x14ac:dyDescent="0.25">
      <c r="A11" s="70"/>
      <c r="B11" s="71"/>
      <c r="C11" s="57"/>
      <c r="D11" s="57"/>
      <c r="E11" s="72"/>
      <c r="F11" s="72"/>
      <c r="G11" s="57"/>
      <c r="H11" s="57"/>
      <c r="I11" s="57"/>
      <c r="J11" s="74"/>
      <c r="K11" s="57"/>
      <c r="L11" s="57"/>
      <c r="M11" s="57"/>
      <c r="N11" s="57"/>
      <c r="O11" s="57"/>
      <c r="P11" s="57"/>
      <c r="Q11" s="57"/>
      <c r="R11" s="57"/>
      <c r="S11" s="57"/>
      <c r="T11" s="57"/>
      <c r="U11" s="73"/>
      <c r="V11" s="15" t="s">
        <v>124</v>
      </c>
      <c r="W11" s="16">
        <f t="shared" ref="W11:W13" ca="1" si="35">IF(X11&gt;0,X11,X11*-1)</f>
        <v>0</v>
      </c>
      <c r="X11" s="16">
        <f ca="1">COUNTIF(Y1,"Ocak")*(BQ1)
+COUNTIF(Y1,"Şubat")*(BQ2)
+COUNTIF(Y1,"Mart")*(BQ3)
+COUNTIF(Y1,"Nisan")*(BS14)
+COUNTIF(Y1,"Mayıs")*(BS15)
+COUNTIF(Y1,"Haziran")*(BS16)
+COUNTIF(Y1,"Temmuz")*(BP22)
+COUNTIF(Y1,"Ağustos")*(BP23)
+COUNTIF(Y1,"Eylül")*(BP24)
+COUNTIF(Y1,"Ekim")*(BP25)
+COUNTIF(Y1,"Kasım")*(BS17)
+COUNTIF(Y1,"Aralık")*(BS18)
+COUNTIF(Y1,"Yıllık Toplam")*(BS19)
+COUNTIF(Y1,"Yıllık Ortalama")*(BS20)</f>
        <v>0</v>
      </c>
      <c r="Y11" s="64"/>
      <c r="Z11" s="68"/>
      <c r="AA11" s="77" t="s">
        <v>139</v>
      </c>
      <c r="AB11" s="78" t="s">
        <v>140</v>
      </c>
      <c r="AC11" s="56"/>
      <c r="AD11" s="58"/>
      <c r="AE11" s="60"/>
      <c r="AF11" s="59"/>
      <c r="AG11" s="34" t="s">
        <v>86</v>
      </c>
      <c r="AH11" s="40">
        <v>276.16000000000003</v>
      </c>
      <c r="AI11" s="22">
        <v>325.89999999999998</v>
      </c>
      <c r="AJ11" s="42">
        <f>(AP21+1)</f>
        <v>44774</v>
      </c>
      <c r="AK11" s="42">
        <f>EOMONTH(AJ11,0)</f>
        <v>44804</v>
      </c>
      <c r="AL11" s="43">
        <f>DAY(AK11)</f>
        <v>31</v>
      </c>
      <c r="AM11" s="43">
        <f>NETWORKDAYS.INTL(AJ11,AK11,11)</f>
        <v>27</v>
      </c>
      <c r="AN11" s="43">
        <f>(AL11-AM11)</f>
        <v>4</v>
      </c>
      <c r="AO11" s="41" t="s">
        <v>0</v>
      </c>
      <c r="AP11"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Q11" s="32">
        <f ca="1">(AP11*CI3)</f>
        <v>164.05482415965432</v>
      </c>
      <c r="AR11"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S11" s="25">
        <f ca="1">(AR11*CI3+DC18/30*-1+CF3/30)</f>
        <v>200.72898715965431</v>
      </c>
      <c r="AT11" s="32">
        <f>COUNTIF($A$1,"Mekanik / Teknik Sorumlusu")*($AI$1+AW1)
+COUNTIF($A$1,"Elektrik Sorumlusu")*($AI$2+AW1)
+COUNTIF($A$1,"Otomasyon Sistem Sorumlusu")*($AI$3+AW1)
+COUNTIF($A$1,"Bilgi İşlem Sorumlusu")*($AI$4+AW1)
+COUNTIF($A$1,"Bakım Onarım Sorumlusu")*($AI$5+AW1)
+COUNTIF($A$1,"İskeleler Sorumlusu")*($AI$6+AW1)
+COUNTIF($A$1,"Ambar ve Stok Kontrol Sorumlusu")*($AI$7+AW1)
+COUNTIF($A$1,"Akaryakıt Sorumlusu")*($AI$8+AW1)
+COUNTIF($A$1,"İnsan Kaynakları ve Eğitim Sorumlusu")*($AI$9+AW1)
+COUNTIF($A$1,"Muhasebe ve Finansman Sorumlusu")*($AI$10+AW1)
+COUNTIF($A$1,"İhale ve Satınalma Sorumlusu")*($AI$11+AW1)
+COUNTIF($A$1,"Halkla İlişkiler Sorumlusu")*($AI$12+AW1)
+COUNTIF($A$1,"Yazı İşleri Sorumlusu")*($AI$13+AW1)
+COUNTIF($A$1,"Gişeler Sorumlusu")*($AI$14+AW1)
+COUNTIF($A$1,"Temizlik / Güvenlik Sorumlusu")*($AI$15+AW1)
+COUNTIF($A$1,"İskele Sorumlusu")*($AI$16+AW1)
+COUNTIF($A$1,"1S-Atölye Personeli")*($AI$17+AW1)
+COUNTIF($A$1,"1S-Bilgi İşlem Büro Personeli")*($AI$18+AW1)
+COUNTIF($A$1,"1S-Şoför")*($AI$19+AW1)
+COUNTIF($A$1,"1S-Büro Personeli")*($AI$20+AW1)
+COUNTIF($A$1,"1S-Yönetim / Genel Müdür Sekreteri")*($AI$21+AW1)
+COUNTIF($A$1,"1S-İskele Personeli")*($AI$22+AW1)
+COUNTIF($A$1,"1S-Gişe Personeli")*($AI$23+AW1)
+COUNTIF($A$1,"1S-Çımacı / Palamarcı")*($AI$24+AW1)
+COUNTIF($A$1,"1S-Temizlik Personeli")*($AI$25+AW1)
+COUNTIF($A$1,"2S-Atölye Personeli")*($AI$26+AW1)
+COUNTIF($A$1,"2S-Bilgi İşlem Büro Personeli")*($AI$27+AW1)
+COUNTIF($A$1,"2S-Şoför")*($AI$28+AW1)
+COUNTIF($A$1,"2S-Büro Personeli")*($AI$29+AW1)
+COUNTIF($A$1,"2S-Yönetim / Genel Müdür Sekreteri")*($AI$30+AW1)
+COUNTIF($A$1,"2S-İskele Personeli")*($AI$31+AW1)
+COUNTIF($A$1,"2S-Gişe Personeli")*($AI$32+AW1)
+COUNTIF($A$1,"2S-Çımacı / Palamarcı")*($AI$33+AW1)
+COUNTIF($A$1,"2S-Temizlik Personeli")*($AI$34+AW1)</f>
        <v>252.6</v>
      </c>
      <c r="AU11" s="25">
        <f ca="1">(AT11*CI3)</f>
        <v>164.05482415965432</v>
      </c>
      <c r="AV11" s="41" t="s">
        <v>0</v>
      </c>
      <c r="AW11" s="40">
        <f>(AT11*AL11)</f>
        <v>7830.5999999999995</v>
      </c>
      <c r="AX11" s="25">
        <f ca="1">(AU8*DK7)</f>
        <v>0</v>
      </c>
      <c r="AY11" s="25">
        <f>(AR26*E26)</f>
        <v>0</v>
      </c>
      <c r="AZ11" s="25">
        <f ca="1">(AY11*DK7)</f>
        <v>0</v>
      </c>
      <c r="BA11" s="25">
        <f>(AT26/7.5*0.3*F26)</f>
        <v>0</v>
      </c>
      <c r="BB11" s="25">
        <f ca="1">(BA11*DK7)</f>
        <v>0</v>
      </c>
      <c r="BC11" s="25">
        <f t="shared" si="4"/>
        <v>1209.78</v>
      </c>
      <c r="BD11" s="25">
        <f ca="1">(BF11+BG11+BJ11+BK11+BC18)</f>
        <v>778.32643979999989</v>
      </c>
      <c r="BE11" s="25">
        <f t="shared" si="5"/>
        <v>1209.78</v>
      </c>
      <c r="BF11" s="25">
        <f t="shared" si="6"/>
        <v>1209.78</v>
      </c>
      <c r="BG11" s="25">
        <f t="shared" si="7"/>
        <v>-9.1822302000000011</v>
      </c>
      <c r="BH11" s="25">
        <f t="shared" si="11"/>
        <v>336.44</v>
      </c>
      <c r="BI11" s="25">
        <f t="shared" si="8"/>
        <v>873.33999999999992</v>
      </c>
      <c r="BJ11" s="25">
        <f t="shared" si="9"/>
        <v>-122.2676</v>
      </c>
      <c r="BK11" s="25">
        <f t="shared" si="10"/>
        <v>-8.7333999999999996</v>
      </c>
      <c r="BL11" s="25">
        <f>(0)</f>
        <v>0</v>
      </c>
      <c r="BM11" s="37">
        <f ca="1">COUNTIF(O16,"Yok")*(0)
+COUNTIF(O16,"Bayram Yardımı (Kurban)")*($DN$2/DE12)
+COUNTIF(O16,"Bayram Yardımı (Ramazan)")*($DN$3/DE12)
+COUNTIF(O16,"Cenaze Yardımı (Anne-Baba)")*($DN$4)
+COUNTIF(O16,"Cenaze Yardımı (Eş-Çocuk)")*($DN$5)
+COUNTIF(O16,"Cenaze Yardımı (İşçi-İş Kazası Sonucu)")*($DN$6)
+COUNTIF(O16,"Cenaze Yardımı (İşçi-Tabii Sebepler Sonucu)")*($DN$7)
+COUNTIF(O16,"Doğal Afet Yardımı")*($DN$8)
+COUNTIF(O16,"Doğum Yardımı (İşveren)")*($DN$9)
+COUNTIF(O16,"Eğitim Yardımı (Çocuk-Zorunlu Anaokulu)")*($DN$10)
+COUNTIF(O16,"Eğitim Yardımı (Çocuk-İlköğretim)")*($DN$11)
+COUNTIF(O16,"Eğitim Yardımı (Çocuk-Ortaöğretim)")*($DN$12)
+COUNTIF(O16,"Eğitim Yardımı (Çocuk-Lise)")*($DN$13)
+COUNTIF(O16,"Eğitim Yardımı (Çocuk-Yükseköğretim)")*($DN$14)
+COUNTIF(O16,"Eğitim Yardımı (Çocuk-Engelli)")*($DN$15)
+COUNTIF(O16,"Eğitim Yardımı (İşçi-Lise)")*($DN$16)
+COUNTIF(O16,"Eğitim Yardımı (İşçi-Yükseköğretim)")*($DN$17)
+COUNTIF(O16,"Evlilik Yardımı")*($DN$18)
+COUNTIF(O16,"İş Kazası veya Meslek Hastalığı Tazminatı")*($DN$19)
+COUNTIF(O16,"Sünnet Yardımı")*($DN$20)
+COUNTIF(O16,"Temizlik Yardımı")*($DN$21/DE12)
+COUNTIF(P16,"Yok")*(0)
+COUNTIF(P16,"Bayram Yardımı (Kurban)")*($DN$2/DE12)
+COUNTIF(P16,"Bayram Yardımı (Ramazan)")*($DN$3/DE12)
+COUNTIF(P16,"Cenaze Yardımı (Anne-Baba)")*($DN$4)
+COUNTIF(P16,"Cenaze Yardımı (Eş-Çocuk)")*($DN$5)
+COUNTIF(P16,"Cenaze Yardımı (İşçi-İş Kazası Sonucu)")*($DN$6)
+COUNTIF(P16,"Cenaze Yardımı (İşçi-Tabii Sebepler Sonucu)")*($DN$7)
+COUNTIF(P16,"Doğal Afet Yardımı")*($DN$8)
+COUNTIF(P16,"Doğum Yardımı (İşveren)")*($DN$9)
+COUNTIF(P16,"Eğitim Yardımı (Çocuk-Zorunlu Anaokulu)")*($DN$10)
+COUNTIF(P16,"Eğitim Yardımı (Çocuk-İlköğretim)")*($DN$11)
+COUNTIF(P16,"Eğitim Yardımı (Çocuk-Ortaöğretim)")*($DN$12)
+COUNTIF(P16,"Eğitim Yardımı (Çocuk-Lise)")*($DN$13)
+COUNTIF(P16,"Eğitim Yardımı (Çocuk-Yükseköğretim)")*($DN$14)
+COUNTIF(P16,"Eğitim Yardımı (Çocuk-Engelli)")*($DN$15)
+COUNTIF(P16,"Eğitim Yardımı (İşçi-Lise)")*($DN$16)
+COUNTIF(P16,"Eğitim Yardımı (İşçi-Yükseköğretim)")*($DN$17)
+COUNTIF(P16,"Evlilik Yardımı")*($DN$18)
+COUNTIF(P16,"İş Kazası veya Meslek Hastalığı Tazminatı")*($DN$19)
+COUNTIF(P16,"Sünnet Yardımı")*($DN$20)
+COUNTIF(P16,"Temizlik Yardımı")*($DN$21/DE12)
+COUNTIF(Q16,"Yok")*(0)
+COUNTIF(Q16,"Bayram Yardımı (Kurban)")*($DN$2/DE12)
+COUNTIF(Q16,"Bayram Yardımı (Ramazan)")*($DN$3/DE12)
+COUNTIF(Q16,"Cenaze Yardımı (Anne-Baba)")*($DN$4)
+COUNTIF(Q16,"Cenaze Yardımı (Eş-Çocuk)")*($DN$5)
+COUNTIF(Q16,"Cenaze Yardımı (İşçi-İş Kazası Sonucu)")*($DN$6)
+COUNTIF(Q16,"Cenaze Yardımı (İşçi-Tabii Sebepler Sonucu)")*($DN$7)
+COUNTIF(Q16,"Doğal Afet Yardımı")*($DN$8)
+COUNTIF(Q16,"Doğum Yardımı (İşveren)")*($DN$9)
+COUNTIF(Q16,"Eğitim Yardımı (Çocuk-Zorunlu Anaokulu)")*($DN$10)
+COUNTIF(Q16,"Eğitim Yardımı (Çocuk-İlköğretim)")*($DN$11)
+COUNTIF(Q16,"Eğitim Yardımı (Çocuk-Ortaöğretim)")*($DN$12)
+COUNTIF(Q16,"Eğitim Yardımı (Çocuk-Lise)")*($DN$13)
+COUNTIF(Q16,"Eğitim Yardımı (Çocuk-Yükseköğretim)")*($DN$14)
+COUNTIF(Q16,"Eğitim Yardımı (Çocuk-Engelli)")*($DN$15)
+COUNTIF(Q16,"Eğitim Yardımı (İşçi-Lise)")*($DN$16)
+COUNTIF(Q16,"Eğitim Yardımı (İşçi-Yükseköğretim)")*($DN$17)
+COUNTIF(Q16,"Evlilik Yardımı")*($DN$18)
+COUNTIF(Q16,"İş Kazası veya Meslek Hastalığı Tazminatı")*($DN$19)
+COUNTIF(Q16,"Sünnet Yardımı")*($DN$20)
+COUNTIF(Q16,"Temizlik Yardımı")*($DN$21/DE12)</f>
        <v>0</v>
      </c>
      <c r="BN11" s="37">
        <f>COUNTIF(O16,"Yok")*(0)
+COUNTIF(O16,"Bayram Yardımı (Kurban)")*(0)
+COUNTIF(O16,"Bayram Yardımı (Ramazan)")*(0)
+COUNTIF(O16,"Cenaze Yardımı (Anne-Baba)")*($DN$4)
+COUNTIF(O16,"Cenaze Yardımı (Eş-Çocuk)")*($DN$5)
+COUNTIF(O16,"Cenaze Yardımı (İşçi-İş Kazası Sonucu)")*($DN$6)
+COUNTIF(O16,"Cenaze Yardımı (İşçi-Tabii Sebepler Sonucu)")*($DN$7)
+COUNTIF(O16,"Doğal Afet Yardımı")*($DN$8)
+COUNTIF(O16,"Doğum Yardımı (İşveren)")*($DN$9)
+COUNTIF(O16,"Eğitim Yardımı (Çocuk-Zorunlu Anaokulu)")*(0)
+COUNTIF(O16,"Eğitim Yardımı (Çocuk-İlköğretim)")*(0)
+COUNTIF(O16,"Eğitim Yardımı (Çocuk-Ortaöğretim)")*(0)
+COUNTIF(O16,"Eğitim Yardımı (Çocuk-Lise)")*(0)
+COUNTIF(O16,"Eğitim Yardımı (Çocuk-Yükseköğretim)")*(0)
+COUNTIF(O16,"Eğitim Yardımı (Çocuk-Engelli)")*(0)
+COUNTIF(O16,"Eğitim Yardımı (İşçi-Lise)")*(0)
+COUNTIF(O16,"Eğitim Yardımı (İşçi-Yükseköğretim)")*(0)
+COUNTIF(O16,"Evlilik Yardımı")*($DN$18)
+COUNTIF(O16,"İş Kazası veya Meslek Hastalığı Tazminatı")*($DN$19)
+COUNTIF(O16,"Sünnet Yardımı")*(0)
+COUNTIF(O16,"Temizlik Yardımı")*(0)
+COUNTIF(P16,"Yok")*(0)
+COUNTIF(P16,"Bayram Yardımı (Kurban)")*(0)
+COUNTIF(P16,"Bayram Yardımı (Ramazan)")*(0)
+COUNTIF(P16,"Cenaze Yardımı (Anne-Baba)")*($DN$4)
+COUNTIF(P16,"Cenaze Yardımı (Eş-Çocuk)")*($DN$5)
+COUNTIF(P16,"Cenaze Yardımı (İşçi-İş Kazası Sonucu)")*($DN$6)
+COUNTIF(P16,"Cenaze Yardımı (İşçi-Tabii Sebepler Sonucu)")*($DN$7)
+COUNTIF(P16,"Doğal Afet Yardımı")*($DN$8)
+COUNTIF(P16,"Doğum Yardımı (İşveren)")*($DN$9)
+COUNTIF(P16,"Eğitim Yardımı (Çocuk-Zorunlu Anaokulu)")*(0)
+COUNTIF(P16,"Eğitim Yardımı (Çocuk-İlköğretim)")*(0)
+COUNTIF(P16,"Eğitim Yardımı (Çocuk-Ortaöğretim)")*(0)
+COUNTIF(P16,"Eğitim Yardımı (Çocuk-Lise)")*(0)
+COUNTIF(P16,"Eğitim Yardımı (Çocuk-Yükseköğretim)")*(0)
+COUNTIF(P16,"Eğitim Yardımı (Çocuk-Engelli)")*(0)
+COUNTIF(P16,"Eğitim Yardımı (İşçi-Lise)")*(0)
+COUNTIF(P16,"Eğitim Yardımı (İşçi-Yükseköğretim)")*(0)
+COUNTIF(P16,"Evlilik Yardımı")*($DN$18)
+COUNTIF(P16,"İş Kazası veya Meslek Hastalığı Tazminatı")*($DN$19)
+COUNTIF(P16,"Sünnet Yardımı")*(0)
+COUNTIF(P16,"Temizlik Yardımı")*(0)
+COUNTIF(Q16,"Yok")*(0)
+COUNTIF(Q16,"Bayram Yardımı (Kurban)")*(0)
+COUNTIF(Q16,"Bayram Yardımı (Ramazan)")*(0)
+COUNTIF(Q16,"Cenaze Yardımı (Anne-Baba)")*($DN$4)
+COUNTIF(Q16,"Cenaze Yardımı (Eş-Çocuk)")*($DN$5)
+COUNTIF(Q16,"Cenaze Yardımı (İşçi-İş Kazası Sonucu)")*($DN$6)
+COUNTIF(Q16,"Cenaze Yardımı (İşçi-Tabii Sebepler Sonucu)")*($DN$7)
+COUNTIF(Q16,"Doğal Afet Yardımı")*($DN$8)
+COUNTIF(Q16,"Doğum Yardımı (İşveren)")*($DN$9)
+COUNTIF(Q16,"Eğitim Yardımı (Çocuk-Zorunlu Anaokulu)")*(0)
+COUNTIF(Q16,"Eğitim Yardımı (Çocuk-İlköğretim)")*(0)
+COUNTIF(Q16,"Eğitim Yardımı (Çocuk-Ortaöğretim)")*(0)
+COUNTIF(Q16,"Eğitim Yardımı (Çocuk-Lise)")*(0)
+COUNTIF(Q16,"Eğitim Yardımı (Çocuk-Yükseköğretim)")*(0)
+COUNTIF(Q16,"Eğitim Yardımı (Çocuk-Engelli)")*(0)
+COUNTIF(Q16,"Eğitim Yardımı (İşçi-Lise)")*(0)
+COUNTIF(Q16,"Eğitim Yardımı (İşçi-Yükseköğretim)")*(0)
+COUNTIF(Q16,"Evlilik Yardımı")*($DN$18)
+COUNTIF(Q16,"İş Kazası veya Meslek Hastalığı Tazminatı")*($DN$19)
+COUNTIF(Q16,"Sünnet Yardımı")*(0)
+COUNTIF(Q16,"Temizlik Yardımı")*(0)</f>
        <v>0</v>
      </c>
      <c r="BO11" s="37">
        <f ca="1">COUNTIF(O16,"Yok")*(0)
+COUNTIF(O16,"Bayram Yardımı (Kurban)")*($DN$2)
+COUNTIF(O16,"Bayram Yardımı (Ramazan)")*($DN$3)
+COUNTIF(O16,"Cenaze Yardımı (Anne-Baba)")*($DN$4-$DN$4*0.00759)
+COUNTIF(O16,"Cenaze Yardımı (Eş-Çocuk)")*($DN$5-$DN$5*0.00759)
+COUNTIF(O16,"Cenaze Yardımı (İşçi-İş Kazası Sonucu)")*($DN$6-$DN$6*0.00759)
+COUNTIF(O16,"Cenaze Yardımı (İşçi-Tabii Sebepler Sonucu)")*($DN$7-$DN$7*0.00759)
+COUNTIF(O16,"Doğal Afet Yardımı")*($DN$8-$DN$8*0.00759)
+COUNTIF(O16,"Doğum Yardımı (İşveren)")*($DN$9-$DN$9*0.00759)
+COUNTIF(O16,"Eğitim Yardımı (Çocuk-Zorunlu Anaokulu)")*($DN$10*DE12)
+COUNTIF(O16,"Eğitim Yardımı (Çocuk-İlköğretim)")*($DN$11*DE12)
+COUNTIF(O16,"Eğitim Yardımı (Çocuk-Ortaöğretim)")*($DN$12*DE12)
+COUNTIF(O16,"Eğitim Yardımı (Çocuk-Lise)")*($DN$13*DE12)
+COUNTIF(O16,"Eğitim Yardımı (Çocuk-Yükseköğretim)")*($DN$14*DE12)
+COUNTIF(O16,"Eğitim Yardımı (Çocuk-Engelli)")*($DN$15*DE12)
+COUNTIF(O16,"Eğitim Yardımı (İşçi-Lise)")*($DN$16*DE12)
+COUNTIF(O16,"Eğitim Yardımı (İşçi-Yükseköğretim)")*($DN$17*DE12)
+COUNTIF(O16,"Evlilik Yardımı")*($DN$18-$DN$18*0.00759)
+COUNTIF(O16,"İş Kazası veya Meslek Hastalığı Tazminatı")*($DN$19-$DN$19*0.00759)
+COUNTIF(O16,"Sünnet Yardımı")*($DN$20*DE12)
+COUNTIF(O16,"Temizlik Yardımı")*($DN$21)
+COUNTIF(P16,"Yok")*(0)
+COUNTIF(P16,"Bayram Yardımı (Kurban)")*($DN$2)
+COUNTIF(P16,"Bayram Yardımı (Ramazan)")*($DN$3)
+COUNTIF(P16,"Cenaze Yardımı (Anne-Baba)")*($DN$4-$DN$4*0.00759)
+COUNTIF(P16,"Cenaze Yardımı (Eş-Çocuk)")*($DN$5-$DN$5*0.00759)
+COUNTIF(P16,"Cenaze Yardımı (İşçi-İş Kazası Sonucu)")*($DN$6-$DN$6*0.00759)
+COUNTIF(P16,"Cenaze Yardımı (İşçi-Tabii Sebepler Sonucu)")*($DN$7-$DN$7*0.00759)
+COUNTIF(P16,"Doğal Afet Yardımı")*($DN$8-$DN$8*0.00759)
+COUNTIF(P16,"Doğum Yardımı (İşveren)")*($DN$9-$DN$9*0.00759)
+COUNTIF(P16,"Eğitim Yardımı (Çocuk-Zorunlu Anaokulu)")*($DN$10*DE12)
+COUNTIF(P16,"Eğitim Yardımı (Çocuk-İlköğretim)")*($DN$11*DE12)
+COUNTIF(P16,"Eğitim Yardımı (Çocuk-Ortaöğretim)")*($DN$12*DE12)
+COUNTIF(P16,"Eğitim Yardımı (Çocuk-Lise)")*($DN$13*DE12)
+COUNTIF(P16,"Eğitim Yardımı (Çocuk-Yükseköğretim)")*($DN$14*DE12)
+COUNTIF(P16,"Eğitim Yardımı (Çocuk-Engelli)")*($DN$15*DE12)
+COUNTIF(P16,"Eğitim Yardımı (İşçi-Lise)")*($DN$16*DE12)
+COUNTIF(P16,"Eğitim Yardımı (İşçi-Yükseköğretim)")*($DN$17*DE12)
+COUNTIF(P16,"Evlilik Yardımı")*($DN$18-$DN$18*0.00759)
+COUNTIF(P16,"İş Kazası veya Meslek Hastalığı Tazminatı")*($DN$19-$DN$19*0.00759)
+COUNTIF(P16,"Sünnet Yardımı")*($DN$20*DE12)
+COUNTIF(P16,"Temizlik Yardımı")*($DN$21)
+COUNTIF(Q16,"Yok")*(0)
+COUNTIF(Q16,"Bayram Yardımı (Kurban)")*($DN$2)
+COUNTIF(Q16,"Bayram Yardımı (Ramazan)")*($DN$3)
+COUNTIF(Q16,"Cenaze Yardımı (Anne-Baba)")*($DN$4-$DN$4*0.00759)
+COUNTIF(Q16,"Cenaze Yardımı (Eş-Çocuk)")*($DN$5-$DN$5*0.00759)
+COUNTIF(Q16,"Cenaze Yardımı (İşçi-İş Kazası Sonucu)")*($DN$6-$DN$6*0.00759)
+COUNTIF(Q16,"Cenaze Yardımı (İşçi-Tabii Sebepler Sonucu)")*($DN$7-$DN$7*0.00759)
+COUNTIF(Q16,"Doğal Afet Yardımı")*($DN$8-$DN$8*0.00759)
+COUNTIF(Q16,"Doğum Yardımı (İşveren)")*($DN$9-$DN$9*0.00759)
+COUNTIF(Q16,"Eğitim Yardımı (Çocuk-Zorunlu Anaokulu)")*($DN$10*DE12)
+COUNTIF(Q16,"Eğitim Yardımı (Çocuk-İlköğretim)")*($DN$11*DE12)
+COUNTIF(Q16,"Eğitim Yardımı (Çocuk-Ortaöğretim)")*($DN$12*DE12)
+COUNTIF(Q16,"Eğitim Yardımı (Çocuk-Lise)")*($DN$13*DE12)
+COUNTIF(Q16,"Eğitim Yardımı (Çocuk-Yükseköğretim)")*($DN$14*DE12)
+COUNTIF(Q16,"Eğitim Yardımı (Çocuk-Engelli)")*($DN$15*DE12)
+COUNTIF(Q16,"Eğitim Yardımı (İşçi-Lise)")*($DN$16*DE12)
+COUNTIF(Q16,"Eğitim Yardımı (İşçi-Yükseköğretim)")*($DN$17*DE12)
+COUNTIF(Q16,"Evlilik Yardımı")*($DN$18-$DN$18*0.00759)
+COUNTIF(Q16,"İş Kazası veya Meslek Hastalığı Tazminatı")*($DN$19-$DN$19*0.00759)
+COUNTIF(Q16,"Sünnet Yardımı")*($DN$20*DE12)
+COUNTIF(Q16,"Temizlik Yardımı")*($DN$21)</f>
        <v>0</v>
      </c>
      <c r="BP11" s="33" t="s">
        <v>12</v>
      </c>
      <c r="BQ11" s="25">
        <f>COUNTIF(BP11,"Var")*(AU16*0.9*-1)</f>
        <v>-192.61800000000002</v>
      </c>
      <c r="BR11" s="25">
        <f>(BQ11*-1)</f>
        <v>192.61800000000002</v>
      </c>
      <c r="BS11" s="37">
        <f ca="1">(DG7*R16+BT11)*-1</f>
        <v>0</v>
      </c>
      <c r="BT11" s="37">
        <f>(AN16+AK23+AM23+AO23-AT23)*(R16*-1)</f>
        <v>0</v>
      </c>
      <c r="BU11" s="37">
        <f ca="1">(BS11+BT11)</f>
        <v>0</v>
      </c>
      <c r="BV11" s="25" t="s">
        <v>0</v>
      </c>
      <c r="BW11" s="25">
        <f>(5004)</f>
        <v>5004</v>
      </c>
      <c r="BX11" s="25">
        <f>(5004)</f>
        <v>5004</v>
      </c>
      <c r="BY11" s="25">
        <f>(BW11-BX11)</f>
        <v>0</v>
      </c>
      <c r="BZ11" s="25">
        <f>(BY11*0.00759*-1)</f>
        <v>0</v>
      </c>
      <c r="CA11" s="25">
        <f>(0)</f>
        <v>0</v>
      </c>
      <c r="CB11" s="25">
        <f>(BW11-CA11)</f>
        <v>5004</v>
      </c>
      <c r="CC11" s="25">
        <f>(CB11*0.14*-1)</f>
        <v>-700.56000000000006</v>
      </c>
      <c r="CD11" s="25">
        <f>(CB11*0.01*-1)</f>
        <v>-50.04</v>
      </c>
      <c r="CE11" s="37">
        <f>(AY1+AY7+BA7+BC7-BH7)*(R22*-1)</f>
        <v>0</v>
      </c>
      <c r="CF11" s="37">
        <f ca="1">(CK7+CE11)</f>
        <v>0</v>
      </c>
      <c r="CG11" s="25" t="s">
        <v>0</v>
      </c>
      <c r="CH11" s="25">
        <f>(6471)</f>
        <v>6471</v>
      </c>
      <c r="CI11" s="25">
        <f>(6471)</f>
        <v>6471</v>
      </c>
      <c r="CJ11" s="25">
        <f>(CH11-CI11)</f>
        <v>0</v>
      </c>
      <c r="CK11" s="25">
        <f>(CJ11*0.00759*-1)</f>
        <v>0</v>
      </c>
      <c r="CL11" s="25">
        <f>(0)</f>
        <v>0</v>
      </c>
      <c r="CM11" s="25">
        <f>(CH11-CL11)</f>
        <v>6471</v>
      </c>
      <c r="CN11" s="25">
        <f>(CM11*0.14*-1)</f>
        <v>-905.94</v>
      </c>
      <c r="CO11" s="25">
        <f>(CM11*0.01*-1)</f>
        <v>-64.710000000000008</v>
      </c>
      <c r="CQ11" s="25">
        <f ca="1">(CK1*0.05*-1)</f>
        <v>-656.75750000000016</v>
      </c>
      <c r="CR11" s="25">
        <f ca="1">(CK1+CL1+CM1+CQ11)</f>
        <v>15302.449750000003</v>
      </c>
      <c r="CS11" s="25" t="s">
        <v>0</v>
      </c>
      <c r="CT11" s="25" t="s">
        <v>0</v>
      </c>
      <c r="CU11" s="25" t="s">
        <v>0</v>
      </c>
      <c r="CV11" s="25" t="s">
        <v>0</v>
      </c>
      <c r="CW11" s="25">
        <f>(0)</f>
        <v>0</v>
      </c>
      <c r="CX11" s="25">
        <f>(BW5+CC5+CD5-CW11)</f>
        <v>5500.3499999999995</v>
      </c>
      <c r="CY11" s="25">
        <f>SUM(CX$2:$CX11)</f>
        <v>47521.799999999996</v>
      </c>
      <c r="CZ11" s="29">
        <f t="shared" si="2"/>
        <v>0.2</v>
      </c>
      <c r="DA11" s="33">
        <f t="shared" si="3"/>
        <v>0</v>
      </c>
      <c r="DB11" s="25">
        <f>(DC1)</f>
        <v>638.01</v>
      </c>
      <c r="DC11" s="25">
        <f ca="1">(DW15+DB11)</f>
        <v>-487</v>
      </c>
      <c r="DD11" s="28">
        <f>(100+(100*0.00759*-1)+(100*0.14*-1)+(100*0.01*-1))/100</f>
        <v>0.84240999999999999</v>
      </c>
      <c r="DE11" s="28">
        <f ca="1">(100+(100*0.00759*-1)+(100*0.14*-1)+(100*0.01*-1)+(100+100*0.14*-1+100*0.01*-1)*DV15*-1)/100</f>
        <v>0.71491000000000005</v>
      </c>
      <c r="DF11" s="28">
        <f ca="1">(100+(100*0.00759*-1)+(100)*DV15*-1)/100</f>
        <v>0.84240999999999999</v>
      </c>
      <c r="DG11" s="25">
        <f ca="1">(DI1)</f>
        <v>9496.8100000000013</v>
      </c>
      <c r="DH11" s="25">
        <f ca="1">(DG11*0.205)</f>
        <v>1946.8460500000001</v>
      </c>
      <c r="DI11" s="25">
        <f ca="1">(DG11*0.01)</f>
        <v>94.968100000000021</v>
      </c>
      <c r="DM11" s="34" t="s">
        <v>67</v>
      </c>
      <c r="DN11" s="25">
        <v>2071.1999999999998</v>
      </c>
      <c r="DX11" s="24">
        <v>9</v>
      </c>
      <c r="DY11" s="35">
        <v>4.5</v>
      </c>
      <c r="DZ11" s="36">
        <v>0.11</v>
      </c>
      <c r="EA11" s="49"/>
    </row>
    <row r="12" spans="1:131" ht="39.950000000000003" customHeight="1" x14ac:dyDescent="0.25">
      <c r="A12" s="70"/>
      <c r="B12" s="71"/>
      <c r="C12" s="57"/>
      <c r="D12" s="57"/>
      <c r="E12" s="72"/>
      <c r="F12" s="72"/>
      <c r="G12" s="57"/>
      <c r="H12" s="57"/>
      <c r="I12" s="57"/>
      <c r="J12" s="74"/>
      <c r="K12" s="57"/>
      <c r="L12" s="57"/>
      <c r="M12" s="57"/>
      <c r="N12" s="57"/>
      <c r="O12" s="57"/>
      <c r="P12" s="57"/>
      <c r="Q12" s="57"/>
      <c r="R12" s="57"/>
      <c r="S12" s="57"/>
      <c r="T12" s="57"/>
      <c r="U12" s="73"/>
      <c r="V12" s="15" t="s">
        <v>125</v>
      </c>
      <c r="W12" s="16">
        <f t="shared" ca="1" si="35"/>
        <v>0</v>
      </c>
      <c r="X12" s="16">
        <f ca="1">COUNTIF(Y1,"Ocak")*(BS1)
+COUNTIF(Y1,"Şubat")*(BS2)
+COUNTIF(Y1,"Mart")*(BS3)
+COUNTIF(Y1,"Nisan")*(BU14)
+COUNTIF(Y1,"Mayıs")*(BU15)
+COUNTIF(Y1,"Haziran")*(BU16)
+COUNTIF(Y1,"Temmuz")*(BR22)
+COUNTIF(Y1,"Ağustos")*(BR23)
+COUNTIF(Y1,"Eylül")*(BR24)
+COUNTIF(Y1,"Ekim")*(BR25)
+COUNTIF(Y1,"Kasım")*(BU17)
+COUNTIF(Y1,"Aralık")*(BU18)
+COUNTIF(Y1,"Yıllık Toplam")*(BU19)
+COUNTIF(Y1,"Yıllık Ortalama")*(BU20)</f>
        <v>0</v>
      </c>
      <c r="Y12" s="64"/>
      <c r="Z12" s="68"/>
      <c r="AA12" s="77" t="s">
        <v>141</v>
      </c>
      <c r="AB12" s="78" t="s">
        <v>142</v>
      </c>
      <c r="AC12" s="56"/>
      <c r="AD12" s="58"/>
      <c r="AE12" s="60"/>
      <c r="AF12" s="59"/>
      <c r="AG12" s="34" t="s">
        <v>87</v>
      </c>
      <c r="AH12" s="40">
        <v>276.16000000000003</v>
      </c>
      <c r="AI12" s="22">
        <v>325.89999999999998</v>
      </c>
      <c r="AJ12" s="42">
        <f>(AK11+1)</f>
        <v>44805</v>
      </c>
      <c r="AK12" s="42">
        <f>EOMONTH(AJ12,0)</f>
        <v>44834</v>
      </c>
      <c r="AL12" s="43">
        <f>DAY(AK12)</f>
        <v>30</v>
      </c>
      <c r="AM12" s="43">
        <f>NETWORKDAYS.INTL(AJ12,AK12,11)</f>
        <v>26</v>
      </c>
      <c r="AN12" s="43">
        <f>(AL12-AM12)</f>
        <v>4</v>
      </c>
      <c r="AO12" s="41" t="s">
        <v>0</v>
      </c>
      <c r="AP12"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Q12" s="32">
        <f ca="1">(AP12*CH12)</f>
        <v>154.82106599999997</v>
      </c>
      <c r="AR12"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S12" s="25">
        <f ca="1">(AR12*CH12+DC19/30*-1+CE12/30)</f>
        <v>193.12722899999994</v>
      </c>
      <c r="AT12" s="32">
        <f>COUNTIF($A$1,"Mekanik / Teknik Sorumlusu")*($AI$1+AW2)
+COUNTIF($A$1,"Elektrik Sorumlusu")*($AI$2+AW2)
+COUNTIF($A$1,"Otomasyon Sistem Sorumlusu")*($AI$3+AW2)
+COUNTIF($A$1,"Bilgi İşlem Sorumlusu")*($AI$4+AW2)
+COUNTIF($A$1,"Bakım Onarım Sorumlusu")*($AI$5+AW2)
+COUNTIF($A$1,"İskeleler Sorumlusu")*($AI$6+AW2)
+COUNTIF($A$1,"Ambar ve Stok Kontrol Sorumlusu")*($AI$7+AW2)
+COUNTIF($A$1,"Akaryakıt Sorumlusu")*($AI$8+AW2)
+COUNTIF($A$1,"İnsan Kaynakları ve Eğitim Sorumlusu")*($AI$9+AW2)
+COUNTIF($A$1,"Muhasebe ve Finansman Sorumlusu")*($AI$10+AW2)
+COUNTIF($A$1,"İhale ve Satınalma Sorumlusu")*($AI$11+AW2)
+COUNTIF($A$1,"Halkla İlişkiler Sorumlusu")*($AI$12+AW2)
+COUNTIF($A$1,"Yazı İşleri Sorumlusu")*($AI$13+AW2)
+COUNTIF($A$1,"Gişeler Sorumlusu")*($AI$14+AW2)
+COUNTIF($A$1,"Temizlik / Güvenlik Sorumlusu")*($AI$15+AW2)
+COUNTIF($A$1,"İskele Sorumlusu")*($AI$16+AW2)
+COUNTIF($A$1,"1S-Atölye Personeli")*($AI$17+AW2)
+COUNTIF($A$1,"1S-Bilgi İşlem Büro Personeli")*($AI$18+AW2)
+COUNTIF($A$1,"1S-Şoför")*($AI$19+AW2)
+COUNTIF($A$1,"1S-Büro Personeli")*($AI$20+AW2)
+COUNTIF($A$1,"1S-Yönetim / Genel Müdür Sekreteri")*($AI$21+AW2)
+COUNTIF($A$1,"1S-İskele Personeli")*($AI$22+AW2)
+COUNTIF($A$1,"1S-Gişe Personeli")*($AI$23+AW2)
+COUNTIF($A$1,"1S-Çımacı / Palamarcı")*($AI$24+AW2)
+COUNTIF($A$1,"1S-Temizlik Personeli")*($AI$25+AW2)
+COUNTIF($A$1,"2S-Atölye Personeli")*($AI$26+AW2)
+COUNTIF($A$1,"2S-Bilgi İşlem Büro Personeli")*($AI$27+AW2)
+COUNTIF($A$1,"2S-Şoför")*($AI$28+AW2)
+COUNTIF($A$1,"2S-Büro Personeli")*($AI$29+AW2)
+COUNTIF($A$1,"2S-Yönetim / Genel Müdür Sekreteri")*($AI$30+AW2)
+COUNTIF($A$1,"2S-İskele Personeli")*($AI$31+AW2)
+COUNTIF($A$1,"2S-Gişe Personeli")*($AI$32+AW2)
+COUNTIF($A$1,"2S-Çımacı / Palamarcı")*($AI$33+AW2)
+COUNTIF($A$1,"2S-Temizlik Personeli")*($AI$34+AW2)</f>
        <v>252.6</v>
      </c>
      <c r="AU12" s="25">
        <f ca="1">(AT12*CH12)</f>
        <v>154.82106599999997</v>
      </c>
      <c r="AV12" s="41" t="s">
        <v>0</v>
      </c>
      <c r="AW12" s="40">
        <f>(AT12*AL12)</f>
        <v>7578</v>
      </c>
      <c r="AX12" s="25">
        <f t="shared" ref="AX12:BL12" ca="1" si="36">(AJ22+AJ23+AJ24+AJ25+AX4+AX5+AX6+AX7+AX8+AX9+AX10+AX11)</f>
        <v>0</v>
      </c>
      <c r="AY12" s="25">
        <f t="shared" si="36"/>
        <v>0</v>
      </c>
      <c r="AZ12" s="25">
        <f t="shared" ca="1" si="36"/>
        <v>0</v>
      </c>
      <c r="BA12" s="25">
        <f t="shared" si="36"/>
        <v>0</v>
      </c>
      <c r="BB12" s="25">
        <f t="shared" ca="1" si="36"/>
        <v>0</v>
      </c>
      <c r="BC12" s="25">
        <f t="shared" si="36"/>
        <v>14517.360000000002</v>
      </c>
      <c r="BD12" s="25">
        <f t="shared" ca="1" si="36"/>
        <v>10054.279827512655</v>
      </c>
      <c r="BE12" s="25">
        <f t="shared" si="36"/>
        <v>14517.360000000002</v>
      </c>
      <c r="BF12" s="25">
        <f t="shared" si="36"/>
        <v>14517.360000000002</v>
      </c>
      <c r="BG12" s="25">
        <f t="shared" si="36"/>
        <v>-110.18676240000003</v>
      </c>
      <c r="BH12" s="25">
        <f t="shared" si="36"/>
        <v>3580.2000000000003</v>
      </c>
      <c r="BI12" s="25">
        <f t="shared" si="36"/>
        <v>10937.160000000002</v>
      </c>
      <c r="BJ12" s="25">
        <f t="shared" si="36"/>
        <v>-1531.2023999999997</v>
      </c>
      <c r="BK12" s="25">
        <f t="shared" si="36"/>
        <v>-109.37160000000002</v>
      </c>
      <c r="BL12" s="25">
        <f t="shared" si="36"/>
        <v>0</v>
      </c>
      <c r="BM12" s="37">
        <f ca="1">COUNTIF(O17,"Yok")*(0)
+COUNTIF(O17,"Bayram Yardımı (Kurban)")*($DN$2/DE13)
+COUNTIF(O17,"Bayram Yardımı (Ramazan)")*($DN$3/DE13)
+COUNTIF(O17,"Cenaze Yardımı (Anne-Baba)")*($DN$4)
+COUNTIF(O17,"Cenaze Yardımı (Eş-Çocuk)")*($DN$5)
+COUNTIF(O17,"Cenaze Yardımı (İşçi-İş Kazası Sonucu)")*($DN$6)
+COUNTIF(O17,"Cenaze Yardımı (İşçi-Tabii Sebepler Sonucu)")*($DN$7)
+COUNTIF(O17,"Doğal Afet Yardımı")*($DN$8)
+COUNTIF(O17,"Doğum Yardımı (İşveren)")*($DN$9)
+COUNTIF(O17,"Eğitim Yardımı (Çocuk-Zorunlu Anaokulu)")*($DN$10)
+COUNTIF(O17,"Eğitim Yardımı (Çocuk-İlköğretim)")*($DN$11)
+COUNTIF(O17,"Eğitim Yardımı (Çocuk-Ortaöğretim)")*($DN$12)
+COUNTIF(O17,"Eğitim Yardımı (Çocuk-Lise)")*($DN$13)
+COUNTIF(O17,"Eğitim Yardımı (Çocuk-Yükseköğretim)")*($DN$14)
+COUNTIF(O17,"Eğitim Yardımı (Çocuk-Engelli)")*($DN$15)
+COUNTIF(O17,"Eğitim Yardımı (İşçi-Lise)")*($DN$16)
+COUNTIF(O17,"Eğitim Yardımı (İşçi-Yükseköğretim)")*($DN$17)
+COUNTIF(O17,"Evlilik Yardımı")*($DN$18)
+COUNTIF(O17,"İş Kazası veya Meslek Hastalığı Tazminatı")*($DN$19)
+COUNTIF(O17,"Sünnet Yardımı")*($DN$20)
+COUNTIF(O17,"Temizlik Yardımı")*($DN$21/DE13)
+COUNTIF(P17,"Yok")*(0)
+COUNTIF(P17,"Bayram Yardımı (Kurban)")*($DN$2/DE13)
+COUNTIF(P17,"Bayram Yardımı (Ramazan)")*($DN$3/DE13)
+COUNTIF(P17,"Cenaze Yardımı (Anne-Baba)")*($DN$4)
+COUNTIF(P17,"Cenaze Yardımı (Eş-Çocuk)")*($DN$5)
+COUNTIF(P17,"Cenaze Yardımı (İşçi-İş Kazası Sonucu)")*($DN$6)
+COUNTIF(P17,"Cenaze Yardımı (İşçi-Tabii Sebepler Sonucu)")*($DN$7)
+COUNTIF(P17,"Doğal Afet Yardımı")*($DN$8)
+COUNTIF(P17,"Doğum Yardımı (İşveren)")*($DN$9)
+COUNTIF(P17,"Eğitim Yardımı (Çocuk-Zorunlu Anaokulu)")*($DN$10)
+COUNTIF(P17,"Eğitim Yardımı (Çocuk-İlköğretim)")*($DN$11)
+COUNTIF(P17,"Eğitim Yardımı (Çocuk-Ortaöğretim)")*($DN$12)
+COUNTIF(P17,"Eğitim Yardımı (Çocuk-Lise)")*($DN$13)
+COUNTIF(P17,"Eğitim Yardımı (Çocuk-Yükseköğretim)")*($DN$14)
+COUNTIF(P17,"Eğitim Yardımı (Çocuk-Engelli)")*($DN$15)
+COUNTIF(P17,"Eğitim Yardımı (İşçi-Lise)")*($DN$16)
+COUNTIF(P17,"Eğitim Yardımı (İşçi-Yükseköğretim)")*($DN$17)
+COUNTIF(P17,"Evlilik Yardımı")*($DN$18)
+COUNTIF(P17,"İş Kazası veya Meslek Hastalığı Tazminatı")*($DN$19)
+COUNTIF(P17,"Sünnet Yardımı")*($DN$20)
+COUNTIF(P17,"Temizlik Yardımı")*($DN$21/DE13)
+COUNTIF(Q17,"Yok")*(0)
+COUNTIF(Q17,"Bayram Yardımı (Kurban)")*($DN$2/DE13)
+COUNTIF(Q17,"Bayram Yardımı (Ramazan)")*($DN$3/DE13)
+COUNTIF(Q17,"Cenaze Yardımı (Anne-Baba)")*($DN$4)
+COUNTIF(Q17,"Cenaze Yardımı (Eş-Çocuk)")*($DN$5)
+COUNTIF(Q17,"Cenaze Yardımı (İşçi-İş Kazası Sonucu)")*($DN$6)
+COUNTIF(Q17,"Cenaze Yardımı (İşçi-Tabii Sebepler Sonucu)")*($DN$7)
+COUNTIF(Q17,"Doğal Afet Yardımı")*($DN$8)
+COUNTIF(Q17,"Doğum Yardımı (İşveren)")*($DN$9)
+COUNTIF(Q17,"Eğitim Yardımı (Çocuk-Zorunlu Anaokulu)")*($DN$10)
+COUNTIF(Q17,"Eğitim Yardımı (Çocuk-İlköğretim)")*($DN$11)
+COUNTIF(Q17,"Eğitim Yardımı (Çocuk-Ortaöğretim)")*($DN$12)
+COUNTIF(Q17,"Eğitim Yardımı (Çocuk-Lise)")*($DN$13)
+COUNTIF(Q17,"Eğitim Yardımı (Çocuk-Yükseköğretim)")*($DN$14)
+COUNTIF(Q17,"Eğitim Yardımı (Çocuk-Engelli)")*($DN$15)
+COUNTIF(Q17,"Eğitim Yardımı (İşçi-Lise)")*($DN$16)
+COUNTIF(Q17,"Eğitim Yardımı (İşçi-Yükseköğretim)")*($DN$17)
+COUNTIF(Q17,"Evlilik Yardımı")*($DN$18)
+COUNTIF(Q17,"İş Kazası veya Meslek Hastalığı Tazminatı")*($DN$19)
+COUNTIF(Q17,"Sünnet Yardımı")*($DN$20)
+COUNTIF(Q17,"Temizlik Yardımı")*($DN$21/DE13)</f>
        <v>0</v>
      </c>
      <c r="BN12" s="37">
        <f>COUNTIF(O17,"Yok")*(0)
+COUNTIF(O17,"Bayram Yardımı (Kurban)")*(0)
+COUNTIF(O17,"Bayram Yardımı (Ramazan)")*(0)
+COUNTIF(O17,"Cenaze Yardımı (Anne-Baba)")*($DN$4)
+COUNTIF(O17,"Cenaze Yardımı (Eş-Çocuk)")*($DN$5)
+COUNTIF(O17,"Cenaze Yardımı (İşçi-İş Kazası Sonucu)")*($DN$6)
+COUNTIF(O17,"Cenaze Yardımı (İşçi-Tabii Sebepler Sonucu)")*($DN$7)
+COUNTIF(O17,"Doğal Afet Yardımı")*($DN$8)
+COUNTIF(O17,"Doğum Yardımı (İşveren)")*($DN$9)
+COUNTIF(O17,"Eğitim Yardımı (Çocuk-Zorunlu Anaokulu)")*(0)
+COUNTIF(O17,"Eğitim Yardımı (Çocuk-İlköğretim)")*(0)
+COUNTIF(O17,"Eğitim Yardımı (Çocuk-Ortaöğretim)")*(0)
+COUNTIF(O17,"Eğitim Yardımı (Çocuk-Lise)")*(0)
+COUNTIF(O17,"Eğitim Yardımı (Çocuk-Yükseköğretim)")*(0)
+COUNTIF(O17,"Eğitim Yardımı (Çocuk-Engelli)")*(0)
+COUNTIF(O17,"Eğitim Yardımı (İşçi-Lise)")*(0)
+COUNTIF(O17,"Eğitim Yardımı (İşçi-Yükseköğretim)")*(0)
+COUNTIF(O17,"Evlilik Yardımı")*($DN$18)
+COUNTIF(O17,"İş Kazası veya Meslek Hastalığı Tazminatı")*($DN$19)
+COUNTIF(O17,"Sünnet Yardımı")*(0)
+COUNTIF(O17,"Temizlik Yardımı")*(0)
+COUNTIF(P17,"Yok")*(0)
+COUNTIF(P17,"Bayram Yardımı (Kurban)")*(0)
+COUNTIF(P17,"Bayram Yardımı (Ramazan)")*(0)
+COUNTIF(P17,"Cenaze Yardımı (Anne-Baba)")*($DN$4)
+COUNTIF(P17,"Cenaze Yardımı (Eş-Çocuk)")*($DN$5)
+COUNTIF(P17,"Cenaze Yardımı (İşçi-İş Kazası Sonucu)")*($DN$6)
+COUNTIF(P17,"Cenaze Yardımı (İşçi-Tabii Sebepler Sonucu)")*($DN$7)
+COUNTIF(P17,"Doğal Afet Yardımı")*($DN$8)
+COUNTIF(P17,"Doğum Yardımı (İşveren)")*($DN$9)
+COUNTIF(P17,"Eğitim Yardımı (Çocuk-Zorunlu Anaokulu)")*(0)
+COUNTIF(P17,"Eğitim Yardımı (Çocuk-İlköğretim)")*(0)
+COUNTIF(P17,"Eğitim Yardımı (Çocuk-Ortaöğretim)")*(0)
+COUNTIF(P17,"Eğitim Yardımı (Çocuk-Lise)")*(0)
+COUNTIF(P17,"Eğitim Yardımı (Çocuk-Yükseköğretim)")*(0)
+COUNTIF(P17,"Eğitim Yardımı (Çocuk-Engelli)")*(0)
+COUNTIF(P17,"Eğitim Yardımı (İşçi-Lise)")*(0)
+COUNTIF(P17,"Eğitim Yardımı (İşçi-Yükseköğretim)")*(0)
+COUNTIF(P17,"Evlilik Yardımı")*($DN$18)
+COUNTIF(P17,"İş Kazası veya Meslek Hastalığı Tazminatı")*($DN$19)
+COUNTIF(P17,"Sünnet Yardımı")*(0)
+COUNTIF(P17,"Temizlik Yardımı")*(0)
+COUNTIF(Q17,"Yok")*(0)
+COUNTIF(Q17,"Bayram Yardımı (Kurban)")*(0)
+COUNTIF(Q17,"Bayram Yardımı (Ramazan)")*(0)
+COUNTIF(Q17,"Cenaze Yardımı (Anne-Baba)")*($DN$4)
+COUNTIF(Q17,"Cenaze Yardımı (Eş-Çocuk)")*($DN$5)
+COUNTIF(Q17,"Cenaze Yardımı (İşçi-İş Kazası Sonucu)")*($DN$6)
+COUNTIF(Q17,"Cenaze Yardımı (İşçi-Tabii Sebepler Sonucu)")*($DN$7)
+COUNTIF(Q17,"Doğal Afet Yardımı")*($DN$8)
+COUNTIF(Q17,"Doğum Yardımı (İşveren)")*($DN$9)
+COUNTIF(Q17,"Eğitim Yardımı (Çocuk-Zorunlu Anaokulu)")*(0)
+COUNTIF(Q17,"Eğitim Yardımı (Çocuk-İlköğretim)")*(0)
+COUNTIF(Q17,"Eğitim Yardımı (Çocuk-Ortaöğretim)")*(0)
+COUNTIF(Q17,"Eğitim Yardımı (Çocuk-Lise)")*(0)
+COUNTIF(Q17,"Eğitim Yardımı (Çocuk-Yükseköğretim)")*(0)
+COUNTIF(Q17,"Eğitim Yardımı (Çocuk-Engelli)")*(0)
+COUNTIF(Q17,"Eğitim Yardımı (İşçi-Lise)")*(0)
+COUNTIF(Q17,"Eğitim Yardımı (İşçi-Yükseköğretim)")*(0)
+COUNTIF(Q17,"Evlilik Yardımı")*($DN$18)
+COUNTIF(Q17,"İş Kazası veya Meslek Hastalığı Tazminatı")*($DN$19)
+COUNTIF(Q17,"Sünnet Yardımı")*(0)
+COUNTIF(Q17,"Temizlik Yardımı")*(0)</f>
        <v>0</v>
      </c>
      <c r="BO12" s="37">
        <f ca="1">COUNTIF(O17,"Yok")*(0)
+COUNTIF(O17,"Bayram Yardımı (Kurban)")*($DN$2)
+COUNTIF(O17,"Bayram Yardımı (Ramazan)")*($DN$3)
+COUNTIF(O17,"Cenaze Yardımı (Anne-Baba)")*($DN$4-$DN$4*0.00759)
+COUNTIF(O17,"Cenaze Yardımı (Eş-Çocuk)")*($DN$5-$DN$5*0.00759)
+COUNTIF(O17,"Cenaze Yardımı (İşçi-İş Kazası Sonucu)")*($DN$6-$DN$6*0.00759)
+COUNTIF(O17,"Cenaze Yardımı (İşçi-Tabii Sebepler Sonucu)")*($DN$7-$DN$7*0.00759)
+COUNTIF(O17,"Doğal Afet Yardımı")*($DN$8-$DN$8*0.00759)
+COUNTIF(O17,"Doğum Yardımı (İşveren)")*($DN$9-$DN$9*0.00759)
+COUNTIF(O17,"Eğitim Yardımı (Çocuk-Zorunlu Anaokulu)")*($DN$10*DE13)
+COUNTIF(O17,"Eğitim Yardımı (Çocuk-İlköğretim)")*($DN$11*DE13)
+COUNTIF(O17,"Eğitim Yardımı (Çocuk-Ortaöğretim)")*($DN$12*DE13)
+COUNTIF(O17,"Eğitim Yardımı (Çocuk-Lise)")*($DN$13*DE13)
+COUNTIF(O17,"Eğitim Yardımı (Çocuk-Yükseköğretim)")*($DN$14*DE13)
+COUNTIF(O17,"Eğitim Yardımı (Çocuk-Engelli)")*($DN$15*DE13)
+COUNTIF(O17,"Eğitim Yardımı (İşçi-Lise)")*($DN$16*DE13)
+COUNTIF(O17,"Eğitim Yardımı (İşçi-Yükseköğretim)")*($DN$17*DE13)
+COUNTIF(O17,"Evlilik Yardımı")*($DN$18-$DN$18*0.00759)
+COUNTIF(O17,"İş Kazası veya Meslek Hastalığı Tazminatı")*($DN$19-$DN$19*0.00759)
+COUNTIF(O17,"Sünnet Yardımı")*($DN$20*DE13)
+COUNTIF(O17,"Temizlik Yardımı")*($DN$21)
+COUNTIF(P17,"Yok")*(0)
+COUNTIF(P17,"Bayram Yardımı (Kurban)")*($DN$2)
+COUNTIF(P17,"Bayram Yardımı (Ramazan)")*($DN$3)
+COUNTIF(P17,"Cenaze Yardımı (Anne-Baba)")*($DN$4-$DN$4*0.00759)
+COUNTIF(P17,"Cenaze Yardımı (Eş-Çocuk)")*($DN$5-$DN$5*0.00759)
+COUNTIF(P17,"Cenaze Yardımı (İşçi-İş Kazası Sonucu)")*($DN$6-$DN$6*0.00759)
+COUNTIF(P17,"Cenaze Yardımı (İşçi-Tabii Sebepler Sonucu)")*($DN$7-$DN$7*0.00759)
+COUNTIF(P17,"Doğal Afet Yardımı")*($DN$8-$DN$8*0.00759)
+COUNTIF(P17,"Doğum Yardımı (İşveren)")*($DN$9-$DN$9*0.00759)
+COUNTIF(P17,"Eğitim Yardımı (Çocuk-Zorunlu Anaokulu)")*($DN$10*DE13)
+COUNTIF(P17,"Eğitim Yardımı (Çocuk-İlköğretim)")*($DN$11*DE13)
+COUNTIF(P17,"Eğitim Yardımı (Çocuk-Ortaöğretim)")*($DN$12*DE13)
+COUNTIF(P17,"Eğitim Yardımı (Çocuk-Lise)")*($DN$13*DE13)
+COUNTIF(P17,"Eğitim Yardımı (Çocuk-Yükseköğretim)")*($DN$14*DE13)
+COUNTIF(P17,"Eğitim Yardımı (Çocuk-Engelli)")*($DN$15*DE13)
+COUNTIF(P17,"Eğitim Yardımı (İşçi-Lise)")*($DN$16*DE13)
+COUNTIF(P17,"Eğitim Yardımı (İşçi-Yükseköğretim)")*($DN$17*DE13)
+COUNTIF(P17,"Evlilik Yardımı")*($DN$18-$DN$18*0.00759)
+COUNTIF(P17,"İş Kazası veya Meslek Hastalığı Tazminatı")*($DN$19-$DN$19*0.00759)
+COUNTIF(P17,"Sünnet Yardımı")*($DN$20*DE13)
+COUNTIF(P17,"Temizlik Yardımı")*($DN$21)
+COUNTIF(Q17,"Yok")*(0)
+COUNTIF(Q17,"Bayram Yardımı (Kurban)")*($DN$2)
+COUNTIF(Q17,"Bayram Yardımı (Ramazan)")*($DN$3)
+COUNTIF(Q17,"Cenaze Yardımı (Anne-Baba)")*($DN$4-$DN$4*0.00759)
+COUNTIF(Q17,"Cenaze Yardımı (Eş-Çocuk)")*($DN$5-$DN$5*0.00759)
+COUNTIF(Q17,"Cenaze Yardımı (İşçi-İş Kazası Sonucu)")*($DN$6-$DN$6*0.00759)
+COUNTIF(Q17,"Cenaze Yardımı (İşçi-Tabii Sebepler Sonucu)")*($DN$7-$DN$7*0.00759)
+COUNTIF(Q17,"Doğal Afet Yardımı")*($DN$8-$DN$8*0.00759)
+COUNTIF(Q17,"Doğum Yardımı (İşveren)")*($DN$9-$DN$9*0.00759)
+COUNTIF(Q17,"Eğitim Yardımı (Çocuk-Zorunlu Anaokulu)")*($DN$10*DE13)
+COUNTIF(Q17,"Eğitim Yardımı (Çocuk-İlköğretim)")*($DN$11*DE13)
+COUNTIF(Q17,"Eğitim Yardımı (Çocuk-Ortaöğretim)")*($DN$12*DE13)
+COUNTIF(Q17,"Eğitim Yardımı (Çocuk-Lise)")*($DN$13*DE13)
+COUNTIF(Q17,"Eğitim Yardımı (Çocuk-Yükseköğretim)")*($DN$14*DE13)
+COUNTIF(Q17,"Eğitim Yardımı (Çocuk-Engelli)")*($DN$15*DE13)
+COUNTIF(Q17,"Eğitim Yardımı (İşçi-Lise)")*($DN$16*DE13)
+COUNTIF(Q17,"Eğitim Yardımı (İşçi-Yükseköğretim)")*($DN$17*DE13)
+COUNTIF(Q17,"Evlilik Yardımı")*($DN$18-$DN$18*0.00759)
+COUNTIF(Q17,"İş Kazası veya Meslek Hastalığı Tazminatı")*($DN$19-$DN$19*0.00759)
+COUNTIF(Q17,"Sünnet Yardımı")*($DN$20*DE13)
+COUNTIF(Q17,"Temizlik Yardımı")*($DN$21)</f>
        <v>0</v>
      </c>
      <c r="BP12" s="33" t="s">
        <v>12</v>
      </c>
      <c r="BQ12" s="25">
        <f>COUNTIF(BP12,"Var")*(AU17*0.9*-1)</f>
        <v>-192.61800000000002</v>
      </c>
      <c r="BR12" s="25">
        <f>(BQ12*-1)</f>
        <v>192.61800000000002</v>
      </c>
      <c r="BS12" s="37">
        <f ca="1">(DG8*R17+BT12)*-1</f>
        <v>0</v>
      </c>
      <c r="BT12" s="37">
        <f>(AN17+AK24+AM24+AO24-AT24)*(R17*-1)</f>
        <v>0</v>
      </c>
      <c r="BU12" s="37">
        <f ca="1">(BS12+BT12)</f>
        <v>0</v>
      </c>
      <c r="BV12" s="25" t="s">
        <v>0</v>
      </c>
      <c r="BW12" s="25">
        <f>(5004)</f>
        <v>5004</v>
      </c>
      <c r="BX12" s="25">
        <f>(5004)</f>
        <v>5004</v>
      </c>
      <c r="BY12" s="25">
        <f>(BW12-BX12)</f>
        <v>0</v>
      </c>
      <c r="BZ12" s="25">
        <f>(BY12*0.00759*-1)</f>
        <v>0</v>
      </c>
      <c r="CA12" s="25">
        <f>(0)</f>
        <v>0</v>
      </c>
      <c r="CB12" s="25">
        <f>(BW12-CA12)</f>
        <v>5004</v>
      </c>
      <c r="CC12" s="25">
        <f>(CB12*0.14*-1)</f>
        <v>-700.56000000000006</v>
      </c>
      <c r="CD12" s="25">
        <f>(CB12*0.01*-1)</f>
        <v>-50.04</v>
      </c>
      <c r="CE12" s="25">
        <f>(CT19)</f>
        <v>1100.07</v>
      </c>
      <c r="CF12" s="25">
        <f ca="1">(DW23+CE12)</f>
        <v>-1135.1600000000001</v>
      </c>
      <c r="CG12" s="28">
        <f t="shared" si="1"/>
        <v>0.84240999999999999</v>
      </c>
      <c r="CH12" s="28">
        <f ca="1">(100+(100*0.00759*-1)+(100*0.14*-1)+(100*0.01*-1)+(100+100*0.14*-1+100*0.01*-1)*DV23*-1)/100</f>
        <v>0.61290999999999995</v>
      </c>
      <c r="CI12" s="28">
        <f ca="1">(100+(100*0.00759*-1)+(100)*DV23*-1)/100</f>
        <v>0.72241</v>
      </c>
      <c r="CJ12" s="25">
        <f ca="1">(CZ19)</f>
        <v>10628.820000000002</v>
      </c>
      <c r="CK12" s="25">
        <f ca="1">(CJ12*0.205)</f>
        <v>2178.9081000000001</v>
      </c>
      <c r="CL12" s="25">
        <f ca="1">(CJ12*0.01)</f>
        <v>106.28820000000002</v>
      </c>
      <c r="CM12" s="25">
        <f ca="1">(CJ12*0.05*-1)</f>
        <v>-531.44100000000014</v>
      </c>
      <c r="CN12" s="25">
        <f ca="1">(CJ12+CK12+CL12+CM12)</f>
        <v>12382.575300000002</v>
      </c>
      <c r="CQ12" s="25">
        <f ca="1">(CK2*0.05*-1)</f>
        <v>-544.07100000000003</v>
      </c>
      <c r="CR12" s="25">
        <f ca="1">(CK2+CL2+CM2+CQ12)</f>
        <v>12676.854300000001</v>
      </c>
      <c r="CS12" s="25" t="s">
        <v>0</v>
      </c>
      <c r="CT12" s="25" t="s">
        <v>0</v>
      </c>
      <c r="CU12" s="25" t="s">
        <v>0</v>
      </c>
      <c r="CV12" s="25" t="s">
        <v>0</v>
      </c>
      <c r="CW12" s="25">
        <f>(0)</f>
        <v>0</v>
      </c>
      <c r="CX12" s="25">
        <f>(BW6+CC6+CD6-CW12)</f>
        <v>5500.3499999999995</v>
      </c>
      <c r="CY12" s="25">
        <f>SUM(CX$2:$CX12)</f>
        <v>53022.149999999994</v>
      </c>
      <c r="CZ12" s="29">
        <f t="shared" si="2"/>
        <v>0.2</v>
      </c>
      <c r="DA12" s="33">
        <f t="shared" si="3"/>
        <v>0</v>
      </c>
      <c r="DB12" s="25">
        <f>(DC2)</f>
        <v>638.01</v>
      </c>
      <c r="DC12" s="25">
        <f ca="1">(DW16+DB12)</f>
        <v>-896.31</v>
      </c>
      <c r="DD12" s="28">
        <f t="shared" si="1"/>
        <v>0.84240999999999999</v>
      </c>
      <c r="DE12" s="28">
        <f ca="1">(100+(100*0.00759*-1)+(100*0.14*-1)+(100*0.01*-1)+(100+100*0.14*-1+100*0.01*-1)*DV16*-1)/100</f>
        <v>0.71491000000000005</v>
      </c>
      <c r="DF12" s="28">
        <f ca="1">(100+(100*0.00759*-1)+(100)*DV16*-1)/100</f>
        <v>0.84240999999999999</v>
      </c>
      <c r="DG12" s="25">
        <f ca="1">(DI2)</f>
        <v>12707.11</v>
      </c>
      <c r="DH12" s="25">
        <f ca="1">(DG12*0.205)</f>
        <v>2604.9575500000001</v>
      </c>
      <c r="DI12" s="25">
        <f ca="1">(DG12*0.01)</f>
        <v>127.07110000000002</v>
      </c>
      <c r="DM12" s="34" t="s">
        <v>68</v>
      </c>
      <c r="DN12" s="25">
        <v>2071.1999999999998</v>
      </c>
      <c r="DX12" s="24">
        <v>10</v>
      </c>
      <c r="DY12" s="35">
        <v>5</v>
      </c>
      <c r="DZ12" s="36">
        <v>0.12</v>
      </c>
      <c r="EA12" s="49"/>
    </row>
    <row r="13" spans="1:131" ht="39.950000000000003" customHeight="1" x14ac:dyDescent="0.25">
      <c r="A13" s="70"/>
      <c r="B13" s="71"/>
      <c r="C13" s="57"/>
      <c r="D13" s="57"/>
      <c r="E13" s="72"/>
      <c r="F13" s="72"/>
      <c r="G13" s="57"/>
      <c r="H13" s="57"/>
      <c r="I13" s="57"/>
      <c r="J13" s="74"/>
      <c r="K13" s="57"/>
      <c r="L13" s="57"/>
      <c r="M13" s="57"/>
      <c r="N13" s="57"/>
      <c r="O13" s="57"/>
      <c r="P13" s="57"/>
      <c r="Q13" s="57"/>
      <c r="R13" s="57"/>
      <c r="S13" s="57"/>
      <c r="T13" s="57"/>
      <c r="U13" s="73"/>
      <c r="V13" s="15" t="s">
        <v>126</v>
      </c>
      <c r="W13" s="16">
        <f t="shared" ca="1" si="35"/>
        <v>0</v>
      </c>
      <c r="X13" s="16">
        <f ca="1">COUNTIF(Y1,"Ocak")*(BF26)
+COUNTIF(Y1,"Şubat")*(BF27)
+COUNTIF(Y1,"Mart")*(BF28)
+COUNTIF(Y1,"Nisan")*(CP14)
+COUNTIF(Y1,"Mayıs")*(CP15)
+COUNTIF(Y1,"Haziran")*(CP16)
+COUNTIF(Y1,"Temmuz")*(CM22)
+COUNTIF(Y1,"Ağustos")*(CM23)
+COUNTIF(Y1,"Eylül")*(CM24)
+COUNTIF(Y1,"Ekim")*(CM25)
+COUNTIF(Y1,"Kasım")*(CP17)
+COUNTIF(Y1,"Aralık")*(CP18)
+COUNTIF(Y1,"Yıllık Toplam")*(CP19)
+COUNTIF(Y1,"Yıllık Ortalama")*(CP20)</f>
        <v>0</v>
      </c>
      <c r="Y13" s="64"/>
      <c r="Z13" s="68"/>
      <c r="AA13" s="77" t="s">
        <v>48</v>
      </c>
      <c r="AB13" s="79" t="s">
        <v>143</v>
      </c>
      <c r="AC13" s="56"/>
      <c r="AD13" s="58"/>
      <c r="AE13" s="60"/>
      <c r="AF13" s="59"/>
      <c r="AG13" s="34" t="s">
        <v>88</v>
      </c>
      <c r="AH13" s="40">
        <v>276.16000000000003</v>
      </c>
      <c r="AI13" s="22">
        <v>325.89999999999998</v>
      </c>
      <c r="AJ13" s="42">
        <f>(AK12+1)</f>
        <v>44835</v>
      </c>
      <c r="AK13" s="42">
        <f>EOMONTH(AJ13,0)</f>
        <v>44865</v>
      </c>
      <c r="AL13" s="43">
        <f>DAY(AK13)</f>
        <v>31</v>
      </c>
      <c r="AM13" s="43">
        <f>NETWORKDAYS.INTL(AJ13,AK13,11)</f>
        <v>26</v>
      </c>
      <c r="AN13" s="43">
        <f>(AL13-AM13)</f>
        <v>5</v>
      </c>
      <c r="AO13" s="41" t="s">
        <v>0</v>
      </c>
      <c r="AP13"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Q13" s="32">
        <f ca="1">(AP13*CH13)</f>
        <v>154.82106599999997</v>
      </c>
      <c r="AR13"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S13" s="25">
        <f ca="1">(AR13*CH13+DC20/30*-1+CE13/30)</f>
        <v>193.12722899999994</v>
      </c>
      <c r="AT13" s="32">
        <f>COUNTIF($A$1,"Mekanik / Teknik Sorumlusu")*($AI$1+AW3)
+COUNTIF($A$1,"Elektrik Sorumlusu")*($AI$2+AW3)
+COUNTIF($A$1,"Otomasyon Sistem Sorumlusu")*($AI$3+AW3)
+COUNTIF($A$1,"Bilgi İşlem Sorumlusu")*($AI$4+AW3)
+COUNTIF($A$1,"Bakım Onarım Sorumlusu")*($AI$5+AW3)
+COUNTIF($A$1,"İskeleler Sorumlusu")*($AI$6+AW3)
+COUNTIF($A$1,"Ambar ve Stok Kontrol Sorumlusu")*($AI$7+AW3)
+COUNTIF($A$1,"Akaryakıt Sorumlusu")*($AI$8+AW3)
+COUNTIF($A$1,"İnsan Kaynakları ve Eğitim Sorumlusu")*($AI$9+AW3)
+COUNTIF($A$1,"Muhasebe ve Finansman Sorumlusu")*($AI$10+AW3)
+COUNTIF($A$1,"İhale ve Satınalma Sorumlusu")*($AI$11+AW3)
+COUNTIF($A$1,"Halkla İlişkiler Sorumlusu")*($AI$12+AW3)
+COUNTIF($A$1,"Yazı İşleri Sorumlusu")*($AI$13+AW3)
+COUNTIF($A$1,"Gişeler Sorumlusu")*($AI$14+AW3)
+COUNTIF($A$1,"Temizlik / Güvenlik Sorumlusu")*($AI$15+AW3)
+COUNTIF($A$1,"İskele Sorumlusu")*($AI$16+AW3)
+COUNTIF($A$1,"1S-Atölye Personeli")*($AI$17+AW3)
+COUNTIF($A$1,"1S-Bilgi İşlem Büro Personeli")*($AI$18+AW3)
+COUNTIF($A$1,"1S-Şoför")*($AI$19+AW3)
+COUNTIF($A$1,"1S-Büro Personeli")*($AI$20+AW3)
+COUNTIF($A$1,"1S-Yönetim / Genel Müdür Sekreteri")*($AI$21+AW3)
+COUNTIF($A$1,"1S-İskele Personeli")*($AI$22+AW3)
+COUNTIF($A$1,"1S-Gişe Personeli")*($AI$23+AW3)
+COUNTIF($A$1,"1S-Çımacı / Palamarcı")*($AI$24+AW3)
+COUNTIF($A$1,"1S-Temizlik Personeli")*($AI$25+AW3)
+COUNTIF($A$1,"2S-Atölye Personeli")*($AI$26+AW3)
+COUNTIF($A$1,"2S-Bilgi İşlem Büro Personeli")*($AI$27+AW3)
+COUNTIF($A$1,"2S-Şoför")*($AI$28+AW3)
+COUNTIF($A$1,"2S-Büro Personeli")*($AI$29+AW3)
+COUNTIF($A$1,"2S-Yönetim / Genel Müdür Sekreteri")*($AI$30+AW3)
+COUNTIF($A$1,"2S-İskele Personeli")*($AI$31+AW3)
+COUNTIF($A$1,"2S-Gişe Personeli")*($AI$32+AW3)
+COUNTIF($A$1,"2S-Çımacı / Palamarcı")*($AI$33+AW3)
+COUNTIF($A$1,"2S-Temizlik Personeli")*($AI$34+AW3)</f>
        <v>252.6</v>
      </c>
      <c r="AU13" s="25">
        <f ca="1">(AT13*CH13)</f>
        <v>154.82106599999997</v>
      </c>
      <c r="AV13" s="41" t="s">
        <v>0</v>
      </c>
      <c r="AW13" s="40">
        <f>(AT13*AL13)</f>
        <v>7830.5999999999995</v>
      </c>
      <c r="AX13" s="25">
        <f ca="1">(AX12/12)</f>
        <v>0</v>
      </c>
      <c r="AY13" s="25">
        <f t="shared" ref="AY13:AZ13" si="37">(AY12/12)</f>
        <v>0</v>
      </c>
      <c r="AZ13" s="25">
        <f t="shared" ca="1" si="37"/>
        <v>0</v>
      </c>
      <c r="BA13" s="25">
        <f t="shared" ref="BA13:BB13" si="38">(BA12/12)</f>
        <v>0</v>
      </c>
      <c r="BB13" s="25">
        <f t="shared" ca="1" si="38"/>
        <v>0</v>
      </c>
      <c r="BC13" s="25">
        <f t="shared" ref="BC13:BL13" si="39">(BC12/12)</f>
        <v>1209.7800000000002</v>
      </c>
      <c r="BD13" s="25">
        <f t="shared" ca="1" si="39"/>
        <v>837.85665229272126</v>
      </c>
      <c r="BE13" s="25">
        <f t="shared" si="39"/>
        <v>1209.7800000000002</v>
      </c>
      <c r="BF13" s="25">
        <f t="shared" si="39"/>
        <v>1209.7800000000002</v>
      </c>
      <c r="BG13" s="25">
        <f t="shared" si="39"/>
        <v>-9.1822302000000029</v>
      </c>
      <c r="BH13" s="25">
        <f t="shared" si="39"/>
        <v>298.35000000000002</v>
      </c>
      <c r="BI13" s="25">
        <f t="shared" si="39"/>
        <v>911.43000000000018</v>
      </c>
      <c r="BJ13" s="25">
        <f t="shared" si="39"/>
        <v>-127.60019999999997</v>
      </c>
      <c r="BK13" s="25">
        <f t="shared" si="39"/>
        <v>-9.1143000000000018</v>
      </c>
      <c r="BL13" s="25">
        <f t="shared" si="39"/>
        <v>0</v>
      </c>
      <c r="BM13" s="37">
        <f ca="1">COUNTIF(O18,"Yok")*(0)
+COUNTIF(O18,"Bayram Yardımı (Kurban)")*($DN$2/DE14)
+COUNTIF(O18,"Bayram Yardımı (Ramazan)")*($DN$3/DE14)
+COUNTIF(O18,"Cenaze Yardımı (Anne-Baba)")*($DN$4)
+COUNTIF(O18,"Cenaze Yardımı (Eş-Çocuk)")*($DN$5)
+COUNTIF(O18,"Cenaze Yardımı (İşçi-İş Kazası Sonucu)")*($DN$6)
+COUNTIF(O18,"Cenaze Yardımı (İşçi-Tabii Sebepler Sonucu)")*($DN$7)
+COUNTIF(O18,"Doğal Afet Yardımı")*($DN$8)
+COUNTIF(O18,"Doğum Yardımı (İşveren)")*($DN$9)
+COUNTIF(O18,"Eğitim Yardımı (Çocuk-Zorunlu Anaokulu)")*($DN$10)
+COUNTIF(O18,"Eğitim Yardımı (Çocuk-İlköğretim)")*($DN$11)
+COUNTIF(O18,"Eğitim Yardımı (Çocuk-Ortaöğretim)")*($DN$12)
+COUNTIF(O18,"Eğitim Yardımı (Çocuk-Lise)")*($DN$13)
+COUNTIF(O18,"Eğitim Yardımı (Çocuk-Yükseköğretim)")*($DN$14)
+COUNTIF(O18,"Eğitim Yardımı (Çocuk-Engelli)")*($DN$15)
+COUNTIF(O18,"Eğitim Yardımı (İşçi-Lise)")*($DN$16)
+COUNTIF(O18,"Eğitim Yardımı (İşçi-Yükseköğretim)")*($DN$17)
+COUNTIF(O18,"Evlilik Yardımı")*($DN$18)
+COUNTIF(O18,"İş Kazası veya Meslek Hastalığı Tazminatı")*($DN$19)
+COUNTIF(O18,"Sünnet Yardımı")*($DN$20)
+COUNTIF(O18,"Temizlik Yardımı")*($DN$21/DE14)
+COUNTIF(P18,"Yok")*(0)
+COUNTIF(P18,"Bayram Yardımı (Kurban)")*($DN$2/DE14)
+COUNTIF(P18,"Bayram Yardımı (Ramazan)")*($DN$3/DE14)
+COUNTIF(P18,"Cenaze Yardımı (Anne-Baba)")*($DN$4)
+COUNTIF(P18,"Cenaze Yardımı (Eş-Çocuk)")*($DN$5)
+COUNTIF(P18,"Cenaze Yardımı (İşçi-İş Kazası Sonucu)")*($DN$6)
+COUNTIF(P18,"Cenaze Yardımı (İşçi-Tabii Sebepler Sonucu)")*($DN$7)
+COUNTIF(P18,"Doğal Afet Yardımı")*($DN$8)
+COUNTIF(P18,"Doğum Yardımı (İşveren)")*($DN$9)
+COUNTIF(P18,"Eğitim Yardımı (Çocuk-Zorunlu Anaokulu)")*($DN$10)
+COUNTIF(P18,"Eğitim Yardımı (Çocuk-İlköğretim)")*($DN$11)
+COUNTIF(P18,"Eğitim Yardımı (Çocuk-Ortaöğretim)")*($DN$12)
+COUNTIF(P18,"Eğitim Yardımı (Çocuk-Lise)")*($DN$13)
+COUNTIF(P18,"Eğitim Yardımı (Çocuk-Yükseköğretim)")*($DN$14)
+COUNTIF(P18,"Eğitim Yardımı (Çocuk-Engelli)")*($DN$15)
+COUNTIF(P18,"Eğitim Yardımı (İşçi-Lise)")*($DN$16)
+COUNTIF(P18,"Eğitim Yardımı (İşçi-Yükseköğretim)")*($DN$17)
+COUNTIF(P18,"Evlilik Yardımı")*($DN$18)
+COUNTIF(P18,"İş Kazası veya Meslek Hastalığı Tazminatı")*($DN$19)
+COUNTIF(P18,"Sünnet Yardımı")*($DN$20)
+COUNTIF(P18,"Temizlik Yardımı")*($DN$21/DE14)
+COUNTIF(Q18,"Yok")*(0)
+COUNTIF(Q18,"Bayram Yardımı (Kurban)")*($DN$2/DE14)
+COUNTIF(Q18,"Bayram Yardımı (Ramazan)")*($DN$3/DE14)
+COUNTIF(Q18,"Cenaze Yardımı (Anne-Baba)")*($DN$4)
+COUNTIF(Q18,"Cenaze Yardımı (Eş-Çocuk)")*($DN$5)
+COUNTIF(Q18,"Cenaze Yardımı (İşçi-İş Kazası Sonucu)")*($DN$6)
+COUNTIF(Q18,"Cenaze Yardımı (İşçi-Tabii Sebepler Sonucu)")*($DN$7)
+COUNTIF(Q18,"Doğal Afet Yardımı")*($DN$8)
+COUNTIF(Q18,"Doğum Yardımı (İşveren)")*($DN$9)
+COUNTIF(Q18,"Eğitim Yardımı (Çocuk-Zorunlu Anaokulu)")*($DN$10)
+COUNTIF(Q18,"Eğitim Yardımı (Çocuk-İlköğretim)")*($DN$11)
+COUNTIF(Q18,"Eğitim Yardımı (Çocuk-Ortaöğretim)")*($DN$12)
+COUNTIF(Q18,"Eğitim Yardımı (Çocuk-Lise)")*($DN$13)
+COUNTIF(Q18,"Eğitim Yardımı (Çocuk-Yükseköğretim)")*($DN$14)
+COUNTIF(Q18,"Eğitim Yardımı (Çocuk-Engelli)")*($DN$15)
+COUNTIF(Q18,"Eğitim Yardımı (İşçi-Lise)")*($DN$16)
+COUNTIF(Q18,"Eğitim Yardımı (İşçi-Yükseköğretim)")*($DN$17)
+COUNTIF(Q18,"Evlilik Yardımı")*($DN$18)
+COUNTIF(Q18,"İş Kazası veya Meslek Hastalığı Tazminatı")*($DN$19)
+COUNTIF(Q18,"Sünnet Yardımı")*($DN$20)
+COUNTIF(Q18,"Temizlik Yardımı")*($DN$21/DE14)</f>
        <v>0</v>
      </c>
      <c r="BN13" s="37">
        <f>COUNTIF(O18,"Yok")*(0)
+COUNTIF(O18,"Bayram Yardımı (Kurban)")*(0)
+COUNTIF(O18,"Bayram Yardımı (Ramazan)")*(0)
+COUNTIF(O18,"Cenaze Yardımı (Anne-Baba)")*($DN$4)
+COUNTIF(O18,"Cenaze Yardımı (Eş-Çocuk)")*($DN$5)
+COUNTIF(O18,"Cenaze Yardımı (İşçi-İş Kazası Sonucu)")*($DN$6)
+COUNTIF(O18,"Cenaze Yardımı (İşçi-Tabii Sebepler Sonucu)")*($DN$7)
+COUNTIF(O18,"Doğal Afet Yardımı")*($DN$8)
+COUNTIF(O18,"Doğum Yardımı (İşveren)")*($DN$9)
+COUNTIF(O18,"Eğitim Yardımı (Çocuk-Zorunlu Anaokulu)")*(0)
+COUNTIF(O18,"Eğitim Yardımı (Çocuk-İlköğretim)")*(0)
+COUNTIF(O18,"Eğitim Yardımı (Çocuk-Ortaöğretim)")*(0)
+COUNTIF(O18,"Eğitim Yardımı (Çocuk-Lise)")*(0)
+COUNTIF(O18,"Eğitim Yardımı (Çocuk-Yükseköğretim)")*(0)
+COUNTIF(O18,"Eğitim Yardımı (Çocuk-Engelli)")*(0)
+COUNTIF(O18,"Eğitim Yardımı (İşçi-Lise)")*(0)
+COUNTIF(O18,"Eğitim Yardımı (İşçi-Yükseköğretim)")*(0)
+COUNTIF(O18,"Evlilik Yardımı")*($DN$18)
+COUNTIF(O18,"İş Kazası veya Meslek Hastalığı Tazminatı")*($DN$19)
+COUNTIF(O18,"Sünnet Yardımı")*(0)
+COUNTIF(O18,"Temizlik Yardımı")*(0)
+COUNTIF(P18,"Yok")*(0)
+COUNTIF(P18,"Bayram Yardımı (Kurban)")*(0)
+COUNTIF(P18,"Bayram Yardımı (Ramazan)")*(0)
+COUNTIF(P18,"Cenaze Yardımı (Anne-Baba)")*($DN$4)
+COUNTIF(P18,"Cenaze Yardımı (Eş-Çocuk)")*($DN$5)
+COUNTIF(P18,"Cenaze Yardımı (İşçi-İş Kazası Sonucu)")*($DN$6)
+COUNTIF(P18,"Cenaze Yardımı (İşçi-Tabii Sebepler Sonucu)")*($DN$7)
+COUNTIF(P18,"Doğal Afet Yardımı")*($DN$8)
+COUNTIF(P18,"Doğum Yardımı (İşveren)")*($DN$9)
+COUNTIF(P18,"Eğitim Yardımı (Çocuk-Zorunlu Anaokulu)")*(0)
+COUNTIF(P18,"Eğitim Yardımı (Çocuk-İlköğretim)")*(0)
+COUNTIF(P18,"Eğitim Yardımı (Çocuk-Ortaöğretim)")*(0)
+COUNTIF(P18,"Eğitim Yardımı (Çocuk-Lise)")*(0)
+COUNTIF(P18,"Eğitim Yardımı (Çocuk-Yükseköğretim)")*(0)
+COUNTIF(P18,"Eğitim Yardımı (Çocuk-Engelli)")*(0)
+COUNTIF(P18,"Eğitim Yardımı (İşçi-Lise)")*(0)
+COUNTIF(P18,"Eğitim Yardımı (İşçi-Yükseköğretim)")*(0)
+COUNTIF(P18,"Evlilik Yardımı")*($DN$18)
+COUNTIF(P18,"İş Kazası veya Meslek Hastalığı Tazminatı")*($DN$19)
+COUNTIF(P18,"Sünnet Yardımı")*(0)
+COUNTIF(P18,"Temizlik Yardımı")*(0)
+COUNTIF(Q18,"Yok")*(0)
+COUNTIF(Q18,"Bayram Yardımı (Kurban)")*(0)
+COUNTIF(Q18,"Bayram Yardımı (Ramazan)")*(0)
+COUNTIF(Q18,"Cenaze Yardımı (Anne-Baba)")*($DN$4)
+COUNTIF(Q18,"Cenaze Yardımı (Eş-Çocuk)")*($DN$5)
+COUNTIF(Q18,"Cenaze Yardımı (İşçi-İş Kazası Sonucu)")*($DN$6)
+COUNTIF(Q18,"Cenaze Yardımı (İşçi-Tabii Sebepler Sonucu)")*($DN$7)
+COUNTIF(Q18,"Doğal Afet Yardımı")*($DN$8)
+COUNTIF(Q18,"Doğum Yardımı (İşveren)")*($DN$9)
+COUNTIF(Q18,"Eğitim Yardımı (Çocuk-Zorunlu Anaokulu)")*(0)
+COUNTIF(Q18,"Eğitim Yardımı (Çocuk-İlköğretim)")*(0)
+COUNTIF(Q18,"Eğitim Yardımı (Çocuk-Ortaöğretim)")*(0)
+COUNTIF(Q18,"Eğitim Yardımı (Çocuk-Lise)")*(0)
+COUNTIF(Q18,"Eğitim Yardımı (Çocuk-Yükseköğretim)")*(0)
+COUNTIF(Q18,"Eğitim Yardımı (Çocuk-Engelli)")*(0)
+COUNTIF(Q18,"Eğitim Yardımı (İşçi-Lise)")*(0)
+COUNTIF(Q18,"Eğitim Yardımı (İşçi-Yükseköğretim)")*(0)
+COUNTIF(Q18,"Evlilik Yardımı")*($DN$18)
+COUNTIF(Q18,"İş Kazası veya Meslek Hastalığı Tazminatı")*($DN$19)
+COUNTIF(Q18,"Sünnet Yardımı")*(0)
+COUNTIF(Q18,"Temizlik Yardımı")*(0)</f>
        <v>0</v>
      </c>
      <c r="BO13" s="37">
        <f ca="1">COUNTIF(O18,"Yok")*(0)
+COUNTIF(O18,"Bayram Yardımı (Kurban)")*($DN$2)
+COUNTIF(O18,"Bayram Yardımı (Ramazan)")*($DN$3)
+COUNTIF(O18,"Cenaze Yardımı (Anne-Baba)")*($DN$4-$DN$4*0.00759)
+COUNTIF(O18,"Cenaze Yardımı (Eş-Çocuk)")*($DN$5-$DN$5*0.00759)
+COUNTIF(O18,"Cenaze Yardımı (İşçi-İş Kazası Sonucu)")*($DN$6-$DN$6*0.00759)
+COUNTIF(O18,"Cenaze Yardımı (İşçi-Tabii Sebepler Sonucu)")*($DN$7-$DN$7*0.00759)
+COUNTIF(O18,"Doğal Afet Yardımı")*($DN$8-$DN$8*0.00759)
+COUNTIF(O18,"Doğum Yardımı (İşveren)")*($DN$9-$DN$9*0.00759)
+COUNTIF(O18,"Eğitim Yardımı (Çocuk-Zorunlu Anaokulu)")*($DN$10*DE14)
+COUNTIF(O18,"Eğitim Yardımı (Çocuk-İlköğretim)")*($DN$11*DE14)
+COUNTIF(O18,"Eğitim Yardımı (Çocuk-Ortaöğretim)")*($DN$12*DE14)
+COUNTIF(O18,"Eğitim Yardımı (Çocuk-Lise)")*($DN$13*DE14)
+COUNTIF(O18,"Eğitim Yardımı (Çocuk-Yükseköğretim)")*($DN$14*DE14)
+COUNTIF(O18,"Eğitim Yardımı (Çocuk-Engelli)")*($DN$15*DE14)
+COUNTIF(O18,"Eğitim Yardımı (İşçi-Lise)")*($DN$16*DE14)
+COUNTIF(O18,"Eğitim Yardımı (İşçi-Yükseköğretim)")*($DN$17*DE14)
+COUNTIF(O18,"Evlilik Yardımı")*($DN$18-$DN$18*0.00759)
+COUNTIF(O18,"İş Kazası veya Meslek Hastalığı Tazminatı")*($DN$19-$DN$19*0.00759)
+COUNTIF(O18,"Sünnet Yardımı")*($DN$20*DE14)
+COUNTIF(O18,"Temizlik Yardımı")*($DN$21)
+COUNTIF(P18,"Yok")*(0)
+COUNTIF(P18,"Bayram Yardımı (Kurban)")*($DN$2)
+COUNTIF(P18,"Bayram Yardımı (Ramazan)")*($DN$3)
+COUNTIF(P18,"Cenaze Yardımı (Anne-Baba)")*($DN$4-$DN$4*0.00759)
+COUNTIF(P18,"Cenaze Yardımı (Eş-Çocuk)")*($DN$5-$DN$5*0.00759)
+COUNTIF(P18,"Cenaze Yardımı (İşçi-İş Kazası Sonucu)")*($DN$6-$DN$6*0.00759)
+COUNTIF(P18,"Cenaze Yardımı (İşçi-Tabii Sebepler Sonucu)")*($DN$7-$DN$7*0.00759)
+COUNTIF(P18,"Doğal Afet Yardımı")*($DN$8-$DN$8*0.00759)
+COUNTIF(P18,"Doğum Yardımı (İşveren)")*($DN$9-$DN$9*0.00759)
+COUNTIF(P18,"Eğitim Yardımı (Çocuk-Zorunlu Anaokulu)")*($DN$10*DE14)
+COUNTIF(P18,"Eğitim Yardımı (Çocuk-İlköğretim)")*($DN$11*DE14)
+COUNTIF(P18,"Eğitim Yardımı (Çocuk-Ortaöğretim)")*($DN$12*DE14)
+COUNTIF(P18,"Eğitim Yardımı (Çocuk-Lise)")*($DN$13*DE14)
+COUNTIF(P18,"Eğitim Yardımı (Çocuk-Yükseköğretim)")*($DN$14*DE14)
+COUNTIF(P18,"Eğitim Yardımı (Çocuk-Engelli)")*($DN$15*DE14)
+COUNTIF(P18,"Eğitim Yardımı (İşçi-Lise)")*($DN$16*DE14)
+COUNTIF(P18,"Eğitim Yardımı (İşçi-Yükseköğretim)")*($DN$17*DE14)
+COUNTIF(P18,"Evlilik Yardımı")*($DN$18-$DN$18*0.00759)
+COUNTIF(P18,"İş Kazası veya Meslek Hastalığı Tazminatı")*($DN$19-$DN$19*0.00759)
+COUNTIF(P18,"Sünnet Yardımı")*($DN$20*DE14)
+COUNTIF(P18,"Temizlik Yardımı")*($DN$21)
+COUNTIF(Q18,"Yok")*(0)
+COUNTIF(Q18,"Bayram Yardımı (Kurban)")*($DN$2)
+COUNTIF(Q18,"Bayram Yardımı (Ramazan)")*($DN$3)
+COUNTIF(Q18,"Cenaze Yardımı (Anne-Baba)")*($DN$4-$DN$4*0.00759)
+COUNTIF(Q18,"Cenaze Yardımı (Eş-Çocuk)")*($DN$5-$DN$5*0.00759)
+COUNTIF(Q18,"Cenaze Yardımı (İşçi-İş Kazası Sonucu)")*($DN$6-$DN$6*0.00759)
+COUNTIF(Q18,"Cenaze Yardımı (İşçi-Tabii Sebepler Sonucu)")*($DN$7-$DN$7*0.00759)
+COUNTIF(Q18,"Doğal Afet Yardımı")*($DN$8-$DN$8*0.00759)
+COUNTIF(Q18,"Doğum Yardımı (İşveren)")*($DN$9-$DN$9*0.00759)
+COUNTIF(Q18,"Eğitim Yardımı (Çocuk-Zorunlu Anaokulu)")*($DN$10*DE14)
+COUNTIF(Q18,"Eğitim Yardımı (Çocuk-İlköğretim)")*($DN$11*DE14)
+COUNTIF(Q18,"Eğitim Yardımı (Çocuk-Ortaöğretim)")*($DN$12*DE14)
+COUNTIF(Q18,"Eğitim Yardımı (Çocuk-Lise)")*($DN$13*DE14)
+COUNTIF(Q18,"Eğitim Yardımı (Çocuk-Yükseköğretim)")*($DN$14*DE14)
+COUNTIF(Q18,"Eğitim Yardımı (Çocuk-Engelli)")*($DN$15*DE14)
+COUNTIF(Q18,"Eğitim Yardımı (İşçi-Lise)")*($DN$16*DE14)
+COUNTIF(Q18,"Eğitim Yardımı (İşçi-Yükseköğretim)")*($DN$17*DE14)
+COUNTIF(Q18,"Evlilik Yardımı")*($DN$18-$DN$18*0.00759)
+COUNTIF(Q18,"İş Kazası veya Meslek Hastalığı Tazminatı")*($DN$19-$DN$19*0.00759)
+COUNTIF(Q18,"Sünnet Yardımı")*($DN$20*DE14)
+COUNTIF(Q18,"Temizlik Yardımı")*($DN$21)</f>
        <v>0</v>
      </c>
      <c r="BP13" s="33" t="s">
        <v>12</v>
      </c>
      <c r="BQ13" s="25">
        <f>COUNTIF(BP13,"Var")*(AU18*0.9*-1)</f>
        <v>-192.61800000000002</v>
      </c>
      <c r="BR13" s="25">
        <f>(BQ13*-1)</f>
        <v>192.61800000000002</v>
      </c>
      <c r="BS13" s="37">
        <f ca="1">(DG9*R18+BT13)*-1</f>
        <v>0</v>
      </c>
      <c r="BT13" s="37">
        <f>(AN18+AK25+AM25+AO25-AT25)*(R18*-1)</f>
        <v>0</v>
      </c>
      <c r="BU13" s="37">
        <f ca="1">(BS13+BT13)</f>
        <v>0</v>
      </c>
      <c r="BV13" s="25" t="s">
        <v>0</v>
      </c>
      <c r="BW13" s="25">
        <f>(5004)</f>
        <v>5004</v>
      </c>
      <c r="BX13" s="25">
        <f>(5004)</f>
        <v>5004</v>
      </c>
      <c r="BY13" s="25">
        <f>(BW13-BX13)</f>
        <v>0</v>
      </c>
      <c r="BZ13" s="25">
        <f>(BY13*0.00759*-1)</f>
        <v>0</v>
      </c>
      <c r="CA13" s="25">
        <f>(0)</f>
        <v>0</v>
      </c>
      <c r="CB13" s="25">
        <f>(BW13-CA13)</f>
        <v>5004</v>
      </c>
      <c r="CC13" s="25">
        <f>(CB13*0.14*-1)</f>
        <v>-700.56000000000006</v>
      </c>
      <c r="CD13" s="25">
        <f>(CB13*0.01*-1)</f>
        <v>-50.04</v>
      </c>
      <c r="CE13" s="25">
        <f>(CT20)</f>
        <v>1100.07</v>
      </c>
      <c r="CF13" s="25">
        <f ca="1">(DW24+CE13)</f>
        <v>-2236.62</v>
      </c>
      <c r="CG13" s="28">
        <f t="shared" si="1"/>
        <v>0.84240999999999999</v>
      </c>
      <c r="CH13" s="28">
        <f ca="1">(100+(100*0.00759*-1)+(100*0.14*-1)+(100*0.01*-1)+(100+100*0.14*-1+100*0.01*-1)*DV24*-1)/100</f>
        <v>0.61290999999999995</v>
      </c>
      <c r="CI13" s="28">
        <f ca="1">(100+(100*0.00759*-1)+(100)*DV24*-1)/100</f>
        <v>0.72241</v>
      </c>
      <c r="CJ13" s="25">
        <f ca="1">(CZ20)</f>
        <v>15428.22</v>
      </c>
      <c r="CK13" s="25">
        <f ca="1">(CJ13*0.205)</f>
        <v>3162.7850999999996</v>
      </c>
      <c r="CL13" s="25">
        <f ca="1">(CJ13*0.01)</f>
        <v>154.28219999999999</v>
      </c>
      <c r="CM13" s="25">
        <f ca="1">(CJ13*0.05*-1)</f>
        <v>-771.41100000000006</v>
      </c>
      <c r="CN13" s="25">
        <f ca="1">(CJ13+CK13+CL13+CM13)</f>
        <v>17973.8763</v>
      </c>
      <c r="CQ13" s="25">
        <f ca="1">(CK3*0.05*-1)</f>
        <v>-771.41100000000006</v>
      </c>
      <c r="CR13" s="25">
        <f ca="1">(CK3+CL3+CM3+CQ13)</f>
        <v>17973.8763</v>
      </c>
      <c r="CS13" s="25" t="s">
        <v>0</v>
      </c>
      <c r="CT13" s="25" t="s">
        <v>0</v>
      </c>
      <c r="CU13" s="25" t="s">
        <v>0</v>
      </c>
      <c r="CV13" s="25" t="s">
        <v>0</v>
      </c>
      <c r="CW13" s="25">
        <f>(0)</f>
        <v>0</v>
      </c>
      <c r="CX13" s="25">
        <f>(BW7+CC7+CD7-CW13)</f>
        <v>5500.3499999999995</v>
      </c>
      <c r="CY13" s="25">
        <f>SUM(CX$2:$CX13)</f>
        <v>58522.499999999993</v>
      </c>
      <c r="CZ13" s="29">
        <f t="shared" si="2"/>
        <v>0.2</v>
      </c>
      <c r="DA13" s="33">
        <f t="shared" si="3"/>
        <v>0</v>
      </c>
      <c r="DB13" s="25">
        <f>(DC3)</f>
        <v>638.01</v>
      </c>
      <c r="DC13" s="25">
        <f ca="1">(DW17+DB13)</f>
        <v>-487</v>
      </c>
      <c r="DD13" s="28">
        <f t="shared" si="1"/>
        <v>0.84240999999999999</v>
      </c>
      <c r="DE13" s="28">
        <f ca="1">(100+(100*0.00759*-1)+(100*0.14*-1)+(100*0.01*-1)+(100+100*0.14*-1+100*0.01*-1)*DV17*-1)/100</f>
        <v>0.71491000000000005</v>
      </c>
      <c r="DF13" s="28">
        <f ca="1">(100+(100*0.00759*-1)+(100)*DV17*-1)/100</f>
        <v>0.84240999999999999</v>
      </c>
      <c r="DG13" s="25">
        <f ca="1">(DI3)</f>
        <v>9496.8100000000013</v>
      </c>
      <c r="DH13" s="25">
        <f ca="1">(DG13*0.205)</f>
        <v>1946.8460500000001</v>
      </c>
      <c r="DI13" s="25">
        <f ca="1">(DG13*0.01)</f>
        <v>94.968100000000021</v>
      </c>
      <c r="DM13" s="34" t="s">
        <v>69</v>
      </c>
      <c r="DN13" s="25">
        <v>2416.4</v>
      </c>
      <c r="DX13" s="24">
        <v>11</v>
      </c>
      <c r="DY13" s="35">
        <v>5.5</v>
      </c>
      <c r="DZ13" s="36">
        <v>0.13</v>
      </c>
      <c r="EA13" s="49"/>
    </row>
    <row r="14" spans="1:131" ht="39.950000000000003" customHeight="1" x14ac:dyDescent="0.25">
      <c r="A14" s="70"/>
      <c r="B14" s="71"/>
      <c r="C14" s="57"/>
      <c r="D14" s="57"/>
      <c r="E14" s="72"/>
      <c r="F14" s="72"/>
      <c r="G14" s="57"/>
      <c r="H14" s="57"/>
      <c r="I14" s="57"/>
      <c r="J14" s="74"/>
      <c r="K14" s="57"/>
      <c r="L14" s="57"/>
      <c r="M14" s="57"/>
      <c r="N14" s="57"/>
      <c r="O14" s="57"/>
      <c r="P14" s="57"/>
      <c r="Q14" s="57"/>
      <c r="R14" s="57"/>
      <c r="S14" s="57"/>
      <c r="T14" s="57"/>
      <c r="U14" s="73"/>
      <c r="V14" s="15" t="s">
        <v>39</v>
      </c>
      <c r="W14" s="16">
        <f t="shared" ref="W14:W23" ca="1" si="40">IF(X14&gt;0,X14,X14*-1)</f>
        <v>0</v>
      </c>
      <c r="X14" s="16">
        <f ca="1">COUNTIF(Y1,"Ocak")*(BO10)
+COUNTIF(Y1,"Şubat")*(BO11)
+COUNTIF(Y1,"Mart")*(BO12)
+COUNTIF(Y1,"Nisan")*(BO13)
+COUNTIF(Y1,"Mayıs")*(CG4)
+COUNTIF(Y1,"Haziran")*(CG5)
+COUNTIF(Y1,"Temmuz")*(CG6)
+COUNTIF(Y1,"Ağustos")*(CG7)
+COUNTIF(Y1,"Eylül")*(BO4)
+COUNTIF(Y1,"Ekim")*(BO5)
+COUNTIF(Y1,"Kasım")*(BO6)
+COUNTIF(Y1,"Aralık")*(BO7)
+COUNTIF(Y1,"Yıllık Toplam")*(BO8)
+COUNTIF(Y1,"Yıllık Ortalama")*(BO9)</f>
        <v>0</v>
      </c>
      <c r="Y14" s="64"/>
      <c r="Z14" s="68"/>
      <c r="AA14" s="77" t="s">
        <v>144</v>
      </c>
      <c r="AB14" s="78" t="s">
        <v>145</v>
      </c>
      <c r="AC14" s="56"/>
      <c r="AD14" s="58"/>
      <c r="AE14" s="60"/>
      <c r="AF14" s="59"/>
      <c r="AG14" s="34" t="s">
        <v>89</v>
      </c>
      <c r="AH14" s="40">
        <v>276.16000000000003</v>
      </c>
      <c r="AI14" s="22">
        <v>325.89999999999998</v>
      </c>
      <c r="AJ14" s="42">
        <f>(AK13+1)</f>
        <v>44866</v>
      </c>
      <c r="AK14" s="42">
        <f>EOMONTH(AJ14,0)</f>
        <v>44895</v>
      </c>
      <c r="AL14" s="43">
        <f>DAY(AK14)</f>
        <v>30</v>
      </c>
      <c r="AM14" s="43">
        <f>NETWORKDAYS.INTL(AJ14,AK14,11)</f>
        <v>26</v>
      </c>
      <c r="AN14" s="43">
        <f>(AL14-AM14)</f>
        <v>4</v>
      </c>
      <c r="AO14" s="41" t="s">
        <v>0</v>
      </c>
      <c r="AP14"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Q14" s="32">
        <f ca="1">(AP14*DK6)</f>
        <v>154.82106599999997</v>
      </c>
      <c r="AR14"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S14" s="25">
        <f ca="1">(AR14*DK6+DC21/30*-1+DH6/30)</f>
        <v>193.12722899999994</v>
      </c>
      <c r="AT14" s="32">
        <f>COUNTIF($A$1,"Mekanik / Teknik Sorumlusu")*($AI$1+AS7)
+COUNTIF($A$1,"Elektrik Sorumlusu")*($AI$2+AS7)
+COUNTIF($A$1,"Otomasyon Sistem Sorumlusu")*($AI$3+AS7)
+COUNTIF($A$1,"Bilgi İşlem Sorumlusu")*($AI$4+AS7)
+COUNTIF($A$1,"Bakım Onarım Sorumlusu")*($AI$5+AS7)
+COUNTIF($A$1,"İskeleler Sorumlusu")*($AI$6+AS7)
+COUNTIF($A$1,"Ambar ve Stok Kontrol Sorumlusu")*($AI$7+AS7)
+COUNTIF($A$1,"Akaryakıt Sorumlusu")*($AI$8+AS7)
+COUNTIF($A$1,"İnsan Kaynakları ve Eğitim Sorumlusu")*($AI$9+AS7)
+COUNTIF($A$1,"Muhasebe ve Finansman Sorumlusu")*($AI$10+AS7)
+COUNTIF($A$1,"İhale ve Satınalma Sorumlusu")*($AI$11+AS7)
+COUNTIF($A$1,"Halkla İlişkiler Sorumlusu")*($AI$12+AS7)
+COUNTIF($A$1,"Yazı İşleri Sorumlusu")*($AI$13+AS7)
+COUNTIF($A$1,"Gişeler Sorumlusu")*($AI$14+AS7)
+COUNTIF($A$1,"Temizlik / Güvenlik Sorumlusu")*($AI$15+AS7)
+COUNTIF($A$1,"İskele Sorumlusu")*($AI$16+AS7)
+COUNTIF($A$1,"1S-Atölye Personeli")*($AI$17+AS7)
+COUNTIF($A$1,"1S-Bilgi İşlem Büro Personeli")*($AI$18+AS7)
+COUNTIF($A$1,"1S-Şoför")*($AI$19+AS7)
+COUNTIF($A$1,"1S-Büro Personeli")*($AI$20+AS7)
+COUNTIF($A$1,"1S-Yönetim / Genel Müdür Sekreteri")*($AI$21+AS7)
+COUNTIF($A$1,"1S-İskele Personeli")*($AI$22+AS7)
+COUNTIF($A$1,"1S-Gişe Personeli")*($AI$23+AS7)
+COUNTIF($A$1,"1S-Çımacı / Palamarcı")*($AI$24+AS7)
+COUNTIF($A$1,"1S-Temizlik Personeli")*($AI$25+AS7)
+COUNTIF($A$1,"2S-Atölye Personeli")*($AI$26+AS7)
+COUNTIF($A$1,"2S-Bilgi İşlem Büro Personeli")*($AI$27+AS7)
+COUNTIF($A$1,"2S-Şoför")*($AI$28+AS7)
+COUNTIF($A$1,"2S-Büro Personeli")*($AI$29+AS7)
+COUNTIF($A$1,"2S-Yönetim / Genel Müdür Sekreteri")*($AI$30+AS7)
+COUNTIF($A$1,"2S-İskele Personeli")*($AI$31+AS7)
+COUNTIF($A$1,"2S-Gişe Personeli")*($AI$32+AS7)
+COUNTIF($A$1,"2S-Çımacı / Palamarcı")*($AI$33+AS7)
+COUNTIF($A$1,"2S-Temizlik Personeli")*($AI$34+AS7)</f>
        <v>252.6</v>
      </c>
      <c r="AU14" s="25">
        <f ca="1">(AT14*DK6)</f>
        <v>154.82106599999997</v>
      </c>
      <c r="AV14" s="41" t="s">
        <v>0</v>
      </c>
      <c r="AW14" s="40">
        <f>(AT14*AL14)</f>
        <v>7578</v>
      </c>
      <c r="BB14" s="25">
        <f>(AR25+AV25+AW25-AX25)</f>
        <v>1067.3519999999999</v>
      </c>
      <c r="BC14" s="25">
        <f ca="1">(BB14*DV18*-1)</f>
        <v>-179.35642779594264</v>
      </c>
      <c r="BD14" s="25">
        <f ca="1">(ROUND((BE14+BF14),2))</f>
        <v>492.54</v>
      </c>
      <c r="BE14" s="25">
        <f>(4.7*H18)</f>
        <v>488.8</v>
      </c>
      <c r="BF14" s="25">
        <f ca="1">(BD14*0.00759)</f>
        <v>3.7383786000000003</v>
      </c>
      <c r="BG14" s="25">
        <f ca="1">(ROUND((BE14+BF14),2))</f>
        <v>492.54</v>
      </c>
      <c r="BH14" s="25">
        <f ca="1">(BD14)</f>
        <v>492.54</v>
      </c>
      <c r="BI14" s="27">
        <v>18</v>
      </c>
      <c r="BJ14" s="25">
        <f>(AY18*BI14)</f>
        <v>3852.36</v>
      </c>
      <c r="BK14" s="25">
        <f ca="1">(BJ14*DE14)</f>
        <v>2695.0229013967783</v>
      </c>
      <c r="BL14" s="27">
        <v>30</v>
      </c>
      <c r="BM14" s="25">
        <f>(773.25/30*BL14)</f>
        <v>773.25</v>
      </c>
      <c r="BN14" s="25">
        <f ca="1">(BM14*DE14)</f>
        <v>540.94800550962498</v>
      </c>
      <c r="BO14" s="27">
        <v>30</v>
      </c>
      <c r="BP14" s="25">
        <f>(386.62/30*BO14)</f>
        <v>386.62</v>
      </c>
      <c r="BQ14" s="25">
        <f ca="1">(BP14*DE14)</f>
        <v>270.47050486922888</v>
      </c>
      <c r="BR14" s="25">
        <f>COUNTIF($A$1,"1S-Çımacı / Palamarcı")*(8.28*I18)
+COUNTIF($A$1,"2S-Çımacı / Palamarcı")*(8.28*I18)
+COUNTIF($A$1,"1S-Temizlik Personeli")*(5.52*I18)
+COUNTIF($A$1,"2S-Temizlik Personeli")*(5.52*I18)</f>
        <v>0</v>
      </c>
      <c r="BS14" s="25">
        <f ca="1">(BR14*DE14)</f>
        <v>0</v>
      </c>
      <c r="BT14" s="25">
        <f>COUNTIF(J18,"Var")*($AP$1)</f>
        <v>0</v>
      </c>
      <c r="BU14" s="25">
        <f ca="1">COUNTIF(J18,"Var")*((BT14+(BT14*0.00759*-1)+((BT14-BV14)*0.14*-1)+((BT14-BV14)*0.01*-1)+(BT14+((BT14-BV14)*0.14*-1)+((BT14-BV14)*0.01*-1))*DV18*-1))</f>
        <v>0</v>
      </c>
      <c r="BV14" s="25">
        <f>COUNTIF(J18,"Var")*($AL$1)</f>
        <v>0</v>
      </c>
      <c r="BW14" s="25">
        <f>(0)</f>
        <v>0</v>
      </c>
      <c r="BX14" s="25">
        <f>($AP$2*K18)</f>
        <v>0</v>
      </c>
      <c r="BY14" s="25">
        <f ca="1">(BX14+(BX14*0.00759*-1)+((BX14-BZ14)*0.14*-1)+((BX14-BZ14)*0.01*-1)+(BX14+((BX14-BZ14)*0.14*-1)+((BX14-BZ14)*0.01*-1))*DV18*-1)</f>
        <v>0</v>
      </c>
      <c r="BZ14" s="25">
        <f>($AL$2*K18)</f>
        <v>0</v>
      </c>
      <c r="CA14" s="25">
        <f>($AL$5*K18)</f>
        <v>0</v>
      </c>
      <c r="CB14" s="25">
        <f>($AP$3*L18)</f>
        <v>0</v>
      </c>
      <c r="CC14" s="25">
        <f ca="1">(CB14+(CB14*0.00759*-1)+((CB14-CD14)*0.14*-1)+((CB14-CD14)*0.01*-1)+(CB14+((CB14-CD14)*0.14*-1)+((CB14-CD14)*0.01*-1))*DV18*-1)</f>
        <v>0</v>
      </c>
      <c r="CD14" s="25">
        <f>($AL$3*L18)</f>
        <v>0</v>
      </c>
      <c r="CE14" s="25">
        <f>($AL$6*L18)</f>
        <v>0</v>
      </c>
      <c r="CF14" s="25">
        <f>($AP$4*M18)</f>
        <v>0</v>
      </c>
      <c r="CG14" s="25">
        <f ca="1">(CF14+(CF14*0.00759*-1)+((CF14-CH14)*0.14*-1)+((CF14-CH14)*0.01*-1)+(CF14+((CF14-CH14)*0.14*-1)+((CF14-CH14)*0.01*-1))*DV18*-1)</f>
        <v>0</v>
      </c>
      <c r="CH14" s="25">
        <f>($AL$2*M18)</f>
        <v>0</v>
      </c>
      <c r="CI14" s="25">
        <f>($AL$5*M18)</f>
        <v>0</v>
      </c>
      <c r="CJ14" s="25">
        <f>($AP$5*N18)</f>
        <v>0</v>
      </c>
      <c r="CK14" s="25">
        <f ca="1">(CJ14+(CJ14*0.00759*-1)+((CJ14-CL14)*0.14*-1)+((CJ14-CL14)*0.01*-1)+(CJ14+((CJ14-CL14)*0.14*-1)+((CJ14-CL14)*0.01*-1))*DV18*-1)</f>
        <v>0</v>
      </c>
      <c r="CL14" s="25">
        <f>($AL$3*N18)</f>
        <v>0</v>
      </c>
      <c r="CM14" s="25">
        <f>($AL$6*N18)</f>
        <v>0</v>
      </c>
      <c r="CN14" s="44">
        <f>(K18+L18+M18+N18)</f>
        <v>0</v>
      </c>
      <c r="CO14" s="25">
        <f t="shared" ref="CO14:CP18" si="41">(BX14+CB14+CF14+CJ14)</f>
        <v>0</v>
      </c>
      <c r="CP14" s="25">
        <f t="shared" ca="1" si="41"/>
        <v>0</v>
      </c>
      <c r="CQ14" s="25">
        <f>IF(BZ14+CD14+CH14+CL14&gt;=$AL$5*2,$AL$5*2,BZ14+CD14+CH14+CL14)</f>
        <v>0</v>
      </c>
      <c r="CR14" s="25">
        <f>(CA14+CE14+CI14+CM14)</f>
        <v>0</v>
      </c>
      <c r="CS14" s="41" t="s">
        <v>0</v>
      </c>
      <c r="CT14" s="41" t="s">
        <v>0</v>
      </c>
      <c r="CU14" s="41" t="s">
        <v>0</v>
      </c>
      <c r="CV14" s="41" t="s">
        <v>0</v>
      </c>
      <c r="CW14" s="25">
        <f t="shared" ref="CW14" si="42">(CW2+CW3+CW4+CW5+CW6+CW7+CW8+CW9+CW10+CW11+CW12+CW13)</f>
        <v>0</v>
      </c>
      <c r="CX14" s="25">
        <f t="shared" ref="CX14" si="43">(CX2+CX3+CX4+CX5+CX6+CX7+CX8+CX9+CX10+CX11+CX12+CX13)</f>
        <v>58522.499999999993</v>
      </c>
      <c r="CY14" s="41" t="s">
        <v>0</v>
      </c>
      <c r="CZ14" s="24" t="s">
        <v>0</v>
      </c>
      <c r="DA14" s="24" t="s">
        <v>0</v>
      </c>
      <c r="DB14" s="25">
        <f>(DC4)</f>
        <v>638.01</v>
      </c>
      <c r="DC14" s="25">
        <f ca="1">(DW18+DB14)</f>
        <v>-1141.96</v>
      </c>
      <c r="DD14" s="28">
        <f t="shared" si="1"/>
        <v>0.84240999999999999</v>
      </c>
      <c r="DE14" s="28">
        <f ca="1">(100+(100*0.00759*-1)+(100*0.14*-1)+(100*0.01*-1)+(100+100*0.14*-1+100*0.01*-1)*DV18*-1)/100</f>
        <v>0.69957711672761069</v>
      </c>
      <c r="DF14" s="28">
        <f ca="1">(100+(100*0.00759*-1)+(100)*DV18*-1)/100</f>
        <v>0.82437131379718909</v>
      </c>
      <c r="DG14" s="25">
        <f ca="1">(DI4)</f>
        <v>13135.150000000001</v>
      </c>
      <c r="DH14" s="25">
        <f ca="1">(DG14*0.205)</f>
        <v>2692.7057500000001</v>
      </c>
      <c r="DI14" s="25">
        <f ca="1">(DG14*0.01)</f>
        <v>131.35150000000002</v>
      </c>
      <c r="DM14" s="34" t="s">
        <v>70</v>
      </c>
      <c r="DN14" s="25">
        <v>2761.6</v>
      </c>
      <c r="DS14" s="25">
        <f>(0)</f>
        <v>0</v>
      </c>
      <c r="DT14" s="29">
        <f>(0%)</f>
        <v>0</v>
      </c>
      <c r="DX14" s="24">
        <v>12</v>
      </c>
      <c r="DY14" s="35">
        <v>6</v>
      </c>
      <c r="DZ14" s="36">
        <v>0.14000000000000001</v>
      </c>
      <c r="EA14" s="49"/>
    </row>
    <row r="15" spans="1:131" ht="39.950000000000003" customHeight="1" x14ac:dyDescent="0.25">
      <c r="A15" s="3">
        <f t="shared" ref="A15:A26" ca="1" si="44">(DV15)</f>
        <v>0.15</v>
      </c>
      <c r="B15" s="4" t="s">
        <v>13</v>
      </c>
      <c r="C15" s="51">
        <v>0</v>
      </c>
      <c r="D15" s="52">
        <v>0</v>
      </c>
      <c r="E15" s="52">
        <v>0</v>
      </c>
      <c r="F15" s="52">
        <v>0</v>
      </c>
      <c r="G15" s="51">
        <v>26</v>
      </c>
      <c r="H15" s="51">
        <v>104</v>
      </c>
      <c r="I15" s="51">
        <v>0</v>
      </c>
      <c r="J15" s="53" t="s">
        <v>1</v>
      </c>
      <c r="K15" s="51">
        <v>0</v>
      </c>
      <c r="L15" s="51">
        <v>0</v>
      </c>
      <c r="M15" s="51">
        <v>0</v>
      </c>
      <c r="N15" s="51">
        <v>0</v>
      </c>
      <c r="O15" s="54" t="s">
        <v>1</v>
      </c>
      <c r="P15" s="54" t="s">
        <v>1</v>
      </c>
      <c r="Q15" s="54" t="s">
        <v>1</v>
      </c>
      <c r="R15" s="55">
        <v>0</v>
      </c>
      <c r="S15" s="5">
        <f ca="1">(DI1-BC1+BQ10+BS10+DD6+DO15+DP15+DC11-T15)</f>
        <v>6084.6231023</v>
      </c>
      <c r="T15" s="5">
        <f ca="1">(AJ22+AL22+AN22+AP22+BT10)</f>
        <v>898.06696979999981</v>
      </c>
      <c r="U15" s="6">
        <f ca="1">(S15+T15)</f>
        <v>6982.6900721000002</v>
      </c>
      <c r="V15" s="15" t="s">
        <v>40</v>
      </c>
      <c r="W15" s="16">
        <f t="shared" si="40"/>
        <v>2519.748</v>
      </c>
      <c r="X15" s="16">
        <f>COUNTIF(Y1,"Ocak")*(BQ10)*-1
+COUNTIF(Y1,"Şubat")*(BQ11)*-1
+COUNTIF(Y1,"Mart")*(BQ12)*-1
+COUNTIF(Y1,"Nisan")*(BQ13)*-1
+COUNTIF(Y1,"Mayıs")*(CI4)*-1
+COUNTIF(Y1,"Haziran")*(CI5)*-1
+COUNTIF(Y1,"Temmuz")*(CI6)*-1
+COUNTIF(Y1,"Ağustos")*(CI7)*-1
+COUNTIF(Y1,"Eylül")*(BQ4)*-1
+COUNTIF(Y1,"Ekim")*(BQ5)*-1
+COUNTIF(Y1,"Kasım")*(BQ6)*-1
+COUNTIF(Y1,"Aralık")*(BQ7)*-1
+COUNTIF(Y1,"Yıllık Toplam")*(BQ8)*-1
+COUNTIF(Y1,"Yıllık Ortalama")*(BQ9)*-1</f>
        <v>2519.748</v>
      </c>
      <c r="Y15" s="64"/>
      <c r="Z15" s="68"/>
      <c r="AA15" s="77" t="s">
        <v>28</v>
      </c>
      <c r="AB15" s="78" t="s">
        <v>132</v>
      </c>
      <c r="AC15" s="56"/>
      <c r="AD15" s="58"/>
      <c r="AE15" s="60"/>
      <c r="AF15" s="59"/>
      <c r="AG15" s="34" t="s">
        <v>90</v>
      </c>
      <c r="AH15" s="32">
        <v>276.16000000000003</v>
      </c>
      <c r="AI15" s="22">
        <v>325.89999999999998</v>
      </c>
      <c r="AJ15" s="40">
        <f t="shared" ref="AJ15:AJ21" si="45">(AY15*AQ15)</f>
        <v>6634.62</v>
      </c>
      <c r="AK15" s="25">
        <f ca="1">(AJ15*DE11)</f>
        <v>4743.1561842000001</v>
      </c>
      <c r="AL15" s="25">
        <f t="shared" ref="AL15:AL21" si="46">(0.58*C15)</f>
        <v>0</v>
      </c>
      <c r="AM15" s="25">
        <f ca="1">(AL15*DE11)</f>
        <v>0</v>
      </c>
      <c r="AN15" s="25">
        <f t="shared" ref="AN15:AN21" si="47">(AY15/7.5*1.6*D15)</f>
        <v>0</v>
      </c>
      <c r="AO15" s="45">
        <v>44562</v>
      </c>
      <c r="AP15" s="42">
        <f t="shared" ref="AP15:AP21" si="48">EOMONTH(AO15,0)</f>
        <v>44592</v>
      </c>
      <c r="AQ15" s="43">
        <f>DAY(AP15)</f>
        <v>31</v>
      </c>
      <c r="AR15" s="43">
        <f>NETWORKDAYS.INTL(AO15,AP15,11)</f>
        <v>26</v>
      </c>
      <c r="AS15" s="43">
        <f>(AQ15-AR15)</f>
        <v>5</v>
      </c>
      <c r="AT15" s="41" t="s">
        <v>0</v>
      </c>
      <c r="AU15" s="32">
        <f t="shared" ref="AU15:AU20" si="49">COUNTIF($A$1,"Mekanik / Teknik Sorumlusu")*($AH$1)
+COUNTIF($A$1,"Elektrik Sorumlusu")*($AH$2)
+COUNTIF($A$1,"Otomasyon Sistem Sorumlusu")*($AH$3)
+COUNTIF($A$1,"Bilgi İşlem Sorumlusu")*($AH$4)
+COUNTIF($A$1,"Bakım Onarım Sorumlusu")*($AH$5)
+COUNTIF($A$1,"İskeleler Sorumlusu")*($AH$6)
+COUNTIF($A$1,"Ambar ve Stok Kontrol Sorumlusu")*($AH$7)
+COUNTIF($A$1,"Akaryakıt Sorumlusu")*($AH$8)
+COUNTIF($A$1,"İnsan Kaynakları ve Eğitim Sorumlusu")*($AH$9)
+COUNTIF($A$1,"Muhasebe ve Finansman Sorumlusu")*($AH$10)
+COUNTIF($A$1,"İhale ve Satınalma Sorumlusu")*($AH$11)
+COUNTIF($A$1,"Halkla İlişkiler Sorumlusu")*($AH$12)
+COUNTIF($A$1,"Yazı İşleri Sorumlusu")*($AH$13)
+COUNTIF($A$1,"Gişeler Sorumlusu")*($AH$14)
+COUNTIF($A$1,"Temizlik / Güvenlik Sorumlusu")*($AH$15)
+COUNTIF($A$1,"İskele Sorumlusu")*($AH$16)
+COUNTIF($A$1,"1S-Atölye Personeli")*($AH$17)
+COUNTIF($A$1,"1S-Bilgi İşlem Büro Personeli")*($AH$18)
+COUNTIF($A$1,"1S-Şoför")*($AH$19)
+COUNTIF($A$1,"1S-Büro Personeli")*($AH$20)
+COUNTIF($A$1,"1S-Yönetim / Genel Müdür Sekreteri")*($AH$21)
+COUNTIF($A$1,"1S-İskele Personeli")*($AH$22)
+COUNTIF($A$1,"1S-Gişe Personeli")*($AH$23)
+COUNTIF($A$1,"1S-Çımacı / Palamarcı")*($AH$24)
+COUNTIF($A$1,"1S-Temizlik Personeli")*($AH$25)
+COUNTIF($A$1,"2S-Atölye Personeli")*($AH$26)
+COUNTIF($A$1,"2S-Bilgi İşlem Büro Personeli")*($AH$27)
+COUNTIF($A$1,"2S-Şoför")*($AH$28)
+COUNTIF($A$1,"2S-Büro Personeli")*($AH$29)
+COUNTIF($A$1,"2S-Yönetim / Genel Müdür Sekreteri")*($AH$30)
+COUNTIF($A$1,"2S-İskele Personeli")*($AH$31)
+COUNTIF($A$1,"2S-Gişe Personeli")*($AH$32)
+COUNTIF($A$1,"2S-Çımacı / Palamarcı")*($AH$33)
+COUNTIF($A$1,"2S-Temizlik Personeli")*($AH$34)</f>
        <v>214.02</v>
      </c>
      <c r="AV15" s="32">
        <f ca="1">(AU15*DE11)</f>
        <v>153.00503820000003</v>
      </c>
      <c r="AW15" s="32">
        <f t="shared" ref="AW15:AW20" si="50">COUNTIF($A$1,"Mekanik / Teknik Sorumlusu")*($AH$1)
+COUNTIF($A$1,"Elektrik Sorumlusu")*($AH$2)
+COUNTIF($A$1,"Otomasyon Sistem Sorumlusu")*($AH$3)
+COUNTIF($A$1,"Bilgi İşlem Sorumlusu")*($AH$4)
+COUNTIF($A$1,"Bakım Onarım Sorumlusu")*($AH$5)
+COUNTIF($A$1,"İskeleler Sorumlusu")*($AH$6)
+COUNTIF($A$1,"Ambar ve Stok Kontrol Sorumlusu")*($AH$7)
+COUNTIF($A$1,"Akaryakıt Sorumlusu")*($AH$8)
+COUNTIF($A$1,"İnsan Kaynakları ve Eğitim Sorumlusu")*($AH$9)
+COUNTIF($A$1,"Muhasebe ve Finansman Sorumlusu")*($AH$10)
+COUNTIF($A$1,"İhale ve Satınalma Sorumlusu")*($AH$11)
+COUNTIF($A$1,"Halkla İlişkiler Sorumlusu")*($AH$12)
+COUNTIF($A$1,"Yazı İşleri Sorumlusu")*($AH$13)
+COUNTIF($A$1,"Gişeler Sorumlusu")*($AH$14)
+COUNTIF($A$1,"Temizlik / Güvenlik Sorumlusu")*($AH$15)
+COUNTIF($A$1,"İskele Sorumlusu")*($AH$16)
+COUNTIF($A$1,"1S-Atölye Personeli")*($AH$17)
+COUNTIF($A$1,"1S-Bilgi İşlem Büro Personeli")*($AH$18)
+COUNTIF($A$1,"1S-Şoför")*($AH$19)
+COUNTIF($A$1,"1S-Büro Personeli")*($AH$20)
+COUNTIF($A$1,"1S-Yönetim / Genel Müdür Sekreteri")*($AH$21)
+COUNTIF($A$1,"1S-İskele Personeli")*($AH$22)
+COUNTIF($A$1,"1S-Gişe Personeli")*($AH$23)
+COUNTIF($A$1,"1S-Çımacı / Palamarcı")*($AH$24)
+COUNTIF($A$1,"1S-Temizlik Personeli")*($AH$25)
+COUNTIF($A$1,"2S-Atölye Personeli")*($AH$26)
+COUNTIF($A$1,"2S-Bilgi İşlem Büro Personeli")*($AH$27)
+COUNTIF($A$1,"2S-Şoför")*($AH$28)
+COUNTIF($A$1,"2S-Büro Personeli")*($AH$29)
+COUNTIF($A$1,"2S-Yönetim / Genel Müdür Sekreteri")*($AH$30)
+COUNTIF($A$1,"2S-İskele Personeli")*($AH$31)
+COUNTIF($A$1,"2S-Gişe Personeli")*($AH$32)
+COUNTIF($A$1,"2S-Çımacı / Palamarcı")*($AH$33)
+COUNTIF($A$1,"2S-Temizlik Personeli")*($AH$34)</f>
        <v>214.02</v>
      </c>
      <c r="AX15" s="25">
        <f ca="1">(AW15*DE11+DL1/30*-1+DB11/30)</f>
        <v>175.53805020000001</v>
      </c>
      <c r="AY15" s="32">
        <f t="shared" ref="AY15:AY20" si="51">COUNTIF($A$1,"Mekanik / Teknik Sorumlusu")*($AH$1+AL15)
+COUNTIF($A$1,"Elektrik Sorumlusu")*($AH$2+AL15)
+COUNTIF($A$1,"Otomasyon Sistem Sorumlusu")*($AH$3+AL15)
+COUNTIF($A$1,"Bilgi İşlem Sorumlusu")*($AH$4+AL15)
+COUNTIF($A$1,"Bakım Onarım Sorumlusu")*($AH$5+AL15)
+COUNTIF($A$1,"İskeleler Sorumlusu")*($AH$6+AL15)
+COUNTIF($A$1,"Ambar ve Stok Kontrol Sorumlusu")*($AH$7+AL15)
+COUNTIF($A$1,"Akaryakıt Sorumlusu")*($AH$8+AL15)
+COUNTIF($A$1,"İnsan Kaynakları ve Eğitim Sorumlusu")*($AH$9+AL15)
+COUNTIF($A$1,"Muhasebe ve Finansman Sorumlusu")*($AH$10+AL15)
+COUNTIF($A$1,"İhale ve Satınalma Sorumlusu")*($AH$11+AL15)
+COUNTIF($A$1,"Halkla İlişkiler Sorumlusu")*($AH$12+AL15)
+COUNTIF($A$1,"Yazı İşleri Sorumlusu")*($AH$13+AL15)
+COUNTIF($A$1,"Gişeler Sorumlusu")*($AH$14+AL15)
+COUNTIF($A$1,"Temizlik / Güvenlik Sorumlusu")*($AH$15+AL15)
+COUNTIF($A$1,"İskele Sorumlusu")*($AH$16+AL15)
+COUNTIF($A$1,"1S-Atölye Personeli")*($AH$17+AL15)
+COUNTIF($A$1,"1S-Bilgi İşlem Büro Personeli")*($AH$18+AL15)
+COUNTIF($A$1,"1S-Şoför")*($AH$19+AL15)
+COUNTIF($A$1,"1S-Büro Personeli")*($AH$20+AL15)
+COUNTIF($A$1,"1S-Yönetim / Genel Müdür Sekreteri")*($AH$21+AL15)
+COUNTIF($A$1,"1S-İskele Personeli")*($AH$22+AL15)
+COUNTIF($A$1,"1S-Gişe Personeli")*($AH$23+AL15)
+COUNTIF($A$1,"1S-Çımacı / Palamarcı")*($AH$24+AL15)
+COUNTIF($A$1,"1S-Temizlik Personeli")*($AH$25+AL15)
+COUNTIF($A$1,"2S-Atölye Personeli")*($AH$26+AL15)
+COUNTIF($A$1,"2S-Bilgi İşlem Büro Personeli")*($AH$27+AL15)
+COUNTIF($A$1,"2S-Şoför")*($AH$28+AL15)
+COUNTIF($A$1,"2S-Büro Personeli")*($AH$29+AL15)
+COUNTIF($A$1,"2S-Yönetim / Genel Müdür Sekreteri")*($AH$30+AL15)
+COUNTIF($A$1,"2S-İskele Personeli")*($AH$31+AL15)
+COUNTIF($A$1,"2S-Gişe Personeli")*($AH$32+AL15)
+COUNTIF($A$1,"2S-Çımacı / Palamarcı")*($AH$33+AL15)
+COUNTIF($A$1,"2S-Temizlik Personeli")*($AH$34+AL15)</f>
        <v>214.02</v>
      </c>
      <c r="AZ15" s="25">
        <f ca="1">(AY15*DE11)</f>
        <v>153.00503820000003</v>
      </c>
      <c r="BA15" s="41" t="s">
        <v>0</v>
      </c>
      <c r="BB15" s="25">
        <f>(BF4+BJ4+BK4-BL4)</f>
        <v>1067.3519999999999</v>
      </c>
      <c r="BC15" s="25">
        <f ca="1">(BB15*DV19*-1)</f>
        <v>-213.47039999999998</v>
      </c>
      <c r="BD15" s="25">
        <f ca="1">(ROUND((BE15+BF15),2))</f>
        <v>492.54</v>
      </c>
      <c r="BE15" s="25">
        <f>(4.7*H19)</f>
        <v>488.8</v>
      </c>
      <c r="BF15" s="25">
        <f ca="1">(BD15*0.00759)</f>
        <v>3.7383786000000003</v>
      </c>
      <c r="BG15" s="25">
        <f ca="1">(ROUND((BE15+BF15),2))</f>
        <v>492.54</v>
      </c>
      <c r="BH15" s="25">
        <f ca="1">(BD15)</f>
        <v>492.54</v>
      </c>
      <c r="BI15" s="27">
        <v>0</v>
      </c>
      <c r="BJ15" s="25">
        <f>(AY19*BI15)</f>
        <v>0</v>
      </c>
      <c r="BK15" s="25">
        <f ca="1">(BJ15*DE15)</f>
        <v>0</v>
      </c>
      <c r="BL15" s="27">
        <v>30</v>
      </c>
      <c r="BM15" s="25">
        <f>(773.25/30*BL15)</f>
        <v>773.25</v>
      </c>
      <c r="BN15" s="25">
        <f ca="1">(BM15*DE15)</f>
        <v>519.94103250000001</v>
      </c>
      <c r="BO15" s="27">
        <v>30</v>
      </c>
      <c r="BP15" s="25">
        <f>(386.62/30*BO15)</f>
        <v>386.62</v>
      </c>
      <c r="BQ15" s="25">
        <f ca="1">(BP15*DE15)</f>
        <v>259.96715419999998</v>
      </c>
      <c r="BR15" s="25">
        <f>COUNTIF($A$1,"1S-Çımacı / Palamarcı")*(8.28*I19)
+COUNTIF($A$1,"2S-Çımacı / Palamarcı")*(8.28*I19)
+COUNTIF($A$1,"1S-Temizlik Personeli")*(5.52*I19)
+COUNTIF($A$1,"2S-Temizlik Personeli")*(5.52*I19)</f>
        <v>0</v>
      </c>
      <c r="BS15" s="25">
        <f ca="1">(BR15*DE15)</f>
        <v>0</v>
      </c>
      <c r="BT15" s="25">
        <f>COUNTIF(J19,"Var")*($AP$1)</f>
        <v>0</v>
      </c>
      <c r="BU15" s="25">
        <f ca="1">COUNTIF(J19,"Var")*((BT15+(BT15*0.00759*-1)+((BT15-BV15)*0.14*-1)+((BT15-BV15)*0.01*-1)+(BT15+((BT15-BV15)*0.14*-1)+((BT15-BV15)*0.01*-1))*DV19*-1))</f>
        <v>0</v>
      </c>
      <c r="BV15" s="25">
        <f>COUNTIF(J19,"Var")*($AL$1)</f>
        <v>0</v>
      </c>
      <c r="BW15" s="25">
        <f>(0)</f>
        <v>0</v>
      </c>
      <c r="BX15" s="25">
        <f>($AP$2*K19)</f>
        <v>0</v>
      </c>
      <c r="BY15" s="25">
        <f ca="1">(BX15+(BX15*0.00759*-1)+((BX15-BZ15)*0.14*-1)+((BX15-BZ15)*0.01*-1)+(BX15+((BX15-BZ15)*0.14*-1)+((BX15-BZ15)*0.01*-1))*DV19*-1)</f>
        <v>0</v>
      </c>
      <c r="BZ15" s="25">
        <f>($AL$2*K19)</f>
        <v>0</v>
      </c>
      <c r="CA15" s="25">
        <f>($AL$5*K19)</f>
        <v>0</v>
      </c>
      <c r="CB15" s="25">
        <f>($AP$3*L19)</f>
        <v>0</v>
      </c>
      <c r="CC15" s="25">
        <f ca="1">(CB15+(CB15*0.00759*-1)+((CB15-CD15)*0.14*-1)+((CB15-CD15)*0.01*-1)+(CB15+((CB15-CD15)*0.14*-1)+((CB15-CD15)*0.01*-1))*DV19*-1)</f>
        <v>0</v>
      </c>
      <c r="CD15" s="25">
        <f>($AL$3*L19)</f>
        <v>0</v>
      </c>
      <c r="CE15" s="25">
        <f>($AL$6*L19)</f>
        <v>0</v>
      </c>
      <c r="CF15" s="25">
        <f>($AP$4*M19)</f>
        <v>0</v>
      </c>
      <c r="CG15" s="25">
        <f ca="1">(CF15+(CF15*0.00759*-1)+((CF15-CH15)*0.14*-1)+((CF15-CH15)*0.01*-1)+(CF15+((CF15-CH15)*0.14*-1)+((CF15-CH15)*0.01*-1))*DV19*-1)</f>
        <v>0</v>
      </c>
      <c r="CH15" s="25">
        <f>($AL$2*M19)</f>
        <v>0</v>
      </c>
      <c r="CI15" s="25">
        <f>($AL$5*M19)</f>
        <v>0</v>
      </c>
      <c r="CJ15" s="25">
        <f>($AP$5*N19)</f>
        <v>0</v>
      </c>
      <c r="CK15" s="25">
        <f ca="1">(CJ15+(CJ15*0.00759*-1)+((CJ15-CL15)*0.14*-1)+((CJ15-CL15)*0.01*-1)+(CJ15+((CJ15-CL15)*0.14*-1)+((CJ15-CL15)*0.01*-1))*DV19*-1)</f>
        <v>0</v>
      </c>
      <c r="CL15" s="25">
        <f>($AL$3*N19)</f>
        <v>0</v>
      </c>
      <c r="CM15" s="25">
        <f>($AL$6*N19)</f>
        <v>0</v>
      </c>
      <c r="CN15" s="44">
        <f>(K19+L19+M19+N19)</f>
        <v>0</v>
      </c>
      <c r="CO15" s="25">
        <f t="shared" si="41"/>
        <v>0</v>
      </c>
      <c r="CP15" s="25">
        <f t="shared" ca="1" si="41"/>
        <v>0</v>
      </c>
      <c r="CQ15" s="25">
        <f>IF(BZ15+CD15+CH15+CL15&gt;=$AL$5*2,$AL$5*2,BZ15+CD15+CH15+CL15)</f>
        <v>0</v>
      </c>
      <c r="CR15" s="25">
        <f>(CA15+CE15+CI15+CM15)</f>
        <v>0</v>
      </c>
      <c r="CS15" s="41" t="s">
        <v>0</v>
      </c>
      <c r="CT15" s="41" t="s">
        <v>0</v>
      </c>
      <c r="CU15" s="41" t="s">
        <v>0</v>
      </c>
      <c r="CV15" s="41" t="s">
        <v>0</v>
      </c>
      <c r="CW15" s="25">
        <f t="shared" ref="CW15" si="52">(CW14/12)</f>
        <v>0</v>
      </c>
      <c r="CX15" s="25">
        <f t="shared" ref="CX15" si="53">(CX14/12)</f>
        <v>4876.8749999999991</v>
      </c>
      <c r="CY15" s="41" t="s">
        <v>0</v>
      </c>
      <c r="CZ15" s="41" t="s">
        <v>0</v>
      </c>
      <c r="DA15" s="41" t="s">
        <v>0</v>
      </c>
      <c r="DB15" s="25">
        <f>(DC5)</f>
        <v>638.01</v>
      </c>
      <c r="DC15" s="25">
        <f ca="1">(DW19+DB15)</f>
        <v>-862</v>
      </c>
      <c r="DD15" s="28">
        <f t="shared" si="1"/>
        <v>0.84240999999999999</v>
      </c>
      <c r="DE15" s="28">
        <f ca="1">(100+(100*0.00759*-1)+(100*0.14*-1)+(100*0.01*-1)+(100+100*0.14*-1+100*0.01*-1)*DV19*-1)/100</f>
        <v>0.67240999999999995</v>
      </c>
      <c r="DF15" s="28">
        <f ca="1">(100+(100*0.00759*-1)+(100)*DV19*-1)/100</f>
        <v>0.79240999999999995</v>
      </c>
      <c r="DG15" s="25">
        <f ca="1">(DI5)</f>
        <v>9496.8100000000013</v>
      </c>
      <c r="DH15" s="25">
        <f ca="1">(DG15*0.205)</f>
        <v>1946.8460500000001</v>
      </c>
      <c r="DI15" s="25">
        <f ca="1">(DG15*0.01)</f>
        <v>94.968100000000021</v>
      </c>
      <c r="DM15" s="34" t="s">
        <v>116</v>
      </c>
      <c r="DN15" s="25">
        <v>759.44</v>
      </c>
      <c r="DO15" s="25">
        <f ca="1">(DG6*0.14*-1)</f>
        <v>-1224.1614000000004</v>
      </c>
      <c r="DP15" s="25">
        <f ca="1">(DG6*0.01*-1)</f>
        <v>-87.440100000000015</v>
      </c>
      <c r="DQ15" s="25">
        <f ca="1">(AX22+BF1+BU1+BH26+BN10+BR10)</f>
        <v>685.15800000000002</v>
      </c>
      <c r="DR15" s="25">
        <f ca="1">(DI1+DO15+DP15-DQ15)</f>
        <v>7500.0505000000003</v>
      </c>
      <c r="DS15" s="25">
        <f ca="1">SUM($DR$15:DR15)</f>
        <v>7500.0505000000003</v>
      </c>
      <c r="DT15" s="29">
        <f t="shared" ref="DT15:DT26" ca="1" si="54">IF(DS15&lt;=$CU$2,$CS$2,
IF(DS15&gt;$CU$4,
IF(DS15&gt;$CU$5,$CS$6,$CS$5),
IF(DS15&lt;$CU$3,$CS$3,$CS$4)))</f>
        <v>0.15</v>
      </c>
      <c r="DU15" s="33">
        <f ca="1">IF(DT15-DT14=0,0,1)</f>
        <v>1</v>
      </c>
      <c r="DV15" s="28">
        <f t="shared" ref="DV15:DV26" ca="1" si="55">(IF(DU15=0,DT15,(VLOOKUP($DT15,$CS$2:$CV$6,2,0)-DS14)/DR15*DT14+(DS15-VLOOKUP($DT15,$CS$2:$CV$6,2,0))/DR15*DT15))</f>
        <v>0.15</v>
      </c>
      <c r="DW15" s="25">
        <f ca="1">(ROUND(DR15*DV15,2)*(-1)+VLOOKUP(DT15,$CS$2:$CV$6,4,0)*(-1))</f>
        <v>-1125.01</v>
      </c>
      <c r="DX15" s="24">
        <v>13</v>
      </c>
      <c r="DY15" s="35">
        <v>6.5</v>
      </c>
      <c r="DZ15" s="36">
        <v>0.15</v>
      </c>
      <c r="EA15" s="49"/>
    </row>
    <row r="16" spans="1:131" ht="39.950000000000003" customHeight="1" x14ac:dyDescent="0.25">
      <c r="A16" s="3">
        <f t="shared" ca="1" si="44"/>
        <v>0.15</v>
      </c>
      <c r="B16" s="4" t="s">
        <v>14</v>
      </c>
      <c r="C16" s="51">
        <v>0</v>
      </c>
      <c r="D16" s="52">
        <v>0</v>
      </c>
      <c r="E16" s="52">
        <v>0</v>
      </c>
      <c r="F16" s="52">
        <v>0</v>
      </c>
      <c r="G16" s="51">
        <v>26</v>
      </c>
      <c r="H16" s="51">
        <v>104</v>
      </c>
      <c r="I16" s="51">
        <v>0</v>
      </c>
      <c r="J16" s="53" t="s">
        <v>1</v>
      </c>
      <c r="K16" s="51">
        <v>0</v>
      </c>
      <c r="L16" s="51">
        <v>0</v>
      </c>
      <c r="M16" s="51">
        <v>0</v>
      </c>
      <c r="N16" s="51">
        <v>0</v>
      </c>
      <c r="O16" s="54" t="s">
        <v>1</v>
      </c>
      <c r="P16" s="54" t="s">
        <v>1</v>
      </c>
      <c r="Q16" s="54" t="s">
        <v>1</v>
      </c>
      <c r="R16" s="55">
        <v>0</v>
      </c>
      <c r="S16" s="5">
        <f ca="1">(DI2-BC2+BQ11+BS11+DD7+DO16+DP16+DC12-T16)</f>
        <v>8379.7019252999999</v>
      </c>
      <c r="T16" s="5">
        <f ca="1">(AJ23+AL23+AN23+AP23+BT11)</f>
        <v>898.06696979999981</v>
      </c>
      <c r="U16" s="6">
        <f t="shared" ref="U16:U26" ca="1" si="56">(S16+T16)</f>
        <v>9277.7688951</v>
      </c>
      <c r="V16" s="15" t="s">
        <v>34</v>
      </c>
      <c r="W16" s="16">
        <f t="shared" ca="1" si="40"/>
        <v>0</v>
      </c>
      <c r="X16" s="16">
        <f ca="1">COUNTIF(Y1,"Ocak")*(BU10)*-1
+COUNTIF(Y1,"Şubat")*(BU11)*-1
+COUNTIF(Y1,"Mart")*(BU12)*-1
+COUNTIF(Y1,"Nisan")*(BU13)*-1
+COUNTIF(Y1,"Mayıs")*(CF8)*-1
+COUNTIF(Y1,"Haziran")*(CF9)*-1
+COUNTIF(Y1,"Temmuz")*(CF10)*-1
+COUNTIF(Y1,"Ağustos")*(CF11)*-1
+COUNTIF(Y1,"Eylül")*(BU4)*-1
+COUNTIF(Y1,"Ekim")*(BU5)*-1
+COUNTIF(Y1,"Kasım")*(BU6)*-1
+COUNTIF(Y1,"Aralık")*(BU7)*-1
+COUNTIF(Y1,"Yıllık Toplam")*(BU8)*-1
+COUNTIF(Y1,"Yıllık Ortalama")*(BU9)*-1</f>
        <v>0</v>
      </c>
      <c r="Y16" s="64"/>
      <c r="Z16" s="68"/>
      <c r="AA16" s="77" t="s">
        <v>41</v>
      </c>
      <c r="AB16" s="78" t="s">
        <v>146</v>
      </c>
      <c r="AC16" s="56"/>
      <c r="AD16" s="58"/>
      <c r="AE16" s="60"/>
      <c r="AF16" s="59"/>
      <c r="AG16" s="34" t="s">
        <v>91</v>
      </c>
      <c r="AH16" s="32">
        <v>254.43</v>
      </c>
      <c r="AI16" s="22">
        <v>300.3</v>
      </c>
      <c r="AJ16" s="40">
        <f t="shared" si="45"/>
        <v>5992.56</v>
      </c>
      <c r="AK16" s="25">
        <f ca="1">(AJ16*DE12)</f>
        <v>4284.1410696000003</v>
      </c>
      <c r="AL16" s="25">
        <f t="shared" si="46"/>
        <v>0</v>
      </c>
      <c r="AM16" s="25">
        <f ca="1">(AL16*DE12)</f>
        <v>0</v>
      </c>
      <c r="AN16" s="25">
        <f t="shared" si="47"/>
        <v>0</v>
      </c>
      <c r="AO16" s="42">
        <f>(AP15+1)</f>
        <v>44593</v>
      </c>
      <c r="AP16" s="42">
        <f t="shared" si="48"/>
        <v>44620</v>
      </c>
      <c r="AQ16" s="43">
        <f t="shared" ref="AQ16:AQ21" si="57">DAY(AP16)</f>
        <v>28</v>
      </c>
      <c r="AR16" s="43">
        <f t="shared" ref="AR16:AR21" si="58">NETWORKDAYS.INTL(AO16,AP16,11)</f>
        <v>24</v>
      </c>
      <c r="AS16" s="43">
        <f t="shared" ref="AS16:AS21" si="59">(AQ16-AR16)</f>
        <v>4</v>
      </c>
      <c r="AT16" s="41" t="s">
        <v>0</v>
      </c>
      <c r="AU16" s="32">
        <f t="shared" si="49"/>
        <v>214.02</v>
      </c>
      <c r="AV16" s="32">
        <f ca="1">(AU16*DE12)</f>
        <v>153.00503820000003</v>
      </c>
      <c r="AW16" s="32">
        <f t="shared" si="50"/>
        <v>214.02</v>
      </c>
      <c r="AX16" s="25">
        <f ca="1">(AW16*DE12+DL2/30*-1+DB12/30)</f>
        <v>175.53805020000001</v>
      </c>
      <c r="AY16" s="32">
        <f t="shared" si="51"/>
        <v>214.02</v>
      </c>
      <c r="AZ16" s="25">
        <f ca="1">(AY16*DE12)</f>
        <v>153.00503820000003</v>
      </c>
      <c r="BA16" s="41" t="s">
        <v>0</v>
      </c>
      <c r="BB16" s="25">
        <f>(BF5+BJ5+BK5-BL5)</f>
        <v>1067.3519999999999</v>
      </c>
      <c r="BC16" s="25">
        <f ca="1">(BB16*DV20*-1)</f>
        <v>-213.47039999999998</v>
      </c>
      <c r="BD16" s="25">
        <f ca="1">(ROUND((BE16+BF16),2))</f>
        <v>492.54</v>
      </c>
      <c r="BE16" s="25">
        <f>(4.7*H20)</f>
        <v>488.8</v>
      </c>
      <c r="BF16" s="25">
        <f ca="1">(BD16*0.00759)</f>
        <v>3.7383786000000003</v>
      </c>
      <c r="BG16" s="25">
        <f ca="1">(ROUND((BE16+BF16),2))</f>
        <v>492.54</v>
      </c>
      <c r="BH16" s="25">
        <f ca="1">(BD16)</f>
        <v>492.54</v>
      </c>
      <c r="BI16" s="27">
        <v>18</v>
      </c>
      <c r="BJ16" s="25">
        <f>(AY20*BI16)</f>
        <v>3852.36</v>
      </c>
      <c r="BK16" s="25">
        <f ca="1">(BJ16*CI1)</f>
        <v>2590.3653875999998</v>
      </c>
      <c r="BL16" s="27">
        <v>30</v>
      </c>
      <c r="BM16" s="25">
        <f>(773.25/30*BL16)</f>
        <v>773.25</v>
      </c>
      <c r="BN16" s="25">
        <f ca="1">(BM16*CI1)</f>
        <v>519.94103250000001</v>
      </c>
      <c r="BO16" s="27">
        <v>30</v>
      </c>
      <c r="BP16" s="25">
        <f>(386.62/30*BO16)</f>
        <v>386.62</v>
      </c>
      <c r="BQ16" s="25">
        <f ca="1">(BP16*CI1)</f>
        <v>259.96715419999998</v>
      </c>
      <c r="BR16" s="25">
        <f>COUNTIF($A$1,"1S-Çımacı / Palamarcı")*(8.28*I20)
+COUNTIF($A$1,"2S-Çımacı / Palamarcı")*(8.28*I20)
+COUNTIF($A$1,"1S-Temizlik Personeli")*(5.52*I20)
+COUNTIF($A$1,"2S-Temizlik Personeli")*(5.52*I20)</f>
        <v>0</v>
      </c>
      <c r="BS16" s="25">
        <f ca="1">(BR16*CI1)</f>
        <v>0</v>
      </c>
      <c r="BT16" s="25">
        <f>COUNTIF(J20,"Var")*($AP$1)</f>
        <v>0</v>
      </c>
      <c r="BU16" s="25">
        <f ca="1">COUNTIF(J20,"Var")*((BT16+(BT16*0.00759*-1)+((BT16-BV16)*0.14*-1)+((BT16-BV16)*0.01*-1)+(BT16+((BT16-BV16)*0.14*-1)+((BT16-BV16)*0.01*-1))*DV20*-1))</f>
        <v>0</v>
      </c>
      <c r="BV16" s="25">
        <f>COUNTIF(J20,"Var")*($AL$1)</f>
        <v>0</v>
      </c>
      <c r="BW16" s="25">
        <f>(0)</f>
        <v>0</v>
      </c>
      <c r="BX16" s="25">
        <f>($AP$2*K20)</f>
        <v>0</v>
      </c>
      <c r="BY16" s="25">
        <f ca="1">(BX16+(BX16*0.00759*-1)+((BX16-BZ16)*0.14*-1)+((BX16-BZ16)*0.01*-1)+(BX16+((BX16-BZ16)*0.14*-1)+((BX16-BZ16)*0.01*-1))*DV20*-1)</f>
        <v>0</v>
      </c>
      <c r="BZ16" s="25">
        <f>($AL$2*K20)</f>
        <v>0</v>
      </c>
      <c r="CA16" s="25">
        <f>($AL$5*K20)</f>
        <v>0</v>
      </c>
      <c r="CB16" s="25">
        <f>($AP$3*L20)</f>
        <v>0</v>
      </c>
      <c r="CC16" s="25">
        <f ca="1">(CB16+(CB16*0.00759*-1)+((CB16-CD16)*0.14*-1)+((CB16-CD16)*0.01*-1)+(CB16+((CB16-CD16)*0.14*-1)+((CB16-CD16)*0.01*-1))*DV20*-1)</f>
        <v>0</v>
      </c>
      <c r="CD16" s="25">
        <f>($AL$3*L20)</f>
        <v>0</v>
      </c>
      <c r="CE16" s="25">
        <f>($AL$6*L20)</f>
        <v>0</v>
      </c>
      <c r="CF16" s="25">
        <f>($AP$4*M20)</f>
        <v>0</v>
      </c>
      <c r="CG16" s="25">
        <f ca="1">(CF16+(CF16*0.00759*-1)+((CF16-CH16)*0.14*-1)+((CF16-CH16)*0.01*-1)+(CF16+((CF16-CH16)*0.14*-1)+((CF16-CH16)*0.01*-1))*DV20*-1)</f>
        <v>0</v>
      </c>
      <c r="CH16" s="25">
        <f>($AL$2*M20)</f>
        <v>0</v>
      </c>
      <c r="CI16" s="25">
        <f>($AL$5*M20)</f>
        <v>0</v>
      </c>
      <c r="CJ16" s="25">
        <f>($AP$5*N20)</f>
        <v>0</v>
      </c>
      <c r="CK16" s="25">
        <f ca="1">(CJ16+(CJ16*0.00759*-1)+((CJ16-CL16)*0.14*-1)+((CJ16-CL16)*0.01*-1)+(CJ16+((CJ16-CL16)*0.14*-1)+((CJ16-CL16)*0.01*-1))*DV20*-1)</f>
        <v>0</v>
      </c>
      <c r="CL16" s="25">
        <f>($AL$3*N20)</f>
        <v>0</v>
      </c>
      <c r="CM16" s="25">
        <f>($AL$6*N20)</f>
        <v>0</v>
      </c>
      <c r="CN16" s="44">
        <f>(K20+L20+M20+N20)</f>
        <v>0</v>
      </c>
      <c r="CO16" s="25">
        <f t="shared" si="41"/>
        <v>0</v>
      </c>
      <c r="CP16" s="25">
        <f t="shared" ca="1" si="41"/>
        <v>0</v>
      </c>
      <c r="CQ16" s="25">
        <f>IF(BZ16+CD16+CH16+CL16&gt;=$AL$5*2,$AL$5*2,BZ16+CD16+CH16+CL16)</f>
        <v>0</v>
      </c>
      <c r="CR16" s="25">
        <f>(CA16+CE16+CI16+CM16)</f>
        <v>0</v>
      </c>
      <c r="CS16" s="28">
        <f t="shared" ref="CS16:CS22" si="60">IF(DA7=0,CZ7,(VLOOKUP($CZ7,$CS$2:$CV$6,2,0)-CY6)/CX7*CZ6+(CY7-VLOOKUP($CZ7,$CS$2:$CV$6,2,0))/CX7*CZ7)</f>
        <v>0.15</v>
      </c>
      <c r="CT16" s="25">
        <f t="shared" ref="CT16:CT22" si="61">(ROUND(CX7*CS16,2))</f>
        <v>638.01</v>
      </c>
      <c r="CU16" s="28">
        <f t="shared" ref="CU16:CU22" si="62">(100+(100*0.00759*-1)+(100*0.01*-1)+(100*0.01*-1)+(100+100*0.14*-1+100*0.01*-1)*CS16*-1)/100</f>
        <v>0.84491000000000005</v>
      </c>
      <c r="CV16" s="25">
        <f>CH9</f>
        <v>5004</v>
      </c>
      <c r="CW16" s="25">
        <f>CH9+CK9+CN9+CO9</f>
        <v>4253.3999999999996</v>
      </c>
      <c r="CX16" s="25" t="s">
        <v>0</v>
      </c>
      <c r="CY16" s="25">
        <f ca="1">(AJ20+AL20+AN20+AY5+BA5+BC5+BD16+BJ16+BM16+BP16+BR16+BT16+CO16+CE5)</f>
        <v>13135.150000000001</v>
      </c>
      <c r="CZ16" s="25">
        <f ca="1">(AJ20+AL20+AN20+AY5+BA5+BC5+BD16+BJ16+BM16+BP16+BR16+BT16+CO16+CE5)</f>
        <v>13135.150000000001</v>
      </c>
      <c r="DA16" s="25">
        <f t="shared" ref="DA16:DA22" ca="1" si="63">(CZ16*0.00759*-1)</f>
        <v>-99.69578850000002</v>
      </c>
      <c r="DB16" s="25">
        <f>(CI9)</f>
        <v>5004</v>
      </c>
      <c r="DC16" s="25">
        <f t="shared" ref="DC16:DC22" si="64">(DB16*0.00759*-1)</f>
        <v>-37.980360000000005</v>
      </c>
      <c r="DD16" s="25">
        <f t="shared" ref="DD16:DD22" ca="1" si="65">(CZ16-DB16)</f>
        <v>8131.1500000000015</v>
      </c>
      <c r="DE16" s="25">
        <f t="shared" ref="DE16:DE22" ca="1" si="66">(DD16*0.00759*-1)</f>
        <v>-61.715428500000016</v>
      </c>
      <c r="DF16" s="25">
        <f t="shared" ref="DF16:DF22" ca="1" si="67">(DE16)</f>
        <v>-61.715428500000016</v>
      </c>
      <c r="DG16" s="25">
        <f ca="1">(BH5+BG16+BZ16+CQ16+CF5)</f>
        <v>752.8</v>
      </c>
      <c r="DH16" s="25">
        <f t="shared" ref="DH16:DH22" ca="1" si="68">(CZ16-DG16)</f>
        <v>12382.350000000002</v>
      </c>
      <c r="DI16" s="25">
        <f ca="1">IF(DH16&gt;=CH9*7.5,CH9*7.5,DH16)</f>
        <v>12382.350000000002</v>
      </c>
      <c r="DM16" s="34" t="s">
        <v>65</v>
      </c>
      <c r="DN16" s="25">
        <v>1035.5999999999999</v>
      </c>
      <c r="DO16" s="25">
        <f ca="1">(DG7*0.14*-1)</f>
        <v>-1673.6034000000004</v>
      </c>
      <c r="DP16" s="25">
        <f ca="1">(DG7*0.01*-1)</f>
        <v>-119.54310000000001</v>
      </c>
      <c r="DQ16" s="25">
        <f ca="1">(AX23+BF2+BU2+BH27+BN11+BR11)</f>
        <v>685.15800000000002</v>
      </c>
      <c r="DR16" s="25">
        <f ca="1">(DI2+DO16+DP16-DQ16)</f>
        <v>10228.8055</v>
      </c>
      <c r="DS16" s="25">
        <f ca="1">SUM($DR$15:DR16)</f>
        <v>17728.856</v>
      </c>
      <c r="DT16" s="29">
        <f t="shared" ca="1" si="54"/>
        <v>0.15</v>
      </c>
      <c r="DU16" s="33">
        <f t="shared" ref="DU16:DU26" ca="1" si="69">IF(DT16-DT15=0,0,1)</f>
        <v>0</v>
      </c>
      <c r="DV16" s="28">
        <f t="shared" ca="1" si="55"/>
        <v>0.15</v>
      </c>
      <c r="DW16" s="25">
        <f ca="1">(ROUND(DR16*DV16,2)*(-1))</f>
        <v>-1534.32</v>
      </c>
      <c r="DX16" s="24">
        <v>14</v>
      </c>
      <c r="DY16" s="35">
        <v>7</v>
      </c>
      <c r="DZ16" s="36">
        <v>0.16</v>
      </c>
      <c r="EA16" s="49"/>
    </row>
    <row r="17" spans="1:131" ht="39.950000000000003" customHeight="1" x14ac:dyDescent="0.25">
      <c r="A17" s="3">
        <f t="shared" ca="1" si="44"/>
        <v>0.15</v>
      </c>
      <c r="B17" s="4" t="s">
        <v>15</v>
      </c>
      <c r="C17" s="51">
        <v>0</v>
      </c>
      <c r="D17" s="52">
        <v>0</v>
      </c>
      <c r="E17" s="52">
        <v>0</v>
      </c>
      <c r="F17" s="52">
        <v>0</v>
      </c>
      <c r="G17" s="51">
        <v>26</v>
      </c>
      <c r="H17" s="51">
        <v>104</v>
      </c>
      <c r="I17" s="51">
        <v>0</v>
      </c>
      <c r="J17" s="53" t="s">
        <v>1</v>
      </c>
      <c r="K17" s="51">
        <v>0</v>
      </c>
      <c r="L17" s="51">
        <v>0</v>
      </c>
      <c r="M17" s="51">
        <v>0</v>
      </c>
      <c r="N17" s="51">
        <v>0</v>
      </c>
      <c r="O17" s="54" t="s">
        <v>1</v>
      </c>
      <c r="P17" s="54" t="s">
        <v>1</v>
      </c>
      <c r="Q17" s="54" t="s">
        <v>1</v>
      </c>
      <c r="R17" s="55">
        <v>0</v>
      </c>
      <c r="S17" s="5">
        <f ca="1">(DI3-BC3+BQ12+BS12+DD8+DO17+DP17+DC13-T17)</f>
        <v>6084.6231023</v>
      </c>
      <c r="T17" s="5">
        <f ca="1">(AJ24+AL24+AN24+AP24+BT12)</f>
        <v>898.06696979999981</v>
      </c>
      <c r="U17" s="6">
        <f t="shared" ca="1" si="56"/>
        <v>6982.6900721000002</v>
      </c>
      <c r="V17" s="15" t="s">
        <v>35</v>
      </c>
      <c r="W17" s="16">
        <f t="shared" ca="1" si="40"/>
        <v>592.41437640000015</v>
      </c>
      <c r="X17" s="17">
        <f ca="1">COUNTIF(Y1,"Ocak")*(DD6)*-1
+COUNTIF(Y1,"Şubat")*(DD7)*-1
+COUNTIF(Y1,"Mart")*(DD8)*-1
+COUNTIF(Y1,"Nisan")*(DD9)*-1
+COUNTIF(Y1,"Mayıs")*(DD10)*-1
+COUNTIF(Y1,"Haziran")*(DF16)*-1
+COUNTIF(Y1,"Temmuz")*(DF17)*-1
+COUNTIF(Y1,"Ağustos")*(DF18)*-1
+COUNTIF(Y1,"Eylül")*(DF19)*-1
+COUNTIF(Y1,"Ekim")*(DF20)*-1
+COUNTIF(Y1,"Kasım")*(DF21)*-1
+COUNTIF(Y1,"Aralık")*(DF22)*-1
+COUNTIF(Y1,"Yıllık Toplam")*(DF23)*-1
+COUNTIF(Y1,"Yıllık Ortalama")*(DF24)*-1</f>
        <v>592.41437640000015</v>
      </c>
      <c r="Y17" s="64"/>
      <c r="Z17" s="68"/>
      <c r="AA17" s="81" t="s">
        <v>43</v>
      </c>
      <c r="AB17" s="79" t="s">
        <v>147</v>
      </c>
      <c r="AC17" s="56"/>
      <c r="AD17" s="58"/>
      <c r="AE17" s="60"/>
      <c r="AF17" s="59"/>
      <c r="AG17" s="34" t="s">
        <v>92</v>
      </c>
      <c r="AH17" s="32">
        <v>251.72</v>
      </c>
      <c r="AI17" s="22">
        <v>297.10000000000002</v>
      </c>
      <c r="AJ17" s="40">
        <f t="shared" si="45"/>
        <v>6634.62</v>
      </c>
      <c r="AK17" s="25">
        <f ca="1">(AJ17*DE13)</f>
        <v>4743.1561842000001</v>
      </c>
      <c r="AL17" s="25">
        <f t="shared" si="46"/>
        <v>0</v>
      </c>
      <c r="AM17" s="25">
        <f ca="1">(AL17*DE13)</f>
        <v>0</v>
      </c>
      <c r="AN17" s="25">
        <f t="shared" si="47"/>
        <v>0</v>
      </c>
      <c r="AO17" s="42">
        <f t="shared" ref="AO17:AO21" si="70">(AP16+1)</f>
        <v>44621</v>
      </c>
      <c r="AP17" s="42">
        <f t="shared" si="48"/>
        <v>44651</v>
      </c>
      <c r="AQ17" s="43">
        <f t="shared" si="57"/>
        <v>31</v>
      </c>
      <c r="AR17" s="43">
        <f t="shared" si="58"/>
        <v>27</v>
      </c>
      <c r="AS17" s="43">
        <f t="shared" si="59"/>
        <v>4</v>
      </c>
      <c r="AT17" s="41" t="s">
        <v>0</v>
      </c>
      <c r="AU17" s="32">
        <f t="shared" si="49"/>
        <v>214.02</v>
      </c>
      <c r="AV17" s="32">
        <f ca="1">(AU17*DE13)</f>
        <v>153.00503820000003</v>
      </c>
      <c r="AW17" s="32">
        <f t="shared" si="50"/>
        <v>214.02</v>
      </c>
      <c r="AX17" s="25">
        <f ca="1">(AW17*DE13+DL3/30*-1+DB13/30)</f>
        <v>175.53805020000001</v>
      </c>
      <c r="AY17" s="32">
        <f t="shared" si="51"/>
        <v>214.02</v>
      </c>
      <c r="AZ17" s="25">
        <f ca="1">(AY17*DE13)</f>
        <v>153.00503820000003</v>
      </c>
      <c r="BA17" s="41" t="s">
        <v>0</v>
      </c>
      <c r="BB17" s="25">
        <f>(BF10+BJ10+BK10-BL10)</f>
        <v>1078.779</v>
      </c>
      <c r="BC17" s="25">
        <f ca="1">(BB17*DV25*-1)</f>
        <v>-291.27033</v>
      </c>
      <c r="BD17" s="25">
        <f ca="1">(ROUND((BE17+BF17),2))</f>
        <v>681.17</v>
      </c>
      <c r="BE17" s="25">
        <f>(6.5*H25)</f>
        <v>676</v>
      </c>
      <c r="BF17" s="25">
        <f ca="1">(BD17*0.00759)</f>
        <v>5.1700802999999995</v>
      </c>
      <c r="BG17" s="25">
        <f ca="1">(ROUND((BE17+BF17),2))</f>
        <v>681.17</v>
      </c>
      <c r="BH17" s="25">
        <f ca="1">(BD17)</f>
        <v>681.17</v>
      </c>
      <c r="BI17" s="27">
        <v>0</v>
      </c>
      <c r="BJ17" s="25">
        <f>(AT14*BI17)</f>
        <v>0</v>
      </c>
      <c r="BK17" s="25">
        <f ca="1">(BJ17*DK6)</f>
        <v>0</v>
      </c>
      <c r="BL17" s="27">
        <v>30</v>
      </c>
      <c r="BM17" s="25">
        <f>(773.25/30*BL17)</f>
        <v>773.25</v>
      </c>
      <c r="BN17" s="25">
        <f ca="1">(BM17*DK6)</f>
        <v>473.93265749999995</v>
      </c>
      <c r="BO17" s="27">
        <v>30</v>
      </c>
      <c r="BP17" s="25">
        <f>(386.62/30*BO17)</f>
        <v>386.62</v>
      </c>
      <c r="BQ17" s="25">
        <f ca="1">(BP17*DK6)</f>
        <v>236.9632642</v>
      </c>
      <c r="BR17" s="25">
        <f>COUNTIF($A$1,"1S-Çımacı / Palamarcı")*(8.28*I25)
+COUNTIF($A$1,"2S-Çımacı / Palamarcı")*(8.28*I25)
+COUNTIF($A$1,"1S-Temizlik Personeli")*(5.52*I25)
+COUNTIF($A$1,"2S-Temizlik Personeli")*(5.52*I25)</f>
        <v>0</v>
      </c>
      <c r="BS17" s="25">
        <f ca="1">(BR17*DK6)</f>
        <v>0</v>
      </c>
      <c r="BT17" s="25">
        <f>COUNTIF(J25,"Var")*($AQ$1)</f>
        <v>0</v>
      </c>
      <c r="BU17" s="25">
        <f ca="1">COUNTIF(J25,"Var")*((BT17+(BT17*0.00759*-1)+((BT17-BV17)*0.14*-1)+((BT17-BV17)*0.01*-1)+(BT17+((BT17-BV17)*0.14*-1)+((BT17-BV17)*0.01*-1))*DV25*-1))</f>
        <v>0</v>
      </c>
      <c r="BV17" s="25">
        <f>COUNTIF(J25,"Var")*($AM$1)</f>
        <v>0</v>
      </c>
      <c r="BW17" s="25">
        <f>(0)</f>
        <v>0</v>
      </c>
      <c r="BX17" s="25">
        <f>($AQ$2*K25)</f>
        <v>0</v>
      </c>
      <c r="BY17" s="25">
        <f ca="1">(BX17+(BX17*0.00759*-1)+((BX17-BZ17)*0.14*-1)+((BX17-BZ17)*0.01*-1)+(BX17+((BX17-BZ17)*0.14*-1)+((BX17-BZ17)*0.01*-1))*DV25*-1)</f>
        <v>0</v>
      </c>
      <c r="BZ17" s="25">
        <f>($AM$2*K25)</f>
        <v>0</v>
      </c>
      <c r="CA17" s="25">
        <f>($AM$5*K25)</f>
        <v>0</v>
      </c>
      <c r="CB17" s="25">
        <f>($AQ$3*L25)</f>
        <v>0</v>
      </c>
      <c r="CC17" s="25">
        <f ca="1">(CB17+(CB17*0.00759*-1)+((CB17-CD17)*0.14*-1)+((CB17-CD17)*0.01*-1)+(CB17+((CB17-CD17)*0.14*-1)+((CB17-CD17)*0.01*-1))*DV25*-1)</f>
        <v>0</v>
      </c>
      <c r="CD17" s="25">
        <f>($AM$3*L25)</f>
        <v>0</v>
      </c>
      <c r="CE17" s="25">
        <f>($AM$6*L25)</f>
        <v>0</v>
      </c>
      <c r="CF17" s="25">
        <f>($AQ$4*M25)</f>
        <v>0</v>
      </c>
      <c r="CG17" s="25">
        <f ca="1">(CF17+(CF17*0.00759*-1)+((CF17-CH17)*0.14*-1)+((CF17-CH17)*0.01*-1)+(CF17+((CF17-CH17)*0.14*-1)+((CF17-CH17)*0.01*-1))*DV25*-1)</f>
        <v>0</v>
      </c>
      <c r="CH17" s="25">
        <f>($AM$2*M25)</f>
        <v>0</v>
      </c>
      <c r="CI17" s="25">
        <f>($AM$5*M25)</f>
        <v>0</v>
      </c>
      <c r="CJ17" s="25">
        <f>($AQ$5*N25)</f>
        <v>0</v>
      </c>
      <c r="CK17" s="25">
        <f ca="1">(CJ17+(CJ17*0.00759*-1)+((CJ17-CL17)*0.14*-1)+((CJ17-CL17)*0.01*-1)+(CJ17+((CJ17-CL17)*0.14*-1)+((CJ17-CL17)*0.01*-1))*DV25*-1)</f>
        <v>0</v>
      </c>
      <c r="CL17" s="25">
        <f>($AM$3*N25)</f>
        <v>0</v>
      </c>
      <c r="CM17" s="25">
        <f>($AM$6*N25)</f>
        <v>0</v>
      </c>
      <c r="CN17" s="44">
        <f>(K25+L25+M25+N25)</f>
        <v>0</v>
      </c>
      <c r="CO17" s="25">
        <f t="shared" si="41"/>
        <v>0</v>
      </c>
      <c r="CP17" s="25">
        <f t="shared" ca="1" si="41"/>
        <v>0</v>
      </c>
      <c r="CQ17" s="25">
        <f>IF(BZ17+CD17+CH17+CL17&gt;=$AM$5*2,$AM$5*2,BZ17+CD17+CH17+CL17)</f>
        <v>0</v>
      </c>
      <c r="CR17" s="25">
        <f>(CA17+CE17+CI17+CM17)</f>
        <v>0</v>
      </c>
      <c r="CS17" s="28">
        <f t="shared" si="60"/>
        <v>0.15</v>
      </c>
      <c r="CT17" s="25">
        <f t="shared" si="61"/>
        <v>825.05</v>
      </c>
      <c r="CU17" s="28">
        <f t="shared" si="62"/>
        <v>0.84491000000000005</v>
      </c>
      <c r="CV17" s="25">
        <f>CH10</f>
        <v>6471</v>
      </c>
      <c r="CW17" s="25">
        <f>CH10+CK10+CN10+CO10</f>
        <v>5500.3499999999995</v>
      </c>
      <c r="CX17" s="25" t="s">
        <v>0</v>
      </c>
      <c r="CY17" s="25">
        <f ca="1">(AJ21+AL21+AN21+AY6+BA6+BC6+BA22+BG22+BJ22+BM22+BO22+BQ22+CL22+CE6)</f>
        <v>10881.42</v>
      </c>
      <c r="CZ17" s="25">
        <f ca="1">(AJ21+AL21+AN21+AY6+BA6+BC6+BA22+BG22+BJ22+BM22+BO22+BQ22+CL22+CE6)</f>
        <v>10881.42</v>
      </c>
      <c r="DA17" s="25">
        <f t="shared" ca="1" si="63"/>
        <v>-82.5899778</v>
      </c>
      <c r="DB17" s="25">
        <f>(CI10)</f>
        <v>6471</v>
      </c>
      <c r="DC17" s="25">
        <f t="shared" si="64"/>
        <v>-49.114890000000003</v>
      </c>
      <c r="DD17" s="25">
        <f t="shared" ca="1" si="65"/>
        <v>4410.42</v>
      </c>
      <c r="DE17" s="25">
        <f t="shared" ca="1" si="66"/>
        <v>-33.475087800000004</v>
      </c>
      <c r="DF17" s="25">
        <f t="shared" ca="1" si="67"/>
        <v>-33.475087800000004</v>
      </c>
      <c r="DG17" s="25">
        <f ca="1">(BH6+BD22+BW22+CN22+CF6)</f>
        <v>1017.6099999999999</v>
      </c>
      <c r="DH17" s="25">
        <f t="shared" ca="1" si="68"/>
        <v>9863.81</v>
      </c>
      <c r="DI17" s="25">
        <f ca="1">IF(DH17&gt;=CH10*7.5,CH10*7.5,DH17)</f>
        <v>9863.81</v>
      </c>
      <c r="DM17" s="34" t="s">
        <v>66</v>
      </c>
      <c r="DN17" s="25">
        <v>1035.5999999999999</v>
      </c>
      <c r="DO17" s="25">
        <f ca="1">(DG8*0.14*-1)</f>
        <v>-1224.1614000000004</v>
      </c>
      <c r="DP17" s="25">
        <f ca="1">(DG8*0.01*-1)</f>
        <v>-87.440100000000015</v>
      </c>
      <c r="DQ17" s="25">
        <f ca="1">(AX24+BF3+BU3+BH28+BN12+BR12)</f>
        <v>685.15800000000002</v>
      </c>
      <c r="DR17" s="25">
        <f ca="1">(DI3+DO17+DP17-DQ17)</f>
        <v>7500.0505000000003</v>
      </c>
      <c r="DS17" s="25">
        <f ca="1">SUM($DR$15:DR17)</f>
        <v>25228.906500000001</v>
      </c>
      <c r="DT17" s="29">
        <f t="shared" ca="1" si="54"/>
        <v>0.15</v>
      </c>
      <c r="DU17" s="33">
        <f t="shared" ca="1" si="69"/>
        <v>0</v>
      </c>
      <c r="DV17" s="28">
        <f t="shared" ca="1" si="55"/>
        <v>0.15</v>
      </c>
      <c r="DW17" s="25">
        <f t="shared" ref="DW17:DW26" ca="1" si="71">(ROUND(DR17*DV17,2)*(-1))</f>
        <v>-1125.01</v>
      </c>
      <c r="DX17" s="24">
        <v>15</v>
      </c>
      <c r="DY17" s="35">
        <v>7.5</v>
      </c>
      <c r="DZ17" s="36">
        <v>0.17</v>
      </c>
      <c r="EA17" s="49"/>
    </row>
    <row r="18" spans="1:131" ht="39.950000000000003" customHeight="1" x14ac:dyDescent="0.25">
      <c r="A18" s="3">
        <f t="shared" ca="1" si="44"/>
        <v>0.16803868620281093</v>
      </c>
      <c r="B18" s="4" t="s">
        <v>16</v>
      </c>
      <c r="C18" s="51">
        <v>0</v>
      </c>
      <c r="D18" s="52">
        <v>0</v>
      </c>
      <c r="E18" s="52">
        <v>0</v>
      </c>
      <c r="F18" s="52">
        <v>0</v>
      </c>
      <c r="G18" s="51">
        <v>26</v>
      </c>
      <c r="H18" s="51">
        <v>104</v>
      </c>
      <c r="I18" s="51">
        <v>0</v>
      </c>
      <c r="J18" s="53" t="s">
        <v>1</v>
      </c>
      <c r="K18" s="51">
        <v>0</v>
      </c>
      <c r="L18" s="51">
        <v>0</v>
      </c>
      <c r="M18" s="51">
        <v>0</v>
      </c>
      <c r="N18" s="51">
        <v>0</v>
      </c>
      <c r="O18" s="54" t="s">
        <v>1</v>
      </c>
      <c r="P18" s="54" t="s">
        <v>1</v>
      </c>
      <c r="Q18" s="54" t="s">
        <v>1</v>
      </c>
      <c r="R18" s="55">
        <v>0</v>
      </c>
      <c r="S18" s="5">
        <f ca="1">(DI4-BE14+BQ13+BS13+DD9+DO18+DP18+DC14-T18)</f>
        <v>8513.8907294959427</v>
      </c>
      <c r="T18" s="5">
        <f ca="1">(AJ25+AL25+AN25+AP25+BT13)</f>
        <v>878.81334200405718</v>
      </c>
      <c r="U18" s="6">
        <f t="shared" ca="1" si="56"/>
        <v>9392.7040715000003</v>
      </c>
      <c r="V18" s="15" t="s">
        <v>6</v>
      </c>
      <c r="W18" s="16">
        <f t="shared" ca="1" si="40"/>
        <v>19079.13</v>
      </c>
      <c r="X18" s="17">
        <f ca="1">COUNTIF(Y1,"Ocak")*(DO15)*-1
+COUNTIF(Y1,"Şubat")*(DO16)*-1
+COUNTIF(Y1,"Mart")*(DO17)*-1
+COUNTIF(Y1,"Nisan")*(DO18)*-1
+COUNTIF(Y1,"Mayıs")*(DO19)*-1
+COUNTIF(Y1,"Haziran")*(DO20)*-1
+COUNTIF(Y1,"Temmuz")*(DO21)*-1
+COUNTIF(Y1,"Ağustos")*(DO22)*-1
+COUNTIF(Y1,"Eylül")*(DO23)*-1
+COUNTIF(Y1,"Ekim")*(DO24)*-1
+COUNTIF(Y1,"Kasım")*(DO25)*-1
+COUNTIF(Y1,"Aralık")*(DO26)*-1
+COUNTIF(Y1,"Yıllık Toplam")*(DO27)*-1
+COUNTIF(Y1,"Yıllık Ortalama")*(DO28)*-1</f>
        <v>19079.13</v>
      </c>
      <c r="Y18" s="64"/>
      <c r="Z18" s="68"/>
      <c r="AA18" s="77" t="s">
        <v>49</v>
      </c>
      <c r="AB18" s="78" t="s">
        <v>52</v>
      </c>
      <c r="AC18" s="56"/>
      <c r="AD18" s="58"/>
      <c r="AE18" s="60"/>
      <c r="AF18" s="59"/>
      <c r="AG18" s="34" t="s">
        <v>93</v>
      </c>
      <c r="AH18" s="32">
        <v>251.72</v>
      </c>
      <c r="AI18" s="22">
        <v>297.10000000000002</v>
      </c>
      <c r="AJ18" s="40">
        <f t="shared" si="45"/>
        <v>6420.6</v>
      </c>
      <c r="AK18" s="25">
        <f ca="1">(AJ18*DE14)</f>
        <v>4491.7048356612977</v>
      </c>
      <c r="AL18" s="25">
        <f t="shared" si="46"/>
        <v>0</v>
      </c>
      <c r="AM18" s="25">
        <f ca="1">(AL18*DE14)</f>
        <v>0</v>
      </c>
      <c r="AN18" s="25">
        <f t="shared" si="47"/>
        <v>0</v>
      </c>
      <c r="AO18" s="42">
        <f t="shared" si="70"/>
        <v>44652</v>
      </c>
      <c r="AP18" s="42">
        <f t="shared" si="48"/>
        <v>44681</v>
      </c>
      <c r="AQ18" s="43">
        <f t="shared" si="57"/>
        <v>30</v>
      </c>
      <c r="AR18" s="43">
        <f t="shared" si="58"/>
        <v>26</v>
      </c>
      <c r="AS18" s="43">
        <f t="shared" si="59"/>
        <v>4</v>
      </c>
      <c r="AT18" s="41" t="s">
        <v>0</v>
      </c>
      <c r="AU18" s="32">
        <f t="shared" si="49"/>
        <v>214.02</v>
      </c>
      <c r="AV18" s="32">
        <f ca="1">(AU18*DE14)</f>
        <v>149.72349452204324</v>
      </c>
      <c r="AW18" s="32">
        <f t="shared" si="50"/>
        <v>214.02</v>
      </c>
      <c r="AX18" s="25">
        <f ca="1">(AW18*DE14+DL4/30*-1+DB14/30)</f>
        <v>172.25650652204322</v>
      </c>
      <c r="AY18" s="32">
        <f t="shared" si="51"/>
        <v>214.02</v>
      </c>
      <c r="AZ18" s="25">
        <f ca="1">(AY18*DE14)</f>
        <v>149.72349452204324</v>
      </c>
      <c r="BA18" s="41" t="s">
        <v>0</v>
      </c>
      <c r="BB18" s="25">
        <f>(BF11+BJ11+BK11-BL11)</f>
        <v>1078.779</v>
      </c>
      <c r="BC18" s="25">
        <f ca="1">(BB18*DV26*-1)</f>
        <v>-291.27033</v>
      </c>
      <c r="BD18" s="25">
        <f ca="1">(ROUND((BE18+BF18),2))</f>
        <v>681.17</v>
      </c>
      <c r="BE18" s="25">
        <f>(6.5*H26)</f>
        <v>676</v>
      </c>
      <c r="BF18" s="25">
        <f ca="1">(BD18*0.00759)</f>
        <v>5.1700802999999995</v>
      </c>
      <c r="BG18" s="25">
        <f ca="1">(ROUND((BE18+BF18),2))</f>
        <v>681.17</v>
      </c>
      <c r="BH18" s="25">
        <f ca="1">(BD18)</f>
        <v>681.17</v>
      </c>
      <c r="BI18" s="27">
        <v>22</v>
      </c>
      <c r="BJ18" s="25">
        <f>(AT26*BI18)</f>
        <v>5557.2</v>
      </c>
      <c r="BK18" s="25">
        <f ca="1">(BJ18*DK7)</f>
        <v>3406.0634519999994</v>
      </c>
      <c r="BL18" s="27">
        <v>30</v>
      </c>
      <c r="BM18" s="25">
        <f>(773.25/30*BL18)</f>
        <v>773.25</v>
      </c>
      <c r="BN18" s="25">
        <f ca="1">(BM18*DK7)</f>
        <v>473.93265749999995</v>
      </c>
      <c r="BO18" s="27">
        <v>30</v>
      </c>
      <c r="BP18" s="25">
        <f>(386.62/30*BO18)</f>
        <v>386.62</v>
      </c>
      <c r="BQ18" s="25">
        <f ca="1">(BP18*DK7)</f>
        <v>236.9632642</v>
      </c>
      <c r="BR18" s="25">
        <f>COUNTIF($A$1,"1S-Çımacı / Palamarcı")*(8.28*I26)
+COUNTIF($A$1,"2S-Çımacı / Palamarcı")*(8.28*I26)
+COUNTIF($A$1,"1S-Temizlik Personeli")*(5.52*I26)
+COUNTIF($A$1,"2S-Temizlik Personeli")*(5.52*I26)</f>
        <v>0</v>
      </c>
      <c r="BS18" s="25">
        <f ca="1">(BR18*DK7)</f>
        <v>0</v>
      </c>
      <c r="BT18" s="25">
        <f>COUNTIF(J26,"Var")*($AQ$1)</f>
        <v>0</v>
      </c>
      <c r="BU18" s="25">
        <f ca="1">COUNTIF(J26,"Var")*((BT18+(BT18*0.00759*-1)+((BT18-BV18)*0.14*-1)+((BT18-BV18)*0.01*-1)+(BT18+((BT18-BV18)*0.14*-1)+((BT18-BV18)*0.01*-1))*DV26*-1))</f>
        <v>0</v>
      </c>
      <c r="BV18" s="25">
        <f>COUNTIF(J26,"Var")*($AM$1)</f>
        <v>0</v>
      </c>
      <c r="BW18" s="25">
        <f>(0)</f>
        <v>0</v>
      </c>
      <c r="BX18" s="25">
        <f>($AQ$2*K26)</f>
        <v>0</v>
      </c>
      <c r="BY18" s="25">
        <f ca="1">(BX18+(BX18*0.00759*-1)+((BX18-BZ18)*0.14*-1)+((BX18-BZ18)*0.01*-1)+(BX18+((BX18-BZ18)*0.14*-1)+((BX18-BZ18)*0.01*-1))*DV26*-1)</f>
        <v>0</v>
      </c>
      <c r="BZ18" s="25">
        <f>($AM$2*K26)</f>
        <v>0</v>
      </c>
      <c r="CA18" s="25">
        <f>($AM$5*K26)</f>
        <v>0</v>
      </c>
      <c r="CB18" s="25">
        <f>($AQ$3*L26)</f>
        <v>0</v>
      </c>
      <c r="CC18" s="25">
        <f ca="1">(CB18+(CB18*0.00759*-1)+((CB18-CD18)*0.14*-1)+((CB18-CD18)*0.01*-1)+(CB18+((CB18-CD18)*0.14*-1)+((CB18-CD18)*0.01*-1))*DV26*-1)</f>
        <v>0</v>
      </c>
      <c r="CD18" s="25">
        <f>($AM$3*L26)</f>
        <v>0</v>
      </c>
      <c r="CE18" s="25">
        <f>($AM$6*L26)</f>
        <v>0</v>
      </c>
      <c r="CF18" s="25">
        <f>($AQ$4*M26)</f>
        <v>0</v>
      </c>
      <c r="CG18" s="25">
        <f ca="1">(CF18+(CF18*0.00759*-1)+((CF18-CH18)*0.14*-1)+((CF18-CH18)*0.01*-1)+(CF18+((CF18-CH18)*0.14*-1)+((CF18-CH18)*0.01*-1))*DV26*-1)</f>
        <v>0</v>
      </c>
      <c r="CH18" s="25">
        <f>($AM$2*M26)</f>
        <v>0</v>
      </c>
      <c r="CI18" s="25">
        <f>($AM$5*M26)</f>
        <v>0</v>
      </c>
      <c r="CJ18" s="25">
        <f>($AQ$5*N26)</f>
        <v>0</v>
      </c>
      <c r="CK18" s="25">
        <f ca="1">(CJ18+(CJ18*0.00759*-1)+((CJ18-CL18)*0.14*-1)+((CJ18-CL18)*0.01*-1)+(CJ18+((CJ18-CL18)*0.14*-1)+((CJ18-CL18)*0.01*-1))*DV26*-1)</f>
        <v>0</v>
      </c>
      <c r="CL18" s="25">
        <f>($AM$3*N26)</f>
        <v>0</v>
      </c>
      <c r="CM18" s="25">
        <f>($AM$6*N26)</f>
        <v>0</v>
      </c>
      <c r="CN18" s="44">
        <f>(K26+L26+M26+N26)</f>
        <v>0</v>
      </c>
      <c r="CO18" s="25">
        <f t="shared" si="41"/>
        <v>0</v>
      </c>
      <c r="CP18" s="25">
        <f t="shared" ca="1" si="41"/>
        <v>0</v>
      </c>
      <c r="CQ18" s="25">
        <f>IF(BZ18+CD18+CH18+CL18&gt;=$AM$5*2,$AM$5*2,BZ18+CD18+CH18+CL18)</f>
        <v>0</v>
      </c>
      <c r="CR18" s="25">
        <f>(CA18+CE18+CI18+CM18)</f>
        <v>0</v>
      </c>
      <c r="CS18" s="28">
        <f t="shared" si="60"/>
        <v>0.19109829374494347</v>
      </c>
      <c r="CT18" s="25">
        <f t="shared" si="61"/>
        <v>1051.1099999999999</v>
      </c>
      <c r="CU18" s="28">
        <f t="shared" si="62"/>
        <v>0.8099764503167981</v>
      </c>
      <c r="CV18" s="25">
        <f>CH11</f>
        <v>6471</v>
      </c>
      <c r="CW18" s="25">
        <f>CH11+CK11+CN11+CO11</f>
        <v>5500.3499999999995</v>
      </c>
      <c r="CX18" s="25" t="s">
        <v>0</v>
      </c>
      <c r="CY18" s="25">
        <f ca="1">(AW11+AW1+AY1+AY7+BA7+BC7+BA23+BG23+BJ23+BM23+BO23+BQ23+CL23+CE7)</f>
        <v>15428.22</v>
      </c>
      <c r="CZ18" s="25">
        <f ca="1">(AW11+AW1+AY1+AY7+BA7+BC7+BA23+BG23+BJ23+BM23+BO23+BQ23+CL23+CE7)</f>
        <v>15428.22</v>
      </c>
      <c r="DA18" s="25">
        <f t="shared" ca="1" si="63"/>
        <v>-117.1001898</v>
      </c>
      <c r="DB18" s="25">
        <f>(CI11)</f>
        <v>6471</v>
      </c>
      <c r="DC18" s="25">
        <f t="shared" si="64"/>
        <v>-49.114890000000003</v>
      </c>
      <c r="DD18" s="25">
        <f t="shared" ca="1" si="65"/>
        <v>8957.2199999999993</v>
      </c>
      <c r="DE18" s="25">
        <f t="shared" ca="1" si="66"/>
        <v>-67.985299799999993</v>
      </c>
      <c r="DF18" s="25">
        <f t="shared" ca="1" si="67"/>
        <v>-67.985299799999993</v>
      </c>
      <c r="DG18" s="25">
        <f ca="1">(BH7+BD23+BW23+CN23+CF7)</f>
        <v>1017.6099999999999</v>
      </c>
      <c r="DH18" s="25">
        <f t="shared" ca="1" si="68"/>
        <v>14410.609999999999</v>
      </c>
      <c r="DI18" s="25">
        <f ca="1">IF(DH18&gt;=CH11*7.5,CH11*7.5,DH18)</f>
        <v>14410.609999999999</v>
      </c>
      <c r="DM18" s="34" t="s">
        <v>10</v>
      </c>
      <c r="DN18" s="25">
        <v>2416.4</v>
      </c>
      <c r="DO18" s="25">
        <f ca="1">(DG9*0.14*-1)</f>
        <v>-1733.5290000000005</v>
      </c>
      <c r="DP18" s="25">
        <f ca="1">(DG9*0.01*-1)</f>
        <v>-123.82350000000002</v>
      </c>
      <c r="DQ18" s="25">
        <f ca="1">(AX25+BH14+BW14+CR14+BN13+BR13)</f>
        <v>685.15800000000002</v>
      </c>
      <c r="DR18" s="25">
        <f ca="1">(DI4+DO18+DP18-DQ18)</f>
        <v>10592.639500000001</v>
      </c>
      <c r="DS18" s="25">
        <f ca="1">SUM($DR$15:DR18)</f>
        <v>35821.546000000002</v>
      </c>
      <c r="DT18" s="29">
        <f t="shared" ca="1" si="54"/>
        <v>0.2</v>
      </c>
      <c r="DU18" s="33">
        <f t="shared" ca="1" si="69"/>
        <v>1</v>
      </c>
      <c r="DV18" s="28">
        <f t="shared" ca="1" si="55"/>
        <v>0.16803868620281093</v>
      </c>
      <c r="DW18" s="25">
        <f t="shared" ca="1" si="71"/>
        <v>-1779.97</v>
      </c>
      <c r="DX18" s="24">
        <v>16</v>
      </c>
      <c r="DY18" s="35">
        <v>8</v>
      </c>
      <c r="DZ18" s="36">
        <v>0.18</v>
      </c>
      <c r="EA18" s="49"/>
    </row>
    <row r="19" spans="1:131" ht="39.950000000000003" customHeight="1" x14ac:dyDescent="0.25">
      <c r="A19" s="3">
        <f t="shared" ca="1" si="44"/>
        <v>0.2</v>
      </c>
      <c r="B19" s="4" t="s">
        <v>17</v>
      </c>
      <c r="C19" s="51">
        <v>0</v>
      </c>
      <c r="D19" s="52">
        <v>0</v>
      </c>
      <c r="E19" s="52">
        <v>0</v>
      </c>
      <c r="F19" s="52">
        <v>0</v>
      </c>
      <c r="G19" s="51">
        <v>26</v>
      </c>
      <c r="H19" s="51">
        <v>104</v>
      </c>
      <c r="I19" s="51">
        <v>0</v>
      </c>
      <c r="J19" s="53" t="s">
        <v>1</v>
      </c>
      <c r="K19" s="51">
        <v>0</v>
      </c>
      <c r="L19" s="51">
        <v>0</v>
      </c>
      <c r="M19" s="51">
        <v>0</v>
      </c>
      <c r="N19" s="51">
        <v>0</v>
      </c>
      <c r="O19" s="54" t="s">
        <v>1</v>
      </c>
      <c r="P19" s="54" t="s">
        <v>1</v>
      </c>
      <c r="Q19" s="54" t="s">
        <v>1</v>
      </c>
      <c r="R19" s="55">
        <v>0</v>
      </c>
      <c r="S19" s="5">
        <f ca="1">(DI5-BE15+CI4+CK4+DD10+DO19+DP19+DC15-T19)</f>
        <v>5762.9907023000005</v>
      </c>
      <c r="T19" s="5">
        <f ca="1">(AX4+AZ4+BB4+BD4+CE8)</f>
        <v>844.69936979999989</v>
      </c>
      <c r="U19" s="6">
        <f t="shared" ca="1" si="56"/>
        <v>6607.6900721000002</v>
      </c>
      <c r="V19" s="15" t="s">
        <v>7</v>
      </c>
      <c r="W19" s="16">
        <f t="shared" ca="1" si="40"/>
        <v>1362.7950000000003</v>
      </c>
      <c r="X19" s="17">
        <f ca="1">COUNTIF(Y1,"Ocak")*(DP15)*-1
+COUNTIF(Y1,"Şubat")*(DP16)*-1
+COUNTIF(Y1,"Mart")*(DP17)*-1
+COUNTIF(Y1,"Nisan")*(DP18)*-1
+COUNTIF(Y1,"Mayıs")*(DP19)*-1
+COUNTIF(Y1,"Haziran")*(DP20)*-1
+COUNTIF(Y1,"Temmuz")*(DP21)*-1
+COUNTIF(Y1,"Ağustos")*(DP22)*-1
+COUNTIF(Y1,"Eylül")*(DP23)*-1
+COUNTIF(Y1,"Ekim")*(DP24)*-1
+COUNTIF(Y1,"Kasım")*(DP25)*-1
+COUNTIF(Y1,"Aralık")*(DP26)*-1
+COUNTIF(Y1,"Yıllık Toplam")*(DP27)*-1
+COUNTIF(Y1,"Yıllık Ortalama")*(DP28)*-1</f>
        <v>1362.7950000000003</v>
      </c>
      <c r="Y19" s="64"/>
      <c r="Z19" s="68"/>
      <c r="AA19" s="18" t="s">
        <v>0</v>
      </c>
      <c r="AB19" s="20" t="s">
        <v>0</v>
      </c>
      <c r="AC19" s="56"/>
      <c r="AD19" s="58"/>
      <c r="AE19" s="60"/>
      <c r="AF19" s="59"/>
      <c r="AG19" s="34" t="s">
        <v>94</v>
      </c>
      <c r="AH19" s="32">
        <v>251.72</v>
      </c>
      <c r="AI19" s="22">
        <v>297.10000000000002</v>
      </c>
      <c r="AJ19" s="40">
        <f t="shared" si="45"/>
        <v>6634.62</v>
      </c>
      <c r="AK19" s="25">
        <f ca="1">(AJ19*DE15)</f>
        <v>4461.1848341999994</v>
      </c>
      <c r="AL19" s="25">
        <f t="shared" si="46"/>
        <v>0</v>
      </c>
      <c r="AM19" s="25">
        <f ca="1">(AL19*DE15)</f>
        <v>0</v>
      </c>
      <c r="AN19" s="25">
        <f t="shared" si="47"/>
        <v>0</v>
      </c>
      <c r="AO19" s="42">
        <f t="shared" si="70"/>
        <v>44682</v>
      </c>
      <c r="AP19" s="42">
        <f t="shared" si="48"/>
        <v>44712</v>
      </c>
      <c r="AQ19" s="43">
        <f t="shared" si="57"/>
        <v>31</v>
      </c>
      <c r="AR19" s="43">
        <f t="shared" si="58"/>
        <v>26</v>
      </c>
      <c r="AS19" s="43">
        <f t="shared" si="59"/>
        <v>5</v>
      </c>
      <c r="AT19" s="41" t="s">
        <v>0</v>
      </c>
      <c r="AU19" s="32">
        <f t="shared" si="49"/>
        <v>214.02</v>
      </c>
      <c r="AV19" s="32">
        <f ca="1">(AU19*DE15)</f>
        <v>143.90918819999999</v>
      </c>
      <c r="AW19" s="32">
        <f t="shared" si="50"/>
        <v>214.02</v>
      </c>
      <c r="AX19" s="25">
        <f ca="1">(AW19*DE15+DL5/30*-1+DB15/30)</f>
        <v>166.44220019999997</v>
      </c>
      <c r="AY19" s="32">
        <f t="shared" si="51"/>
        <v>214.02</v>
      </c>
      <c r="AZ19" s="25">
        <f ca="1">(AY19*DE15)</f>
        <v>143.90918819999999</v>
      </c>
      <c r="BA19" s="41" t="s">
        <v>0</v>
      </c>
      <c r="BB19" s="25">
        <f t="shared" ref="BB19:BH19" si="72">(AZ1+AZ2+AZ3+BB14+BB15+BB16+AY22+AY23+AY24+AY25+BB17+BB18)</f>
        <v>12876.786000000002</v>
      </c>
      <c r="BC19" s="25">
        <f t="shared" ca="1" si="72"/>
        <v>-2712.3194100873411</v>
      </c>
      <c r="BD19" s="25">
        <f t="shared" ca="1" si="72"/>
        <v>7042.26</v>
      </c>
      <c r="BE19" s="25">
        <f t="shared" si="72"/>
        <v>6988.8</v>
      </c>
      <c r="BF19" s="25">
        <f t="shared" ca="1" si="72"/>
        <v>53.450753400000011</v>
      </c>
      <c r="BG19" s="25">
        <f t="shared" ca="1" si="72"/>
        <v>7042.26</v>
      </c>
      <c r="BH19" s="25">
        <f t="shared" ca="1" si="72"/>
        <v>7042.26</v>
      </c>
      <c r="BI19" s="41" t="s">
        <v>0</v>
      </c>
      <c r="BJ19" s="25">
        <f t="shared" ref="BJ19:CG19" si="73">(BH1+BH2+BH3+BJ14+BJ15+BJ16+BG22+BG23+BG24+BG25+BJ17+BJ18)</f>
        <v>26207.88</v>
      </c>
      <c r="BK19" s="25">
        <f t="shared" ca="1" si="73"/>
        <v>17185.308451470555</v>
      </c>
      <c r="BL19" s="27">
        <f t="shared" si="73"/>
        <v>360</v>
      </c>
      <c r="BM19" s="25">
        <f t="shared" si="73"/>
        <v>9279</v>
      </c>
      <c r="BN19" s="25">
        <f t="shared" ca="1" si="73"/>
        <v>6157.1129101076149</v>
      </c>
      <c r="BO19" s="27">
        <f t="shared" si="73"/>
        <v>360</v>
      </c>
      <c r="BP19" s="25">
        <f t="shared" si="73"/>
        <v>4639.4399999999996</v>
      </c>
      <c r="BQ19" s="25">
        <f t="shared" ca="1" si="73"/>
        <v>3078.5166418439153</v>
      </c>
      <c r="BR19" s="25">
        <f t="shared" si="73"/>
        <v>0</v>
      </c>
      <c r="BS19" s="25">
        <f t="shared" ca="1" si="73"/>
        <v>0</v>
      </c>
      <c r="BT19" s="25">
        <f t="shared" si="73"/>
        <v>0</v>
      </c>
      <c r="BU19" s="25">
        <f t="shared" ca="1" si="73"/>
        <v>0</v>
      </c>
      <c r="BV19" s="25">
        <f t="shared" si="73"/>
        <v>0</v>
      </c>
      <c r="BW19" s="25">
        <f t="shared" si="73"/>
        <v>0</v>
      </c>
      <c r="BX19" s="25">
        <f t="shared" si="73"/>
        <v>0</v>
      </c>
      <c r="BY19" s="25">
        <f t="shared" ca="1" si="73"/>
        <v>0</v>
      </c>
      <c r="BZ19" s="25">
        <f t="shared" si="73"/>
        <v>0</v>
      </c>
      <c r="CA19" s="25">
        <f t="shared" si="73"/>
        <v>0</v>
      </c>
      <c r="CB19" s="25">
        <f t="shared" si="73"/>
        <v>0</v>
      </c>
      <c r="CC19" s="25">
        <f t="shared" ca="1" si="73"/>
        <v>0</v>
      </c>
      <c r="CD19" s="25">
        <f t="shared" si="73"/>
        <v>0</v>
      </c>
      <c r="CE19" s="25">
        <f t="shared" si="73"/>
        <v>0</v>
      </c>
      <c r="CF19" s="25">
        <f t="shared" si="73"/>
        <v>0</v>
      </c>
      <c r="CG19" s="25">
        <f t="shared" ca="1" si="73"/>
        <v>0</v>
      </c>
      <c r="CH19" s="25">
        <f t="shared" ref="CH19:CM19" si="74">(AX26+AX27+AX28+CH14+CH15+CH16+CE22+CE23+CE24+CE25+CH17+CH18)</f>
        <v>0</v>
      </c>
      <c r="CI19" s="25">
        <f t="shared" si="74"/>
        <v>0</v>
      </c>
      <c r="CJ19" s="25">
        <f t="shared" si="74"/>
        <v>0</v>
      </c>
      <c r="CK19" s="25">
        <f t="shared" ca="1" si="74"/>
        <v>0</v>
      </c>
      <c r="CL19" s="25">
        <f t="shared" si="74"/>
        <v>0</v>
      </c>
      <c r="CM19" s="25">
        <f t="shared" si="74"/>
        <v>0</v>
      </c>
      <c r="CN19" s="41" t="s">
        <v>0</v>
      </c>
      <c r="CO19" s="25">
        <f>(BE26+BE27+BE28+CO14+CO15+CO16+CL22+CL23+CL24+CL25+CO17+CO18)</f>
        <v>0</v>
      </c>
      <c r="CP19" s="25">
        <f ca="1">(BF26+BF27+BF28+CP14+CP15+CP16+CM22+CM23+CM24+CM25+CP17+CP18)</f>
        <v>0</v>
      </c>
      <c r="CQ19" s="25">
        <f>(BG26+BG27+BG28+CQ14+CQ15+CQ16+CN22+CN23+CN24+CN25+CQ17+CQ18)</f>
        <v>0</v>
      </c>
      <c r="CR19" s="25">
        <f>(BH26+BH27+BH28+CR14+CR15+CR16+CO22+CO23+CO24+CO25+CR17+CR18)</f>
        <v>0</v>
      </c>
      <c r="CS19" s="28">
        <f t="shared" si="60"/>
        <v>0.2</v>
      </c>
      <c r="CT19" s="25">
        <f t="shared" si="61"/>
        <v>1100.07</v>
      </c>
      <c r="CU19" s="28">
        <f t="shared" si="62"/>
        <v>0.80240999999999996</v>
      </c>
      <c r="CV19" s="25">
        <f>BW4</f>
        <v>6471</v>
      </c>
      <c r="CW19" s="25">
        <f>BW4+BZ4+CC4+CD4</f>
        <v>5500.3499999999995</v>
      </c>
      <c r="CX19" s="25" t="s">
        <v>0</v>
      </c>
      <c r="CY19" s="25">
        <f ca="1">(AW12+AW2+AY2+AY8+BA8+BC8+BA24+BG24+BJ24+BM24+BO24+BQ24+CL24+BM4)</f>
        <v>10628.820000000002</v>
      </c>
      <c r="CZ19" s="25">
        <f ca="1">(AW12+AW2+AY2+AY8+BA8+BC8+BA24+BG24+BJ24+BM24+BO24+BQ24+CL24+BM4)</f>
        <v>10628.820000000002</v>
      </c>
      <c r="DA19" s="25">
        <f t="shared" ca="1" si="63"/>
        <v>-80.672743800000021</v>
      </c>
      <c r="DB19" s="25">
        <f>(BX4)</f>
        <v>6471</v>
      </c>
      <c r="DC19" s="25">
        <f t="shared" si="64"/>
        <v>-49.114890000000003</v>
      </c>
      <c r="DD19" s="25">
        <f t="shared" ca="1" si="65"/>
        <v>4157.8200000000015</v>
      </c>
      <c r="DE19" s="25">
        <f t="shared" ca="1" si="66"/>
        <v>-31.557853800000014</v>
      </c>
      <c r="DF19" s="25">
        <f t="shared" ca="1" si="67"/>
        <v>-31.557853800000014</v>
      </c>
      <c r="DG19" s="25">
        <f ca="1">(BH8+BD24+BW24+CN24+BN4)</f>
        <v>1017.6099999999999</v>
      </c>
      <c r="DH19" s="25">
        <f t="shared" ca="1" si="68"/>
        <v>9611.2100000000009</v>
      </c>
      <c r="DI19" s="25">
        <f ca="1">IF(DH19&gt;=BW4*7.5,BW4*7.5,DH19)</f>
        <v>9611.2100000000009</v>
      </c>
      <c r="DM19" s="34" t="s">
        <v>38</v>
      </c>
      <c r="DN19" s="25">
        <v>3452</v>
      </c>
      <c r="DO19" s="25">
        <f ca="1">(DG10*0.14*-1)</f>
        <v>-1224.1614000000004</v>
      </c>
      <c r="DP19" s="25">
        <f ca="1">(DG10*0.01*-1)</f>
        <v>-87.440100000000015</v>
      </c>
      <c r="DQ19" s="25">
        <f ca="1">(BL4+BH15+BW15+CR15+CF4+CJ4)</f>
        <v>685.15800000000002</v>
      </c>
      <c r="DR19" s="25">
        <f ca="1">(DI5+DO19+DP19-DQ19)</f>
        <v>7500.0505000000003</v>
      </c>
      <c r="DS19" s="25">
        <f ca="1">SUM($DR$15:DR19)</f>
        <v>43321.5965</v>
      </c>
      <c r="DT19" s="29">
        <f t="shared" ca="1" si="54"/>
        <v>0.2</v>
      </c>
      <c r="DU19" s="33">
        <f t="shared" ca="1" si="69"/>
        <v>0</v>
      </c>
      <c r="DV19" s="28">
        <f t="shared" ca="1" si="55"/>
        <v>0.2</v>
      </c>
      <c r="DW19" s="25">
        <f t="shared" ca="1" si="71"/>
        <v>-1500.01</v>
      </c>
      <c r="DX19" s="24">
        <v>17</v>
      </c>
      <c r="DY19" s="35">
        <v>8.5</v>
      </c>
      <c r="DZ19" s="36">
        <v>0.19</v>
      </c>
      <c r="EA19" s="49"/>
    </row>
    <row r="20" spans="1:131" ht="39.950000000000003" customHeight="1" x14ac:dyDescent="0.25">
      <c r="A20" s="3">
        <f t="shared" ca="1" si="44"/>
        <v>0.2</v>
      </c>
      <c r="B20" s="4" t="s">
        <v>18</v>
      </c>
      <c r="C20" s="51">
        <v>0</v>
      </c>
      <c r="D20" s="52">
        <v>0</v>
      </c>
      <c r="E20" s="52">
        <v>0</v>
      </c>
      <c r="F20" s="52">
        <v>0</v>
      </c>
      <c r="G20" s="51">
        <v>26</v>
      </c>
      <c r="H20" s="51">
        <v>104</v>
      </c>
      <c r="I20" s="51">
        <v>0</v>
      </c>
      <c r="J20" s="53" t="s">
        <v>1</v>
      </c>
      <c r="K20" s="51">
        <v>0</v>
      </c>
      <c r="L20" s="51">
        <v>0</v>
      </c>
      <c r="M20" s="51">
        <v>0</v>
      </c>
      <c r="N20" s="51">
        <v>0</v>
      </c>
      <c r="O20" s="54" t="s">
        <v>1</v>
      </c>
      <c r="P20" s="54" t="s">
        <v>1</v>
      </c>
      <c r="Q20" s="54" t="s">
        <v>1</v>
      </c>
      <c r="R20" s="55">
        <v>0</v>
      </c>
      <c r="S20" s="5">
        <f ca="1">(CZ16-BE16+CI5+CK5+DF16+DO20+DP20+CG1-T20)</f>
        <v>8209.4447017000002</v>
      </c>
      <c r="T20" s="5">
        <f ca="1">(AX5+AZ5+BB5+BD5+CE9)</f>
        <v>844.69936979999989</v>
      </c>
      <c r="U20" s="6">
        <f t="shared" ca="1" si="56"/>
        <v>9054.1440715000008</v>
      </c>
      <c r="V20" s="15" t="s">
        <v>36</v>
      </c>
      <c r="W20" s="16">
        <f t="shared" ca="1" si="40"/>
        <v>14957.97</v>
      </c>
      <c r="X20" s="17">
        <f ca="1">COUNTIF(Y1,"Ocak")*(DC11)*-1
+COUNTIF(Y1,"Şubat")*(DC12)*-1
+COUNTIF(Y1,"Mart")*(DC13)*-1
+COUNTIF(Y1,"Nisan")*(DC14)*-1
+COUNTIF(Y1,"Mayıs")*(DC15)*-1
+COUNTIF(Y1,"Haziran")*(CG1)*-1
+COUNTIF(Y1,"Temmuz")*(CG2)*-1
+COUNTIF(Y1,"Ağustos")*(CG3)*-1
+COUNTIF(Y1,"Eylül")*(CF12)*-1
+COUNTIF(Y1,"Ekim")*(CF13)*-1
+COUNTIF(Y1,"Kasım")*(DI6)*-1
+COUNTIF(Y1,"Aralık")*(DI7)*-1
+COUNTIF(Y1,"Yıllık Toplam")*(DI8)*-1
+COUNTIF(Y1,"Yıllık Ortalama")*(DI9)*-1</f>
        <v>14957.97</v>
      </c>
      <c r="Y20" s="64"/>
      <c r="Z20" s="68"/>
      <c r="AA20" s="18" t="s">
        <v>0</v>
      </c>
      <c r="AB20" s="20" t="s">
        <v>0</v>
      </c>
      <c r="AC20" s="56"/>
      <c r="AD20" s="58"/>
      <c r="AE20" s="60"/>
      <c r="AF20" s="59"/>
      <c r="AG20" s="34" t="s">
        <v>95</v>
      </c>
      <c r="AH20" s="32">
        <v>223.69</v>
      </c>
      <c r="AI20" s="22">
        <v>263.3</v>
      </c>
      <c r="AJ20" s="40">
        <f t="shared" si="45"/>
        <v>6420.6</v>
      </c>
      <c r="AK20" s="25">
        <f ca="1">(AJ20*CI1)</f>
        <v>4317.2756460000001</v>
      </c>
      <c r="AL20" s="25">
        <f t="shared" si="46"/>
        <v>0</v>
      </c>
      <c r="AM20" s="25">
        <f ca="1">(AL20*CI1)</f>
        <v>0</v>
      </c>
      <c r="AN20" s="25">
        <f t="shared" si="47"/>
        <v>0</v>
      </c>
      <c r="AO20" s="42">
        <f t="shared" si="70"/>
        <v>44713</v>
      </c>
      <c r="AP20" s="42">
        <f t="shared" si="48"/>
        <v>44742</v>
      </c>
      <c r="AQ20" s="43">
        <f t="shared" si="57"/>
        <v>30</v>
      </c>
      <c r="AR20" s="43">
        <f t="shared" si="58"/>
        <v>26</v>
      </c>
      <c r="AS20" s="43">
        <f t="shared" si="59"/>
        <v>4</v>
      </c>
      <c r="AT20" s="41" t="s">
        <v>0</v>
      </c>
      <c r="AU20" s="32">
        <f t="shared" si="49"/>
        <v>214.02</v>
      </c>
      <c r="AV20" s="32">
        <f ca="1">(AU20*CI1)</f>
        <v>143.90918819999999</v>
      </c>
      <c r="AW20" s="32">
        <f t="shared" si="50"/>
        <v>214.02</v>
      </c>
      <c r="AX20" s="25">
        <f ca="1">(AW20*CI1+DC16/30*-1+CF1/30)</f>
        <v>166.44220019999997</v>
      </c>
      <c r="AY20" s="32">
        <f t="shared" si="51"/>
        <v>214.02</v>
      </c>
      <c r="AZ20" s="25">
        <f ca="1">(AY20*CI1)</f>
        <v>143.90918819999999</v>
      </c>
      <c r="BA20" s="41" t="s">
        <v>0</v>
      </c>
      <c r="BB20" s="25">
        <f>(BB19/12)</f>
        <v>1073.0655000000002</v>
      </c>
      <c r="BC20" s="25">
        <f ca="1">(BC19/12)</f>
        <v>-226.02661750727842</v>
      </c>
      <c r="BD20" s="25">
        <f t="shared" ref="BD20:BH20" ca="1" si="75">(BD19/12)</f>
        <v>586.85500000000002</v>
      </c>
      <c r="BE20" s="25">
        <f t="shared" si="75"/>
        <v>582.4</v>
      </c>
      <c r="BF20" s="25">
        <f t="shared" ca="1" si="75"/>
        <v>4.4542294500000006</v>
      </c>
      <c r="BG20" s="25">
        <f t="shared" ca="1" si="75"/>
        <v>586.85500000000002</v>
      </c>
      <c r="BH20" s="25">
        <f t="shared" ca="1" si="75"/>
        <v>586.85500000000002</v>
      </c>
      <c r="BI20" s="41" t="s">
        <v>0</v>
      </c>
      <c r="BJ20" s="25">
        <f t="shared" ref="BJ20:BK20" si="76">(BJ19/12)</f>
        <v>2183.9900000000002</v>
      </c>
      <c r="BK20" s="25">
        <f t="shared" ca="1" si="76"/>
        <v>1432.1090376225463</v>
      </c>
      <c r="BL20" s="41" t="s">
        <v>0</v>
      </c>
      <c r="BM20" s="25">
        <f t="shared" ref="BM20:BN20" si="77">(BM19/12)</f>
        <v>773.25</v>
      </c>
      <c r="BN20" s="25">
        <f t="shared" ca="1" si="77"/>
        <v>513.09274250896794</v>
      </c>
      <c r="BO20" s="41" t="s">
        <v>0</v>
      </c>
      <c r="BP20" s="25">
        <f t="shared" ref="BP20:BQ20" si="78">(BP19/12)</f>
        <v>386.61999999999995</v>
      </c>
      <c r="BQ20" s="25">
        <f t="shared" ca="1" si="78"/>
        <v>256.54305348699296</v>
      </c>
      <c r="BR20" s="25">
        <f t="shared" ref="BR20:BS20" si="79">(BR19/12)</f>
        <v>0</v>
      </c>
      <c r="BS20" s="25">
        <f t="shared" ca="1" si="79"/>
        <v>0</v>
      </c>
      <c r="BT20" s="25">
        <f t="shared" ref="BT20:BW20" si="80">(BT19/12)</f>
        <v>0</v>
      </c>
      <c r="BU20" s="25">
        <f t="shared" ca="1" si="80"/>
        <v>0</v>
      </c>
      <c r="BV20" s="25">
        <f t="shared" si="80"/>
        <v>0</v>
      </c>
      <c r="BW20" s="25">
        <f t="shared" si="80"/>
        <v>0</v>
      </c>
      <c r="BX20" s="25">
        <f t="shared" ref="BX20:CA20" si="81">(BX19/12)</f>
        <v>0</v>
      </c>
      <c r="BY20" s="25">
        <f t="shared" ca="1" si="81"/>
        <v>0</v>
      </c>
      <c r="BZ20" s="25">
        <f t="shared" si="81"/>
        <v>0</v>
      </c>
      <c r="CA20" s="25">
        <f t="shared" si="81"/>
        <v>0</v>
      </c>
      <c r="CB20" s="25">
        <f t="shared" ref="CB20:CE20" si="82">(CB19/12)</f>
        <v>0</v>
      </c>
      <c r="CC20" s="25">
        <f t="shared" ca="1" si="82"/>
        <v>0</v>
      </c>
      <c r="CD20" s="25">
        <f t="shared" si="82"/>
        <v>0</v>
      </c>
      <c r="CE20" s="25">
        <f t="shared" si="82"/>
        <v>0</v>
      </c>
      <c r="CF20" s="25">
        <f t="shared" ref="CF20:CI20" si="83">(CF19/12)</f>
        <v>0</v>
      </c>
      <c r="CG20" s="25">
        <f t="shared" ca="1" si="83"/>
        <v>0</v>
      </c>
      <c r="CH20" s="25">
        <f t="shared" si="83"/>
        <v>0</v>
      </c>
      <c r="CI20" s="25">
        <f t="shared" si="83"/>
        <v>0</v>
      </c>
      <c r="CJ20" s="25">
        <f t="shared" ref="CJ20:CM20" si="84">(CJ19/12)</f>
        <v>0</v>
      </c>
      <c r="CK20" s="25">
        <f t="shared" ca="1" si="84"/>
        <v>0</v>
      </c>
      <c r="CL20" s="25">
        <f t="shared" si="84"/>
        <v>0</v>
      </c>
      <c r="CM20" s="25">
        <f t="shared" si="84"/>
        <v>0</v>
      </c>
      <c r="CN20" s="41" t="s">
        <v>0</v>
      </c>
      <c r="CO20" s="25">
        <f t="shared" ref="CO20:CR20" si="85">(CO19/12)</f>
        <v>0</v>
      </c>
      <c r="CP20" s="25">
        <f t="shared" ca="1" si="85"/>
        <v>0</v>
      </c>
      <c r="CQ20" s="25">
        <f t="shared" si="85"/>
        <v>0</v>
      </c>
      <c r="CR20" s="25">
        <f t="shared" si="85"/>
        <v>0</v>
      </c>
      <c r="CS20" s="28">
        <f t="shared" si="60"/>
        <v>0.2</v>
      </c>
      <c r="CT20" s="25">
        <f t="shared" si="61"/>
        <v>1100.07</v>
      </c>
      <c r="CU20" s="28">
        <f t="shared" si="62"/>
        <v>0.80240999999999996</v>
      </c>
      <c r="CV20" s="25">
        <f>BW5</f>
        <v>6471</v>
      </c>
      <c r="CW20" s="25">
        <f>BW5+BZ5+CC5+CD5</f>
        <v>5500.3499999999995</v>
      </c>
      <c r="CX20" s="25" t="s">
        <v>0</v>
      </c>
      <c r="CY20" s="25">
        <f ca="1">(AW13+AW3+AY3+AY9+BA9+BC9+BA25+BG25+BJ25+BM25+BO25+BQ25+CL25+BM5)</f>
        <v>15428.22</v>
      </c>
      <c r="CZ20" s="25">
        <f ca="1">(AW13+AW3+AY3+AY9+BA9+BC9+BA25+BG25+BJ25+BM25+BO25+BQ25+CL25+BM5)</f>
        <v>15428.22</v>
      </c>
      <c r="DA20" s="25">
        <f t="shared" ca="1" si="63"/>
        <v>-117.1001898</v>
      </c>
      <c r="DB20" s="25">
        <f>(BX5)</f>
        <v>6471</v>
      </c>
      <c r="DC20" s="25">
        <f t="shared" si="64"/>
        <v>-49.114890000000003</v>
      </c>
      <c r="DD20" s="25">
        <f t="shared" ca="1" si="65"/>
        <v>8957.2199999999993</v>
      </c>
      <c r="DE20" s="25">
        <f t="shared" ca="1" si="66"/>
        <v>-67.985299799999993</v>
      </c>
      <c r="DF20" s="25">
        <f t="shared" ca="1" si="67"/>
        <v>-67.985299799999993</v>
      </c>
      <c r="DG20" s="25">
        <f ca="1">(BH9+BD25+BW25+CN25+BN5)</f>
        <v>1017.6099999999999</v>
      </c>
      <c r="DH20" s="25">
        <f t="shared" ca="1" si="68"/>
        <v>14410.609999999999</v>
      </c>
      <c r="DI20" s="25">
        <f ca="1">IF(DH20&gt;=BW5*7.5,BW5*7.5,DH20)</f>
        <v>14410.609999999999</v>
      </c>
      <c r="DM20" s="34" t="s">
        <v>117</v>
      </c>
      <c r="DN20" s="25">
        <v>690.4</v>
      </c>
      <c r="DO20" s="25">
        <f t="shared" ref="DO20:DO26" ca="1" si="86">(DI16*0.14*-1)</f>
        <v>-1733.5290000000005</v>
      </c>
      <c r="DP20" s="25">
        <f t="shared" ref="DP20:DP26" ca="1" si="87">(DI16*0.01*-1)</f>
        <v>-123.82350000000002</v>
      </c>
      <c r="DQ20" s="25">
        <f ca="1">(BL5+BH16+BW16+CR16+CF5+CJ5)</f>
        <v>685.15800000000002</v>
      </c>
      <c r="DR20" s="25">
        <f t="shared" ref="DR20:DR26" ca="1" si="88">(CZ16+DO20+DP20-DQ20)</f>
        <v>10592.639500000001</v>
      </c>
      <c r="DS20" s="25">
        <f ca="1">SUM($DR$15:DR20)</f>
        <v>53914.236000000004</v>
      </c>
      <c r="DT20" s="29">
        <f t="shared" ca="1" si="54"/>
        <v>0.2</v>
      </c>
      <c r="DU20" s="33">
        <f t="shared" ca="1" si="69"/>
        <v>0</v>
      </c>
      <c r="DV20" s="28">
        <f t="shared" ca="1" si="55"/>
        <v>0.2</v>
      </c>
      <c r="DW20" s="25">
        <f t="shared" ca="1" si="71"/>
        <v>-2118.5300000000002</v>
      </c>
      <c r="DX20" s="24">
        <v>18</v>
      </c>
      <c r="DY20" s="35">
        <v>9</v>
      </c>
      <c r="DZ20" s="36">
        <v>0.2</v>
      </c>
      <c r="EA20" s="49"/>
    </row>
    <row r="21" spans="1:131" ht="39.950000000000003" customHeight="1" x14ac:dyDescent="0.25">
      <c r="A21" s="3">
        <f t="shared" ca="1" si="44"/>
        <v>0.2</v>
      </c>
      <c r="B21" s="4" t="s">
        <v>19</v>
      </c>
      <c r="C21" s="51">
        <v>0</v>
      </c>
      <c r="D21" s="52">
        <v>0</v>
      </c>
      <c r="E21" s="52">
        <v>0</v>
      </c>
      <c r="F21" s="52">
        <v>0</v>
      </c>
      <c r="G21" s="51">
        <v>26</v>
      </c>
      <c r="H21" s="51">
        <v>104</v>
      </c>
      <c r="I21" s="51">
        <v>0</v>
      </c>
      <c r="J21" s="53" t="s">
        <v>1</v>
      </c>
      <c r="K21" s="51">
        <v>0</v>
      </c>
      <c r="L21" s="51">
        <v>0</v>
      </c>
      <c r="M21" s="51">
        <v>0</v>
      </c>
      <c r="N21" s="51">
        <v>0</v>
      </c>
      <c r="O21" s="54" t="s">
        <v>1</v>
      </c>
      <c r="P21" s="54" t="s">
        <v>1</v>
      </c>
      <c r="Q21" s="54" t="s">
        <v>1</v>
      </c>
      <c r="R21" s="55">
        <v>0</v>
      </c>
      <c r="S21" s="5">
        <f ca="1">(CZ17-BB22+CI6+CK6+DF17+DO21+DP21+CG2-T21)</f>
        <v>6737.5724424000009</v>
      </c>
      <c r="T21" s="5">
        <f ca="1">(AX6+AZ6+BB6+BD6+CE10)</f>
        <v>853.84096979999993</v>
      </c>
      <c r="U21" s="6">
        <f t="shared" ca="1" si="56"/>
        <v>7591.4134122000005</v>
      </c>
      <c r="V21" s="15" t="s">
        <v>72</v>
      </c>
      <c r="W21" s="16">
        <f t="shared" ca="1" si="40"/>
        <v>171140.78340000001</v>
      </c>
      <c r="X21" s="17">
        <f ca="1">COUNTIF(Y1,"Ocak")*(CR6)
+COUNTIF(Y1,"Şubat")*(CR7)
+COUNTIF(Y1,"Mart")*(CR8)
+COUNTIF(Y1,"Nisan")*(CR9)
+COUNTIF(Y1,"Mayıs")*(CR10)
+COUNTIF(Y1,"Haziran")*(CR11)
+COUNTIF(Y1,"Temmuz")*(CR12)
+COUNTIF(Y1,"Ağustos")*(CR13)
+COUNTIF(Y1,"Eylül")*(CN12)
+COUNTIF(Y1,"Ekim")*(CN13)
+COUNTIF(Y1,"Kasım")*(CP4)
+COUNTIF(Y1,"Aralık")*(CP5)
+COUNTIF(Y1,"Yıllık Toplam")*(CP6)
+COUNTIF(Y1,"Yıllık Ortalama")*(CP7)</f>
        <v>171140.78340000001</v>
      </c>
      <c r="Y21" s="64"/>
      <c r="Z21" s="68"/>
      <c r="AA21" s="18" t="s">
        <v>0</v>
      </c>
      <c r="AB21" s="20" t="s">
        <v>0</v>
      </c>
      <c r="AC21" s="56"/>
      <c r="AD21" s="58"/>
      <c r="AE21" s="60"/>
      <c r="AF21" s="59"/>
      <c r="AG21" s="34" t="s">
        <v>96</v>
      </c>
      <c r="AH21" s="32">
        <v>223.69</v>
      </c>
      <c r="AI21" s="22">
        <v>263.3</v>
      </c>
      <c r="AJ21" s="40">
        <f t="shared" si="45"/>
        <v>7830.5999999999995</v>
      </c>
      <c r="AK21" s="25">
        <f ca="1">(AJ21*CI2)</f>
        <v>5265.3737459999993</v>
      </c>
      <c r="AL21" s="25">
        <f t="shared" si="46"/>
        <v>0</v>
      </c>
      <c r="AM21" s="25">
        <f ca="1">(AL21*CI2)</f>
        <v>0</v>
      </c>
      <c r="AN21" s="25">
        <f t="shared" si="47"/>
        <v>0</v>
      </c>
      <c r="AO21" s="42">
        <f t="shared" si="70"/>
        <v>44743</v>
      </c>
      <c r="AP21" s="42">
        <f t="shared" si="48"/>
        <v>44773</v>
      </c>
      <c r="AQ21" s="43">
        <f t="shared" si="57"/>
        <v>31</v>
      </c>
      <c r="AR21" s="43">
        <f t="shared" si="58"/>
        <v>26</v>
      </c>
      <c r="AS21" s="43">
        <f t="shared" si="59"/>
        <v>5</v>
      </c>
      <c r="AT21" s="41" t="s">
        <v>0</v>
      </c>
      <c r="AU21"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V21" s="32">
        <f ca="1">(AU21*CI2)</f>
        <v>169.85076599999999</v>
      </c>
      <c r="AW21"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X21" s="25">
        <f ca="1">(AW21*CI2+DC17/30*-1+CF2/30)</f>
        <v>198.98959566666665</v>
      </c>
      <c r="AY21" s="32">
        <f>COUNTIF($A$1,"Mekanik / Teknik Sorumlusu")*($AI$1+AL21)
+COUNTIF($A$1,"Elektrik Sorumlusu")*($AI$2+AL21)
+COUNTIF($A$1,"Otomasyon Sistem Sorumlusu")*($AI$3+AL21)
+COUNTIF($A$1,"Bilgi İşlem Sorumlusu")*($AI$4+AL21)
+COUNTIF($A$1,"Bakım Onarım Sorumlusu")*($AI$5+AL21)
+COUNTIF($A$1,"İskeleler Sorumlusu")*($AI$6+AL21)
+COUNTIF($A$1,"Ambar ve Stok Kontrol Sorumlusu")*($AI$7+AL21)
+COUNTIF($A$1,"Akaryakıt Sorumlusu")*($AI$8+AL21)
+COUNTIF($A$1,"İnsan Kaynakları ve Eğitim Sorumlusu")*($AI$9+AL21)
+COUNTIF($A$1,"Muhasebe ve Finansman Sorumlusu")*($AI$10+AL21)
+COUNTIF($A$1,"İhale ve Satınalma Sorumlusu")*($AI$11+AL21)
+COUNTIF($A$1,"Halkla İlişkiler Sorumlusu")*($AI$12+AL21)
+COUNTIF($A$1,"Yazı İşleri Sorumlusu")*($AI$13+AL21)
+COUNTIF($A$1,"Gişeler Sorumlusu")*($AI$14+AL21)
+COUNTIF($A$1,"Temizlik / Güvenlik Sorumlusu")*($AI$15+AL21)
+COUNTIF($A$1,"İskele Sorumlusu")*($AI$16+AL21)
+COUNTIF($A$1,"1S-Atölye Personeli")*($AI$17+AL21)
+COUNTIF($A$1,"1S-Bilgi İşlem Büro Personeli")*($AI$18+AL21)
+COUNTIF($A$1,"1S-Şoför")*($AI$19+AL21)
+COUNTIF($A$1,"1S-Büro Personeli")*($AI$20+AL21)
+COUNTIF($A$1,"1S-Yönetim / Genel Müdür Sekreteri")*($AI$21+AL21)
+COUNTIF($A$1,"1S-İskele Personeli")*($AI$22+AL21)
+COUNTIF($A$1,"1S-Gişe Personeli")*($AI$23+AL21)
+COUNTIF($A$1,"1S-Çımacı / Palamarcı")*($AI$24+AL21)
+COUNTIF($A$1,"1S-Temizlik Personeli")*($AI$25+AL21)
+COUNTIF($A$1,"2S-Atölye Personeli")*($AI$26+AL21)
+COUNTIF($A$1,"2S-Bilgi İşlem Büro Personeli")*($AI$27+AL21)
+COUNTIF($A$1,"2S-Şoför")*($AI$28+AL21)
+COUNTIF($A$1,"2S-Büro Personeli")*($AI$29+AL21)
+COUNTIF($A$1,"2S-Yönetim / Genel Müdür Sekreteri")*($AI$30+AL21)
+COUNTIF($A$1,"2S-İskele Personeli")*($AI$31+AL21)
+COUNTIF($A$1,"2S-Gişe Personeli")*($AI$32+AL21)
+COUNTIF($A$1,"2S-Çımacı / Palamarcı")*($AI$33+AL21)
+COUNTIF($A$1,"2S-Temizlik Personeli")*($AI$34+AL21)</f>
        <v>252.6</v>
      </c>
      <c r="AZ21" s="25">
        <f ca="1">(AY21*CI2)</f>
        <v>169.85076599999999</v>
      </c>
      <c r="BA21" s="41" t="s">
        <v>0</v>
      </c>
      <c r="CS21" s="28">
        <f t="shared" si="60"/>
        <v>0.2</v>
      </c>
      <c r="CT21" s="25">
        <f t="shared" si="61"/>
        <v>1100.07</v>
      </c>
      <c r="CU21" s="28">
        <f t="shared" si="62"/>
        <v>0.80240999999999996</v>
      </c>
      <c r="CV21" s="25">
        <f>BW6</f>
        <v>6471</v>
      </c>
      <c r="CW21" s="25">
        <f>BW6+BZ6+CC6+CD6</f>
        <v>5500.3499999999995</v>
      </c>
      <c r="CX21" s="25" t="s">
        <v>0</v>
      </c>
      <c r="CY21" s="25">
        <f ca="1">(AW14+AS7+AU7+AY10+BA10+BC10+BD17+BJ17+BM17+BP17+BR17+BT17+CO17+BM6)</f>
        <v>10628.820000000002</v>
      </c>
      <c r="CZ21" s="25">
        <f ca="1">(AW14+AS7+AU7+AY10+BA10+BC10+BD17+BJ17+BM17+BP17+BR17+BT17+CO17+BM6)</f>
        <v>10628.820000000002</v>
      </c>
      <c r="DA21" s="25">
        <f t="shared" ca="1" si="63"/>
        <v>-80.672743800000021</v>
      </c>
      <c r="DB21" s="25">
        <f>(BX6)</f>
        <v>6471</v>
      </c>
      <c r="DC21" s="25">
        <f t="shared" si="64"/>
        <v>-49.114890000000003</v>
      </c>
      <c r="DD21" s="25">
        <f t="shared" ca="1" si="65"/>
        <v>4157.8200000000015</v>
      </c>
      <c r="DE21" s="25">
        <f t="shared" ca="1" si="66"/>
        <v>-31.557853800000014</v>
      </c>
      <c r="DF21" s="25">
        <f t="shared" ca="1" si="67"/>
        <v>-31.557853800000014</v>
      </c>
      <c r="DG21" s="25">
        <f ca="1">(BH10+BG17+BZ17+CQ17+BN6)</f>
        <v>1017.6099999999999</v>
      </c>
      <c r="DH21" s="25">
        <f t="shared" ca="1" si="68"/>
        <v>9611.2100000000009</v>
      </c>
      <c r="DI21" s="25">
        <f ca="1">IF(DH21&gt;=BW6*7.5,BW6*7.5,DH21)</f>
        <v>9611.2100000000009</v>
      </c>
      <c r="DM21" s="34" t="s">
        <v>2</v>
      </c>
      <c r="DN21" s="25">
        <v>276.16000000000003</v>
      </c>
      <c r="DO21" s="25">
        <f t="shared" ca="1" si="86"/>
        <v>-1380.9334000000001</v>
      </c>
      <c r="DP21" s="25">
        <f t="shared" ca="1" si="87"/>
        <v>-98.638099999999994</v>
      </c>
      <c r="DQ21" s="25">
        <f ca="1">(BL6+BE22+BT22+CO22+CF6+CJ6)</f>
        <v>908.51</v>
      </c>
      <c r="DR21" s="25">
        <f t="shared" ca="1" si="88"/>
        <v>8493.3384999999998</v>
      </c>
      <c r="DS21" s="25">
        <f ca="1">SUM($DR$15:DR21)</f>
        <v>62407.574500000002</v>
      </c>
      <c r="DT21" s="29">
        <f t="shared" ca="1" si="54"/>
        <v>0.2</v>
      </c>
      <c r="DU21" s="33">
        <f t="shared" ca="1" si="69"/>
        <v>0</v>
      </c>
      <c r="DV21" s="28">
        <f t="shared" ca="1" si="55"/>
        <v>0.2</v>
      </c>
      <c r="DW21" s="25">
        <f t="shared" ca="1" si="71"/>
        <v>-1698.67</v>
      </c>
      <c r="DX21" s="24">
        <v>19</v>
      </c>
      <c r="DY21" s="35">
        <v>9.5</v>
      </c>
      <c r="DZ21" s="36">
        <v>0.21</v>
      </c>
      <c r="EA21" s="49"/>
    </row>
    <row r="22" spans="1:131" ht="39.950000000000003" customHeight="1" x14ac:dyDescent="0.25">
      <c r="A22" s="3">
        <f t="shared" ca="1" si="44"/>
        <v>0.22699427991405002</v>
      </c>
      <c r="B22" s="4" t="s">
        <v>20</v>
      </c>
      <c r="C22" s="51">
        <v>0</v>
      </c>
      <c r="D22" s="52">
        <v>0</v>
      </c>
      <c r="E22" s="52">
        <v>0</v>
      </c>
      <c r="F22" s="52">
        <v>0</v>
      </c>
      <c r="G22" s="51">
        <v>26</v>
      </c>
      <c r="H22" s="51">
        <v>104</v>
      </c>
      <c r="I22" s="51">
        <v>0</v>
      </c>
      <c r="J22" s="53" t="s">
        <v>1</v>
      </c>
      <c r="K22" s="51">
        <v>0</v>
      </c>
      <c r="L22" s="51">
        <v>0</v>
      </c>
      <c r="M22" s="51">
        <v>0</v>
      </c>
      <c r="N22" s="51">
        <v>0</v>
      </c>
      <c r="O22" s="54" t="s">
        <v>1</v>
      </c>
      <c r="P22" s="54" t="s">
        <v>1</v>
      </c>
      <c r="Q22" s="54" t="s">
        <v>1</v>
      </c>
      <c r="R22" s="55">
        <v>0</v>
      </c>
      <c r="S22" s="5">
        <f ca="1">(CZ18-BB23+CI7+CK7+DF18+DO22+DP22+CG3-T22)</f>
        <v>9716.4730926913962</v>
      </c>
      <c r="T22" s="5">
        <f ca="1">(AX7+AZ7+BB7+BD7+CE11)</f>
        <v>824.72010750860102</v>
      </c>
      <c r="U22" s="6">
        <f t="shared" ca="1" si="56"/>
        <v>10541.193200199998</v>
      </c>
      <c r="V22" s="18" t="s">
        <v>44</v>
      </c>
      <c r="W22" s="16">
        <f t="shared" ca="1" si="40"/>
        <v>101401.1026236</v>
      </c>
      <c r="X22" s="16">
        <f ca="1">COUNTIF(Y1,"Ocak")*U15
+COUNTIF(Y1,"Şubat")*U16
+COUNTIF(Y1,"Mart")*U17
+COUNTIF(Y1,"Nisan")*U18
+COUNTIF(Y1,"Mayıs")*U19
+COUNTIF(Y1,"Haziran")*U20
+COUNTIF(Y1,"Temmuz")*U21
+COUNTIF(Y1,"Ağustos")*U22
+COUNTIF(Y1,"Eylül")*U23
+COUNTIF(Y1,"Ekim")*U24
+COUNTIF(Y1,"Kasım")*U25
+COUNTIF(Y1,"Aralık")*U26
+COUNTIF(Y1,"Yıllık Toplam")*(U27)*-1
+COUNTIF(Y1,"Yıllık Ortalama")*(U28)*-1</f>
        <v>-101401.1026236</v>
      </c>
      <c r="Y22" s="64"/>
      <c r="Z22" s="68"/>
      <c r="AA22" s="18" t="s">
        <v>0</v>
      </c>
      <c r="AB22" s="20" t="s">
        <v>0</v>
      </c>
      <c r="AC22" s="56"/>
      <c r="AD22" s="58"/>
      <c r="AE22" s="60"/>
      <c r="AF22" s="59"/>
      <c r="AG22" s="34" t="s">
        <v>97</v>
      </c>
      <c r="AH22" s="32">
        <v>215.4</v>
      </c>
      <c r="AI22" s="22">
        <v>254.1</v>
      </c>
      <c r="AJ22" s="25">
        <f ca="1">(AN15*DE11)</f>
        <v>0</v>
      </c>
      <c r="AK22" s="25">
        <f>(AW15*E15)</f>
        <v>0</v>
      </c>
      <c r="AL22" s="25">
        <f ca="1">(AK22*DE11)</f>
        <v>0</v>
      </c>
      <c r="AM22" s="25">
        <f>(AY15/7.5*0.3*F15)</f>
        <v>0</v>
      </c>
      <c r="AN22" s="25">
        <f ca="1">(AM22*DE11)</f>
        <v>0</v>
      </c>
      <c r="AO22" s="25">
        <f>(46.53*G15)</f>
        <v>1209.78</v>
      </c>
      <c r="AP22" s="25">
        <f ca="1">(AR22+AS22+AV22+AW22+BA1)</f>
        <v>898.06696979999981</v>
      </c>
      <c r="AQ22" s="25">
        <f>(AO22)</f>
        <v>1209.78</v>
      </c>
      <c r="AR22" s="25">
        <f>(AO22)</f>
        <v>1209.78</v>
      </c>
      <c r="AS22" s="25">
        <f>(AR22*0.00759*-1)</f>
        <v>-9.1822302000000011</v>
      </c>
      <c r="AT22" s="25">
        <f>($AL$9*G15)</f>
        <v>260.26</v>
      </c>
      <c r="AU22" s="25">
        <f>(AR22-AT22)</f>
        <v>949.52</v>
      </c>
      <c r="AV22" s="25">
        <f>(AU22*0.14*-1)</f>
        <v>-132.93280000000001</v>
      </c>
      <c r="AW22" s="25">
        <f>(AU22*0.01*-1)</f>
        <v>-9.4952000000000005</v>
      </c>
      <c r="AX22" s="25">
        <f>(0)</f>
        <v>0</v>
      </c>
      <c r="AY22" s="25">
        <f>(BF6+BJ6+BK6-BL6)</f>
        <v>1078.779</v>
      </c>
      <c r="AZ22" s="25">
        <f ca="1">(AY22*DV21*-1)</f>
        <v>-215.75580000000002</v>
      </c>
      <c r="BA22" s="25">
        <f ca="1">(ROUND((BB22+BC22),2))</f>
        <v>681.17</v>
      </c>
      <c r="BB22" s="25">
        <f>(6.5*H21)</f>
        <v>676</v>
      </c>
      <c r="BC22" s="25">
        <f ca="1">(BA22*0.00759)</f>
        <v>5.1700802999999995</v>
      </c>
      <c r="BD22" s="25">
        <f ca="1">(ROUND((BB22+BC22),2))</f>
        <v>681.17</v>
      </c>
      <c r="BE22" s="25">
        <f ca="1">(BA22)</f>
        <v>681.17</v>
      </c>
      <c r="BF22" s="27">
        <v>0</v>
      </c>
      <c r="BG22" s="25">
        <f>(AY21*BF22)</f>
        <v>0</v>
      </c>
      <c r="BH22" s="25">
        <f ca="1">(BG22*CI2)</f>
        <v>0</v>
      </c>
      <c r="BI22" s="27">
        <v>30</v>
      </c>
      <c r="BJ22" s="25">
        <f>(773.25/30*BI22)</f>
        <v>773.25</v>
      </c>
      <c r="BK22" s="25">
        <f ca="1">(BJ22*CI2)</f>
        <v>519.94103250000001</v>
      </c>
      <c r="BL22" s="27">
        <v>30</v>
      </c>
      <c r="BM22" s="25">
        <f>(386.62/30*BL22)</f>
        <v>386.62</v>
      </c>
      <c r="BN22" s="25">
        <f ca="1">(BM22*CI2)</f>
        <v>259.96715419999998</v>
      </c>
      <c r="BO22" s="25">
        <f>COUNTIF($A$1,"1S-Çımacı / Palamarcı")*(8.28*I21)
+COUNTIF($A$1,"2S-Çımacı / Palamarcı")*(8.28*I21)
+COUNTIF($A$1,"1S-Temizlik Personeli")*(5.52*I21)
+COUNTIF($A$1,"2S-Temizlik Personeli")*(5.52*I21)</f>
        <v>0</v>
      </c>
      <c r="BP22" s="25">
        <f ca="1">(BO22*CI2)</f>
        <v>0</v>
      </c>
      <c r="BQ22" s="25">
        <f>COUNTIF(J21,"Var")*($AQ$1)</f>
        <v>0</v>
      </c>
      <c r="BR22" s="25">
        <f ca="1">COUNTIF(J21,"Var")*((BQ22+(BQ22*0.00759*-1)+((BQ22-BS22)*0.14*-1)+((BQ22-BS22)*0.01*-1)+(BQ22+((BQ22-BS22)*0.14*-1)+((BQ22-BS22)*0.01*-1))*DV21*-1))</f>
        <v>0</v>
      </c>
      <c r="BS22" s="25">
        <f>COUNTIF(J21,"Var")*($AM$1)</f>
        <v>0</v>
      </c>
      <c r="BT22" s="25">
        <f>(0)</f>
        <v>0</v>
      </c>
      <c r="BU22" s="25">
        <f>($AQ$2*K21)</f>
        <v>0</v>
      </c>
      <c r="BV22" s="25">
        <f ca="1">(BU22+(BU22*0.00759*-1)+((BU22-BW22)*0.14*-1)+((BU22-BW22)*0.01*-1)+(BU22+((BU22-BW22)*0.14*-1)+((BU22-BW22)*0.01*-1))*DV21*-1)</f>
        <v>0</v>
      </c>
      <c r="BW22" s="25">
        <f>($AM$2*K21)</f>
        <v>0</v>
      </c>
      <c r="BX22" s="25">
        <f>($AM$5*K21)</f>
        <v>0</v>
      </c>
      <c r="BY22" s="25">
        <f>($AQ$3*L21)</f>
        <v>0</v>
      </c>
      <c r="BZ22" s="25">
        <f ca="1">(BY22+(BY22*0.00759*-1)+((BY22-CA22)*0.14*-1)+((BY22-CA22)*0.01*-1)+(BY22+((BY22-CA22)*0.14*-1)+((BY22-CA22)*0.01*-1))*DV21*-1)</f>
        <v>0</v>
      </c>
      <c r="CA22" s="25">
        <f>($AM$3*L21)</f>
        <v>0</v>
      </c>
      <c r="CB22" s="25">
        <f>($AM$6*L21)</f>
        <v>0</v>
      </c>
      <c r="CC22" s="25">
        <f>($AQ$4*M21)</f>
        <v>0</v>
      </c>
      <c r="CD22" s="25">
        <f ca="1">(CC22+(CC22*0.00759*-1)+((CC22-CE22)*0.14*-1)+((CC22-CE22)*0.01*-1)+(CC22+((CC22-CE22)*0.14*-1)+((CC22-CE22)*0.01*-1))*DV21*-1)</f>
        <v>0</v>
      </c>
      <c r="CE22" s="25">
        <f>($AM$2*M21)</f>
        <v>0</v>
      </c>
      <c r="CF22" s="25">
        <f>($AM$5*M21)</f>
        <v>0</v>
      </c>
      <c r="CG22" s="25">
        <f>($AQ$5*N21)</f>
        <v>0</v>
      </c>
      <c r="CH22" s="25">
        <f ca="1">(CG22+(CG22*0.00759*-1)+((CG22-CI22)*0.14*-1)+((CG22-CI22)*0.01*-1)+(CG22+((CG22-CI22)*0.14*-1)+((CG22-CI22)*0.01*-1))*DV21*-1)</f>
        <v>0</v>
      </c>
      <c r="CI22" s="25">
        <f>($AM$3*N21)</f>
        <v>0</v>
      </c>
      <c r="CJ22" s="25">
        <f>($AM$6*N21)</f>
        <v>0</v>
      </c>
      <c r="CK22" s="44">
        <f>(K21+L21+M21+N21)</f>
        <v>0</v>
      </c>
      <c r="CL22" s="25">
        <f t="shared" ref="CL22:CM25" si="89">(BU22+BY22+CC22+CG22)</f>
        <v>0</v>
      </c>
      <c r="CM22" s="25">
        <f t="shared" ca="1" si="89"/>
        <v>0</v>
      </c>
      <c r="CN22" s="25">
        <f>IF(BW22+CA22+CE22+CI22&gt;=$AM$5*2,$AM$5*2,BW22+CA22+CE22+CI22)</f>
        <v>0</v>
      </c>
      <c r="CO22" s="25">
        <f>(BX22+CB22+CF22+CJ22)</f>
        <v>0</v>
      </c>
      <c r="CS22" s="28">
        <f t="shared" si="60"/>
        <v>0.2</v>
      </c>
      <c r="CT22" s="25">
        <f t="shared" si="61"/>
        <v>1100.07</v>
      </c>
      <c r="CU22" s="28">
        <f t="shared" si="62"/>
        <v>0.80240999999999996</v>
      </c>
      <c r="CV22" s="25">
        <f>BW7</f>
        <v>6471</v>
      </c>
      <c r="CW22" s="25">
        <f>BW7+BZ7+CC7+CD7</f>
        <v>5500.3499999999995</v>
      </c>
      <c r="CX22" s="25" t="s">
        <v>0</v>
      </c>
      <c r="CY22" s="25">
        <f ca="1">(AW26+AS8+AU8+AY11+BA11+BC11+BD18+BJ18+BM18+BP18+BR18+BT18+CO18+BM7)</f>
        <v>16438.62</v>
      </c>
      <c r="CZ22" s="25">
        <f ca="1">(AW26+AS8+AU8+AY11+BA11+BC11+BD18+BJ18+BM18+BP18+BR18+BT18+CO18+BM7)</f>
        <v>16438.62</v>
      </c>
      <c r="DA22" s="25">
        <f t="shared" ca="1" si="63"/>
        <v>-124.7691258</v>
      </c>
      <c r="DB22" s="25">
        <f>(BX7)</f>
        <v>6471</v>
      </c>
      <c r="DC22" s="25">
        <f t="shared" si="64"/>
        <v>-49.114890000000003</v>
      </c>
      <c r="DD22" s="25">
        <f t="shared" ca="1" si="65"/>
        <v>9967.619999999999</v>
      </c>
      <c r="DE22" s="25">
        <f t="shared" ca="1" si="66"/>
        <v>-75.654235799999995</v>
      </c>
      <c r="DF22" s="25">
        <f t="shared" ca="1" si="67"/>
        <v>-75.654235799999995</v>
      </c>
      <c r="DG22" s="25">
        <f ca="1">(BH11+BG18+BZ18+CQ18+BN7)</f>
        <v>1017.6099999999999</v>
      </c>
      <c r="DH22" s="25">
        <f t="shared" ca="1" si="68"/>
        <v>15421.009999999998</v>
      </c>
      <c r="DI22" s="25">
        <f ca="1">IF(DH22&gt;=BW7*7.5,BW7*7.5,DH22)</f>
        <v>15421.009999999998</v>
      </c>
      <c r="DM22" s="46" t="s">
        <v>0</v>
      </c>
      <c r="DN22" s="46" t="s">
        <v>0</v>
      </c>
      <c r="DO22" s="25">
        <f t="shared" ca="1" si="86"/>
        <v>-2017.4854</v>
      </c>
      <c r="DP22" s="25">
        <f t="shared" ca="1" si="87"/>
        <v>-144.1061</v>
      </c>
      <c r="DQ22" s="25">
        <f ca="1">(BL7+BE23+BT23+CO23+CF7+CJ7)</f>
        <v>908.51</v>
      </c>
      <c r="DR22" s="25">
        <f t="shared" ca="1" si="88"/>
        <v>12358.118499999999</v>
      </c>
      <c r="DS22" s="25">
        <f ca="1">SUM($DR$15:DR22)</f>
        <v>74765.692999999999</v>
      </c>
      <c r="DT22" s="29">
        <f t="shared" ca="1" si="54"/>
        <v>0.27</v>
      </c>
      <c r="DU22" s="33">
        <f t="shared" ca="1" si="69"/>
        <v>1</v>
      </c>
      <c r="DV22" s="28">
        <f t="shared" ca="1" si="55"/>
        <v>0.22699427991405002</v>
      </c>
      <c r="DW22" s="25">
        <f t="shared" ca="1" si="71"/>
        <v>-2805.22</v>
      </c>
      <c r="DX22" s="24">
        <v>20</v>
      </c>
      <c r="DY22" s="35">
        <v>10</v>
      </c>
      <c r="DZ22" s="36">
        <v>0.22</v>
      </c>
      <c r="EA22" s="49"/>
    </row>
    <row r="23" spans="1:131" ht="39.950000000000003" customHeight="1" x14ac:dyDescent="0.25">
      <c r="A23" s="3">
        <f t="shared" ca="1" si="44"/>
        <v>0.27</v>
      </c>
      <c r="B23" s="4" t="s">
        <v>21</v>
      </c>
      <c r="C23" s="51">
        <v>0</v>
      </c>
      <c r="D23" s="52">
        <v>0</v>
      </c>
      <c r="E23" s="52">
        <v>0</v>
      </c>
      <c r="F23" s="52">
        <v>0</v>
      </c>
      <c r="G23" s="51">
        <v>26</v>
      </c>
      <c r="H23" s="51">
        <v>104</v>
      </c>
      <c r="I23" s="51">
        <v>0</v>
      </c>
      <c r="J23" s="53" t="s">
        <v>1</v>
      </c>
      <c r="K23" s="51">
        <v>0</v>
      </c>
      <c r="L23" s="51">
        <v>0</v>
      </c>
      <c r="M23" s="51">
        <v>0</v>
      </c>
      <c r="N23" s="51">
        <v>0</v>
      </c>
      <c r="O23" s="54" t="s">
        <v>1</v>
      </c>
      <c r="P23" s="54" t="s">
        <v>1</v>
      </c>
      <c r="Q23" s="54" t="s">
        <v>1</v>
      </c>
      <c r="R23" s="55">
        <v>0</v>
      </c>
      <c r="S23" s="5">
        <f ca="1">(CZ19-BB24+BQ4+BS4+DF19+DO23+DP23+CF12-T23)</f>
        <v>6338.7542063999999</v>
      </c>
      <c r="T23" s="5">
        <f ca="1">(AX8+AZ8+BB8+BD8+BT4)</f>
        <v>778.32643979999989</v>
      </c>
      <c r="U23" s="6">
        <f t="shared" ca="1" si="56"/>
        <v>7117.0806462</v>
      </c>
      <c r="V23" s="18" t="s">
        <v>45</v>
      </c>
      <c r="W23" s="16">
        <f t="shared" ca="1" si="40"/>
        <v>45500.857376400018</v>
      </c>
      <c r="X23" s="16">
        <f ca="1">COUNTIF(Y1,"Ocak")*(DI1-U15)
+COUNTIF(Y1,"Şubat")*(DI2-U16)
+COUNTIF(Y1,"Mart")*(DI3-U17)
+COUNTIF(Y1,"Nisan")*(DI4-U18)
+COUNTIF(Y1,"Mayıs")*(DI5-U19)
+COUNTIF(Y1,"Haziran")*(CZ16-U20)
+COUNTIF(Y1,"Temmuz")*(CZ17-U21)
+COUNTIF(Y1,"Ağustos")*(CZ18-U22)
+COUNTIF(Y1,"Eylül")*(CZ19-U23)
+COUNTIF(Y1,"Ekim")*(CZ20-U24)
+COUNTIF(Y1,"Kasım")*(CZ21-U25)
+COUNTIF(Y1,"Aralık")*(CZ22-U26)
+COUNTIF(Y1,"Yıllık Toplam")*(CZ23-U27)*-1
+COUNTIF(Y1,"Yıllık Ortalama")*(CZ24-U28)*-1</f>
        <v>-45500.857376400018</v>
      </c>
      <c r="Y23" s="64"/>
      <c r="Z23" s="68"/>
      <c r="AA23" s="18" t="s">
        <v>0</v>
      </c>
      <c r="AB23" s="20" t="s">
        <v>0</v>
      </c>
      <c r="AC23" s="56"/>
      <c r="AD23" s="58"/>
      <c r="AE23" s="60"/>
      <c r="AF23" s="59"/>
      <c r="AG23" s="34" t="s">
        <v>98</v>
      </c>
      <c r="AH23" s="32">
        <v>215.4</v>
      </c>
      <c r="AI23" s="22">
        <v>254.1</v>
      </c>
      <c r="AJ23" s="25">
        <f ca="1">(AN16*DE12)</f>
        <v>0</v>
      </c>
      <c r="AK23" s="25">
        <f>(AW16*E16)</f>
        <v>0</v>
      </c>
      <c r="AL23" s="25">
        <f ca="1">(AK23*DE12)</f>
        <v>0</v>
      </c>
      <c r="AM23" s="25">
        <f>(AY16/7.5*0.3*F16)</f>
        <v>0</v>
      </c>
      <c r="AN23" s="25">
        <f ca="1">(AM23*DE12)</f>
        <v>0</v>
      </c>
      <c r="AO23" s="25">
        <f>(46.53*G16)</f>
        <v>1209.78</v>
      </c>
      <c r="AP23" s="25">
        <f ca="1">(AR23+AS23+AV23+AW23+BA2)</f>
        <v>898.06696979999981</v>
      </c>
      <c r="AQ23" s="25">
        <f>(AO23)</f>
        <v>1209.78</v>
      </c>
      <c r="AR23" s="25">
        <f>(AO23)</f>
        <v>1209.78</v>
      </c>
      <c r="AS23" s="25">
        <f>(AR23*0.00759*-1)</f>
        <v>-9.1822302000000011</v>
      </c>
      <c r="AT23" s="25">
        <f>($AL$9*G16)</f>
        <v>260.26</v>
      </c>
      <c r="AU23" s="25">
        <f>(AR23-AT23)</f>
        <v>949.52</v>
      </c>
      <c r="AV23" s="25">
        <f>(AU23*0.14*-1)</f>
        <v>-132.93280000000001</v>
      </c>
      <c r="AW23" s="25">
        <f>(AU23*0.01*-1)</f>
        <v>-9.4952000000000005</v>
      </c>
      <c r="AX23" s="25">
        <f>(0)</f>
        <v>0</v>
      </c>
      <c r="AY23" s="25">
        <f>(BF7+BJ7+BK7-BL7)</f>
        <v>1078.779</v>
      </c>
      <c r="AZ23" s="25">
        <f ca="1">(AY23*DV22*-1)</f>
        <v>-244.87666229139896</v>
      </c>
      <c r="BA23" s="25">
        <f ca="1">(ROUND((BB23+BC23),2))</f>
        <v>681.17</v>
      </c>
      <c r="BB23" s="25">
        <f>(6.5*H22)</f>
        <v>676</v>
      </c>
      <c r="BC23" s="25">
        <f ca="1">(BA23*0.00759)</f>
        <v>5.1700802999999995</v>
      </c>
      <c r="BD23" s="25">
        <f ca="1">(ROUND((BB23+BC23),2))</f>
        <v>681.17</v>
      </c>
      <c r="BE23" s="25">
        <f ca="1">(BA23)</f>
        <v>681.17</v>
      </c>
      <c r="BF23" s="27">
        <v>18</v>
      </c>
      <c r="BG23" s="25">
        <f>(AT11*BF23)</f>
        <v>4546.8</v>
      </c>
      <c r="BH23" s="25">
        <f ca="1">(BG23*CI3)</f>
        <v>2952.9868348737782</v>
      </c>
      <c r="BI23" s="27">
        <v>30</v>
      </c>
      <c r="BJ23" s="25">
        <f>(773.25/30*BI23)</f>
        <v>773.25</v>
      </c>
      <c r="BK23" s="25">
        <f ca="1">(BJ23*CI3)</f>
        <v>502.19870459799176</v>
      </c>
      <c r="BL23" s="27">
        <v>30</v>
      </c>
      <c r="BM23" s="25">
        <f>(386.62/30*BL23)</f>
        <v>386.62</v>
      </c>
      <c r="BN23" s="25">
        <f ca="1">(BM23*CI3)</f>
        <v>251.09610497468552</v>
      </c>
      <c r="BO23" s="25">
        <f>COUNTIF($A$1,"1S-Çımacı / Palamarcı")*(8.28*I22)
+COUNTIF($A$1,"2S-Çımacı / Palamarcı")*(8.28*I22)
+COUNTIF($A$1,"1S-Temizlik Personeli")*(5.52*I22)
+COUNTIF($A$1,"2S-Temizlik Personeli")*(5.52*I22)</f>
        <v>0</v>
      </c>
      <c r="BP23" s="25">
        <f ca="1">(BO23*CI3)</f>
        <v>0</v>
      </c>
      <c r="BQ23" s="25">
        <f>COUNTIF(J22,"Var")*($AQ$1)</f>
        <v>0</v>
      </c>
      <c r="BR23" s="25">
        <f ca="1">COUNTIF(J22,"Var")*((BQ23+(BQ23*0.00759*-1)+((BQ23-BS23)*0.14*-1)+((BQ23-BS23)*0.01*-1)+(BQ23+((BQ23-BS23)*0.14*-1)+((BQ23-BS23)*0.01*-1))*DV22*-1))</f>
        <v>0</v>
      </c>
      <c r="BS23" s="25">
        <f>COUNTIF(J22,"Var")*($AM$1)</f>
        <v>0</v>
      </c>
      <c r="BT23" s="25">
        <f>(0)</f>
        <v>0</v>
      </c>
      <c r="BU23" s="25">
        <f>($AQ$2*K22)</f>
        <v>0</v>
      </c>
      <c r="BV23" s="25">
        <f ca="1">(BU23+(BU23*0.00759*-1)+((BU23-BW23)*0.14*-1)+((BU23-BW23)*0.01*-1)+(BU23+((BU23-BW23)*0.14*-1)+((BU23-BW23)*0.01*-1))*DV22*-1)</f>
        <v>0</v>
      </c>
      <c r="BW23" s="25">
        <f>($AM$2*K22)</f>
        <v>0</v>
      </c>
      <c r="BX23" s="25">
        <f>($AM$5*K22)</f>
        <v>0</v>
      </c>
      <c r="BY23" s="25">
        <f>($AQ$3*L22)</f>
        <v>0</v>
      </c>
      <c r="BZ23" s="25">
        <f ca="1">(BY23+(BY23*0.00759*-1)+((BY23-CA23)*0.14*-1)+((BY23-CA23)*0.01*-1)+(BY23+((BY23-CA23)*0.14*-1)+((BY23-CA23)*0.01*-1))*DV22*-1)</f>
        <v>0</v>
      </c>
      <c r="CA23" s="25">
        <f>($AM$3*L22)</f>
        <v>0</v>
      </c>
      <c r="CB23" s="25">
        <f>($AM$6*L22)</f>
        <v>0</v>
      </c>
      <c r="CC23" s="25">
        <f>($AQ$4*M22)</f>
        <v>0</v>
      </c>
      <c r="CD23" s="25">
        <f ca="1">(CC23+(CC23*0.00759*-1)+((CC23-CE23)*0.14*-1)+((CC23-CE23)*0.01*-1)+(CC23+((CC23-CE23)*0.14*-1)+((CC23-CE23)*0.01*-1))*DV22*-1)</f>
        <v>0</v>
      </c>
      <c r="CE23" s="25">
        <f>($AM$2*M22)</f>
        <v>0</v>
      </c>
      <c r="CF23" s="25">
        <f>($AM$5*M22)</f>
        <v>0</v>
      </c>
      <c r="CG23" s="25">
        <f>($AQ$5*N22)</f>
        <v>0</v>
      </c>
      <c r="CH23" s="25">
        <f ca="1">(CG23+(CG23*0.00759*-1)+((CG23-CI23)*0.14*-1)+((CG23-CI23)*0.01*-1)+(CG23+((CG23-CI23)*0.14*-1)+((CG23-CI23)*0.01*-1))*DV22*-1)</f>
        <v>0</v>
      </c>
      <c r="CI23" s="25">
        <f>($AM$3*N22)</f>
        <v>0</v>
      </c>
      <c r="CJ23" s="25">
        <f>($AM$6*N22)</f>
        <v>0</v>
      </c>
      <c r="CK23" s="44">
        <f>(K22+L22+M22+N22)</f>
        <v>0</v>
      </c>
      <c r="CL23" s="25">
        <f t="shared" si="89"/>
        <v>0</v>
      </c>
      <c r="CM23" s="25">
        <f t="shared" ca="1" si="89"/>
        <v>0</v>
      </c>
      <c r="CN23" s="25">
        <f>IF(BW23+CA23+CE23+CI23&gt;=$AM$5*2,$AM$5*2,BW23+CA23+CE23+CI23)</f>
        <v>0</v>
      </c>
      <c r="CO23" s="25">
        <f>(BX23+CB23+CF23+CJ23)</f>
        <v>0</v>
      </c>
      <c r="CS23" s="24" t="s">
        <v>0</v>
      </c>
      <c r="CT23" s="25">
        <f>(DC1+DC2+DC3+DC4+DC5+CT16+CT17+CT18+CT19+CT20+CT21+CT22)</f>
        <v>10104.5</v>
      </c>
      <c r="CU23" s="24" t="s">
        <v>0</v>
      </c>
      <c r="CV23" s="25">
        <f>(DE1+DE2+DE3+DE4+DE5+CV16+CV17+CV18+CV19+CV20+CV21+CV22)</f>
        <v>68850</v>
      </c>
      <c r="CW23" s="25">
        <f>(DF1+DF2+DF3+DF4+DF5+CW16+CW17+CW18+CW19+CW20+CW21+CW22)</f>
        <v>58522.499999999993</v>
      </c>
      <c r="CX23" s="37" t="s">
        <v>0</v>
      </c>
      <c r="CY23" s="25">
        <f ca="1">(DH1+DH2+DH3+DH4+DH5+CY16+CY17+CY18+CY19+CY20+CY21+CY22)</f>
        <v>146901.96000000002</v>
      </c>
      <c r="CZ23" s="25">
        <f ca="1">(DI1+DI2+DI3+DI4+DI5+CZ16+CZ17+CZ18+CZ19+CZ20+CZ21+CZ22)</f>
        <v>146901.96000000002</v>
      </c>
      <c r="DA23" s="25">
        <f ca="1">(DJ1+DJ2+DJ3+DJ4+DJ5+DA16+DA17+DA18+DA19+DA20+DA21+DA22)</f>
        <v>-1114.9858764000003</v>
      </c>
      <c r="DB23" s="25">
        <f>(DK1+DK2+DK3+DK4+DK5+DB16+DB17+DB18+DB19+DB20+DB21+DB22)</f>
        <v>68850</v>
      </c>
      <c r="DC23" s="25">
        <f>(DL1+DL2+DL3+DL4+DL5+DC16+DC17+DC18+DC19+DC20+DC21+DC22)</f>
        <v>-522.57150000000001</v>
      </c>
      <c r="DD23" s="25">
        <f t="shared" ref="DD23:DI23" ca="1" si="90">(DB6+DB7+DB8+DB9+DB10+DD16+DD17+DD18+DD19+DD20+DD21+DD22)</f>
        <v>78051.960000000006</v>
      </c>
      <c r="DE23" s="25">
        <f t="shared" ca="1" si="90"/>
        <v>-592.41437640000015</v>
      </c>
      <c r="DF23" s="25">
        <f t="shared" ca="1" si="90"/>
        <v>-592.41437640000015</v>
      </c>
      <c r="DG23" s="25">
        <f t="shared" ca="1" si="90"/>
        <v>10622.460000000001</v>
      </c>
      <c r="DH23" s="25">
        <f t="shared" ca="1" si="90"/>
        <v>136279.50000000003</v>
      </c>
      <c r="DI23" s="25">
        <f t="shared" ca="1" si="90"/>
        <v>136279.50000000003</v>
      </c>
      <c r="DM23" s="46" t="s">
        <v>0</v>
      </c>
      <c r="DN23" s="46" t="s">
        <v>0</v>
      </c>
      <c r="DO23" s="25">
        <f t="shared" ca="1" si="86"/>
        <v>-1345.5694000000003</v>
      </c>
      <c r="DP23" s="25">
        <f t="shared" ca="1" si="87"/>
        <v>-96.112100000000012</v>
      </c>
      <c r="DQ23" s="25">
        <f ca="1">(BL8+BE24+BT24+CO24+BN4+BR4)</f>
        <v>908.51</v>
      </c>
      <c r="DR23" s="25">
        <f t="shared" ca="1" si="88"/>
        <v>8278.6285000000007</v>
      </c>
      <c r="DS23" s="25">
        <f ca="1">SUM($DR$15:DR23)</f>
        <v>83044.321500000005</v>
      </c>
      <c r="DT23" s="29">
        <f t="shared" ca="1" si="54"/>
        <v>0.27</v>
      </c>
      <c r="DU23" s="33">
        <f t="shared" ca="1" si="69"/>
        <v>0</v>
      </c>
      <c r="DV23" s="28">
        <f t="shared" ca="1" si="55"/>
        <v>0.27</v>
      </c>
      <c r="DW23" s="25">
        <f t="shared" ca="1" si="71"/>
        <v>-2235.23</v>
      </c>
      <c r="DX23" s="24">
        <v>21</v>
      </c>
      <c r="DY23" s="35">
        <v>10.5</v>
      </c>
      <c r="DZ23" s="36">
        <v>0.23</v>
      </c>
      <c r="EA23" s="49"/>
    </row>
    <row r="24" spans="1:131" ht="39.950000000000003" customHeight="1" x14ac:dyDescent="0.25">
      <c r="A24" s="3">
        <f t="shared" ca="1" si="44"/>
        <v>0.27</v>
      </c>
      <c r="B24" s="4" t="s">
        <v>22</v>
      </c>
      <c r="C24" s="51">
        <v>0</v>
      </c>
      <c r="D24" s="52">
        <v>0</v>
      </c>
      <c r="E24" s="52">
        <v>0</v>
      </c>
      <c r="F24" s="52">
        <v>0</v>
      </c>
      <c r="G24" s="51">
        <v>26</v>
      </c>
      <c r="H24" s="51">
        <v>104</v>
      </c>
      <c r="I24" s="51">
        <v>0</v>
      </c>
      <c r="J24" s="53" t="s">
        <v>1</v>
      </c>
      <c r="K24" s="51">
        <v>0</v>
      </c>
      <c r="L24" s="51">
        <v>0</v>
      </c>
      <c r="M24" s="51">
        <v>0</v>
      </c>
      <c r="N24" s="51">
        <v>0</v>
      </c>
      <c r="O24" s="54" t="s">
        <v>1</v>
      </c>
      <c r="P24" s="54" t="s">
        <v>1</v>
      </c>
      <c r="Q24" s="54" t="s">
        <v>1</v>
      </c>
      <c r="R24" s="55">
        <v>0</v>
      </c>
      <c r="S24" s="5">
        <f ca="1">(CZ20-BB25+BQ5+BS5+DF20+DO24+DP24+CF13-T24)</f>
        <v>9280.3567603999982</v>
      </c>
      <c r="T24" s="5">
        <f ca="1">(AX9+AZ9+BB9+BD9+BT5)</f>
        <v>778.32643979999989</v>
      </c>
      <c r="U24" s="6">
        <f t="shared" ca="1" si="56"/>
        <v>10058.683200199997</v>
      </c>
      <c r="V24" s="15" t="s">
        <v>0</v>
      </c>
      <c r="W24" s="16" t="s">
        <v>0</v>
      </c>
      <c r="X24" s="16" t="s">
        <v>0</v>
      </c>
      <c r="Y24" s="64"/>
      <c r="Z24" s="68"/>
      <c r="AA24" s="18" t="s">
        <v>0</v>
      </c>
      <c r="AB24" s="20" t="s">
        <v>0</v>
      </c>
      <c r="AC24" s="56"/>
      <c r="AD24" s="58"/>
      <c r="AE24" s="60"/>
      <c r="AF24" s="59"/>
      <c r="AG24" s="34" t="s">
        <v>99</v>
      </c>
      <c r="AH24" s="32">
        <v>214.02</v>
      </c>
      <c r="AI24" s="22">
        <v>252.6</v>
      </c>
      <c r="AJ24" s="25">
        <f ca="1">(AN17*DE13)</f>
        <v>0</v>
      </c>
      <c r="AK24" s="25">
        <f>(AW17*E17)</f>
        <v>0</v>
      </c>
      <c r="AL24" s="25">
        <f ca="1">(AK24*DE13)</f>
        <v>0</v>
      </c>
      <c r="AM24" s="25">
        <f>(AY17/7.5*0.3*F17)</f>
        <v>0</v>
      </c>
      <c r="AN24" s="25">
        <f ca="1">(AM24*DE13)</f>
        <v>0</v>
      </c>
      <c r="AO24" s="25">
        <f>(46.53*G17)</f>
        <v>1209.78</v>
      </c>
      <c r="AP24" s="25">
        <f ca="1">(AR24+AS24+AV24+AW24+BA3)</f>
        <v>898.06696979999981</v>
      </c>
      <c r="AQ24" s="25">
        <f>(AO24)</f>
        <v>1209.78</v>
      </c>
      <c r="AR24" s="25">
        <f>(AO24)</f>
        <v>1209.78</v>
      </c>
      <c r="AS24" s="25">
        <f>(AR24*0.00759*-1)</f>
        <v>-9.1822302000000011</v>
      </c>
      <c r="AT24" s="25">
        <f>($AL$9*G17)</f>
        <v>260.26</v>
      </c>
      <c r="AU24" s="25">
        <f>(AR24-AT24)</f>
        <v>949.52</v>
      </c>
      <c r="AV24" s="25">
        <f>(AU24*0.14*-1)</f>
        <v>-132.93280000000001</v>
      </c>
      <c r="AW24" s="25">
        <f>(AU24*0.01*-1)</f>
        <v>-9.4952000000000005</v>
      </c>
      <c r="AX24" s="25">
        <f>(0)</f>
        <v>0</v>
      </c>
      <c r="AY24" s="25">
        <f>(BF8+BJ8+BK8-BL8)</f>
        <v>1078.779</v>
      </c>
      <c r="AZ24" s="25">
        <f ca="1">(AY24*DV23*-1)</f>
        <v>-291.27033</v>
      </c>
      <c r="BA24" s="25">
        <f ca="1">(ROUND((BB24+BC24),2))</f>
        <v>681.17</v>
      </c>
      <c r="BB24" s="25">
        <f>(6.5*H23)</f>
        <v>676</v>
      </c>
      <c r="BC24" s="25">
        <f ca="1">(BA24*0.00759)</f>
        <v>5.1700802999999995</v>
      </c>
      <c r="BD24" s="25">
        <f ca="1">(ROUND((BB24+BC24),2))</f>
        <v>681.17</v>
      </c>
      <c r="BE24" s="25">
        <f ca="1">(BA24)</f>
        <v>681.17</v>
      </c>
      <c r="BF24" s="27">
        <v>0</v>
      </c>
      <c r="BG24" s="25">
        <f>(AT12*BF24)</f>
        <v>0</v>
      </c>
      <c r="BH24" s="25">
        <f ca="1">(BG24*CH12)</f>
        <v>0</v>
      </c>
      <c r="BI24" s="27">
        <v>30</v>
      </c>
      <c r="BJ24" s="25">
        <f>(773.25/30*BI24)</f>
        <v>773.25</v>
      </c>
      <c r="BK24" s="25">
        <f ca="1">(BJ24*CH12)</f>
        <v>473.93265749999995</v>
      </c>
      <c r="BL24" s="27">
        <v>30</v>
      </c>
      <c r="BM24" s="25">
        <f>(386.62/30*BL24)</f>
        <v>386.62</v>
      </c>
      <c r="BN24" s="25">
        <f ca="1">(BM24*CH12)</f>
        <v>236.9632642</v>
      </c>
      <c r="BO24" s="25">
        <f>COUNTIF($A$1,"1S-Çımacı / Palamarcı")*(8.28*I23)
+COUNTIF($A$1,"2S-Çımacı / Palamarcı")*(8.28*I23)
+COUNTIF($A$1,"1S-Temizlik Personeli")*(5.52*I23)
+COUNTIF($A$1,"2S-Temizlik Personeli")*(5.52*I23)</f>
        <v>0</v>
      </c>
      <c r="BP24" s="25">
        <f ca="1">(BO24*CH12)</f>
        <v>0</v>
      </c>
      <c r="BQ24" s="25">
        <f>COUNTIF(J23,"Var")*($AQ$1)</f>
        <v>0</v>
      </c>
      <c r="BR24" s="25">
        <f ca="1">COUNTIF(J23,"Var")*((BQ24+(BQ24*0.00759*-1)+((BQ24-BS24)*0.14*-1)+((BQ24-BS24)*0.01*-1)+(BQ24+((BQ24-BS24)*0.14*-1)+((BQ24-BS24)*0.01*-1))*DV23*-1))</f>
        <v>0</v>
      </c>
      <c r="BS24" s="25">
        <f>COUNTIF(J23,"Var")*($AM$1)</f>
        <v>0</v>
      </c>
      <c r="BT24" s="25">
        <f>(0)</f>
        <v>0</v>
      </c>
      <c r="BU24" s="25">
        <f>($AQ$2*K23)</f>
        <v>0</v>
      </c>
      <c r="BV24" s="25">
        <f ca="1">(BU24+(BU24*0.00759*-1)+((BU24-BW24)*0.14*-1)+((BU24-BW24)*0.01*-1)+(BU24+((BU24-BW24)*0.14*-1)+((BU24-BW24)*0.01*-1))*DV23*-1)</f>
        <v>0</v>
      </c>
      <c r="BW24" s="25">
        <f>($AM$2*K23)</f>
        <v>0</v>
      </c>
      <c r="BX24" s="25">
        <f>($AM$5*K23)</f>
        <v>0</v>
      </c>
      <c r="BY24" s="25">
        <f>($AQ$3*L23)</f>
        <v>0</v>
      </c>
      <c r="BZ24" s="25">
        <f ca="1">(BY24+(BY24*0.00759*-1)+((BY24-CA24)*0.14*-1)+((BY24-CA24)*0.01*-1)+(BY24+((BY24-CA24)*0.14*-1)+((BY24-CA24)*0.01*-1))*DV23*-1)</f>
        <v>0</v>
      </c>
      <c r="CA24" s="25">
        <f>($AM$3*L23)</f>
        <v>0</v>
      </c>
      <c r="CB24" s="25">
        <f>($AM$6*L23)</f>
        <v>0</v>
      </c>
      <c r="CC24" s="25">
        <f>($AQ$4*M23)</f>
        <v>0</v>
      </c>
      <c r="CD24" s="25">
        <f ca="1">(CC24+(CC24*0.00759*-1)+((CC24-CE24)*0.14*-1)+((CC24-CE24)*0.01*-1)+(CC24+((CC24-CE24)*0.14*-1)+((CC24-CE24)*0.01*-1))*DV23*-1)</f>
        <v>0</v>
      </c>
      <c r="CE24" s="25">
        <f>($AM$2*M23)</f>
        <v>0</v>
      </c>
      <c r="CF24" s="25">
        <f>($AM$5*M23)</f>
        <v>0</v>
      </c>
      <c r="CG24" s="25">
        <f>($AQ$5*N23)</f>
        <v>0</v>
      </c>
      <c r="CH24" s="25">
        <f ca="1">(CG24+(CG24*0.00759*-1)+((CG24-CI24)*0.14*-1)+((CG24-CI24)*0.01*-1)+(CG24+((CG24-CI24)*0.14*-1)+((CG24-CI24)*0.01*-1))*DV23*-1)</f>
        <v>0</v>
      </c>
      <c r="CI24" s="25">
        <f>($AM$3*N23)</f>
        <v>0</v>
      </c>
      <c r="CJ24" s="25">
        <f>($AM$6*N23)</f>
        <v>0</v>
      </c>
      <c r="CK24" s="44">
        <f>(K23+L23+M23+N23)</f>
        <v>0</v>
      </c>
      <c r="CL24" s="25">
        <f t="shared" si="89"/>
        <v>0</v>
      </c>
      <c r="CM24" s="25">
        <f t="shared" ca="1" si="89"/>
        <v>0</v>
      </c>
      <c r="CN24" s="25">
        <f>IF(BW24+CA24+CE24+CI24&gt;=$AM$5*2,$AM$5*2,BW24+CA24+CE24+CI24)</f>
        <v>0</v>
      </c>
      <c r="CO24" s="25">
        <f>(BX24+CB24+CF24+CJ24)</f>
        <v>0</v>
      </c>
      <c r="CS24" s="41" t="s">
        <v>0</v>
      </c>
      <c r="CT24" s="25">
        <f t="shared" ref="CT24" si="91">(CT23/12)</f>
        <v>842.04166666666663</v>
      </c>
      <c r="CU24" s="41" t="s">
        <v>0</v>
      </c>
      <c r="CV24" s="25">
        <f t="shared" ref="CV24" si="92">(CV23/12)</f>
        <v>5737.5</v>
      </c>
      <c r="CW24" s="25">
        <f t="shared" ref="CW24" si="93">(CW23/12)</f>
        <v>4876.8749999999991</v>
      </c>
      <c r="CX24" s="25" t="s">
        <v>0</v>
      </c>
      <c r="CY24" s="25">
        <f t="shared" ref="CY24" ca="1" si="94">(CY23/12)</f>
        <v>12241.830000000002</v>
      </c>
      <c r="CZ24" s="25">
        <f t="shared" ref="CZ24" ca="1" si="95">(CZ23/12)</f>
        <v>12241.830000000002</v>
      </c>
      <c r="DA24" s="25">
        <f t="shared" ref="DA24" ca="1" si="96">(DA23/12)</f>
        <v>-92.915489700000023</v>
      </c>
      <c r="DB24" s="25">
        <f t="shared" ref="DB24" si="97">(DB23/12)</f>
        <v>5737.5</v>
      </c>
      <c r="DC24" s="25">
        <f t="shared" ref="DC24" si="98">(DC23/12)</f>
        <v>-43.547625000000004</v>
      </c>
      <c r="DD24" s="25">
        <f t="shared" ref="DD24" ca="1" si="99">(DD23/12)</f>
        <v>6504.3300000000008</v>
      </c>
      <c r="DE24" s="25">
        <f t="shared" ref="DE24" ca="1" si="100">(DE23/12)</f>
        <v>-49.367864700000013</v>
      </c>
      <c r="DF24" s="25">
        <f t="shared" ref="DF24" ca="1" si="101">(DF23/12)</f>
        <v>-49.367864700000013</v>
      </c>
      <c r="DG24" s="25">
        <f t="shared" ref="DG24" ca="1" si="102">(DG23/12)</f>
        <v>885.20500000000004</v>
      </c>
      <c r="DH24" s="25">
        <f t="shared" ref="DH24" ca="1" si="103">(DH23/12)</f>
        <v>11356.625000000002</v>
      </c>
      <c r="DI24" s="25">
        <f t="shared" ref="DI24" ca="1" si="104">(DI23/12)</f>
        <v>11356.625000000002</v>
      </c>
      <c r="DM24" s="46" t="s">
        <v>0</v>
      </c>
      <c r="DN24" s="46" t="s">
        <v>0</v>
      </c>
      <c r="DO24" s="25">
        <f t="shared" ca="1" si="86"/>
        <v>-2017.4854</v>
      </c>
      <c r="DP24" s="25">
        <f t="shared" ca="1" si="87"/>
        <v>-144.1061</v>
      </c>
      <c r="DQ24" s="25">
        <f ca="1">(BL9+BE25+BT25+CO25+BN5+BR5)</f>
        <v>908.51</v>
      </c>
      <c r="DR24" s="25">
        <f t="shared" ca="1" si="88"/>
        <v>12358.118499999999</v>
      </c>
      <c r="DS24" s="25">
        <f ca="1">SUM($DR$15:DR24)</f>
        <v>95402.44</v>
      </c>
      <c r="DT24" s="29">
        <f t="shared" ca="1" si="54"/>
        <v>0.27</v>
      </c>
      <c r="DU24" s="33">
        <f t="shared" ca="1" si="69"/>
        <v>0</v>
      </c>
      <c r="DV24" s="28">
        <f t="shared" ca="1" si="55"/>
        <v>0.27</v>
      </c>
      <c r="DW24" s="25">
        <f t="shared" ca="1" si="71"/>
        <v>-3336.69</v>
      </c>
      <c r="DX24" s="24">
        <v>22</v>
      </c>
      <c r="DY24" s="35">
        <v>11</v>
      </c>
      <c r="DZ24" s="36">
        <v>0.24</v>
      </c>
      <c r="EA24" s="49"/>
    </row>
    <row r="25" spans="1:131" ht="39.950000000000003" customHeight="1" x14ac:dyDescent="0.25">
      <c r="A25" s="3">
        <f t="shared" ca="1" si="44"/>
        <v>0.27</v>
      </c>
      <c r="B25" s="4" t="s">
        <v>23</v>
      </c>
      <c r="C25" s="51">
        <v>0</v>
      </c>
      <c r="D25" s="52">
        <v>0</v>
      </c>
      <c r="E25" s="52">
        <v>0</v>
      </c>
      <c r="F25" s="52">
        <v>0</v>
      </c>
      <c r="G25" s="51">
        <v>26</v>
      </c>
      <c r="H25" s="51">
        <v>104</v>
      </c>
      <c r="I25" s="51">
        <v>0</v>
      </c>
      <c r="J25" s="53" t="s">
        <v>1</v>
      </c>
      <c r="K25" s="51">
        <v>0</v>
      </c>
      <c r="L25" s="51">
        <v>0</v>
      </c>
      <c r="M25" s="51">
        <v>0</v>
      </c>
      <c r="N25" s="51">
        <v>0</v>
      </c>
      <c r="O25" s="54" t="s">
        <v>1</v>
      </c>
      <c r="P25" s="54" t="s">
        <v>1</v>
      </c>
      <c r="Q25" s="54" t="s">
        <v>1</v>
      </c>
      <c r="R25" s="55">
        <v>0</v>
      </c>
      <c r="S25" s="5">
        <f ca="1">(CZ21-BE17+BQ6+BS6+DF21+DO25+DP25+DI6-T25)</f>
        <v>6338.7542063999999</v>
      </c>
      <c r="T25" s="5">
        <f ca="1">(AX10+AZ10+BB10+BD10+BT6)</f>
        <v>778.32643979999989</v>
      </c>
      <c r="U25" s="6">
        <f t="shared" ca="1" si="56"/>
        <v>7117.0806462</v>
      </c>
      <c r="V25" s="15" t="s">
        <v>0</v>
      </c>
      <c r="W25" s="16" t="s">
        <v>0</v>
      </c>
      <c r="X25" s="16" t="s">
        <v>0</v>
      </c>
      <c r="Y25" s="64"/>
      <c r="Z25" s="68"/>
      <c r="AA25" s="18" t="s">
        <v>0</v>
      </c>
      <c r="AB25" s="20" t="s">
        <v>0</v>
      </c>
      <c r="AC25" s="56"/>
      <c r="AD25" s="58"/>
      <c r="AE25" s="60"/>
      <c r="AF25" s="59"/>
      <c r="AG25" s="34" t="s">
        <v>100</v>
      </c>
      <c r="AH25" s="32">
        <v>209.88</v>
      </c>
      <c r="AI25" s="22">
        <v>247.6</v>
      </c>
      <c r="AJ25" s="25">
        <f ca="1">(AN18*DE14)</f>
        <v>0</v>
      </c>
      <c r="AK25" s="25">
        <f>(AW18*E18)</f>
        <v>0</v>
      </c>
      <c r="AL25" s="25">
        <f ca="1">(AK25*DE14)</f>
        <v>0</v>
      </c>
      <c r="AM25" s="25">
        <f>(AY18/7.5*0.3*F18)</f>
        <v>0</v>
      </c>
      <c r="AN25" s="25">
        <f ca="1">(AM25*DE14)</f>
        <v>0</v>
      </c>
      <c r="AO25" s="25">
        <f>(46.53*G18)</f>
        <v>1209.78</v>
      </c>
      <c r="AP25" s="25">
        <f ca="1">(AR25+AS25+AV25+AW25+BC14)</f>
        <v>878.81334200405718</v>
      </c>
      <c r="AQ25" s="25">
        <f>(AO25)</f>
        <v>1209.78</v>
      </c>
      <c r="AR25" s="25">
        <f>(AO25)</f>
        <v>1209.78</v>
      </c>
      <c r="AS25" s="25">
        <f>(AR25*0.00759*-1)</f>
        <v>-9.1822302000000011</v>
      </c>
      <c r="AT25" s="25">
        <f>($AL$9*G18)</f>
        <v>260.26</v>
      </c>
      <c r="AU25" s="25">
        <f>(AR25-AT25)</f>
        <v>949.52</v>
      </c>
      <c r="AV25" s="25">
        <f>(AU25*0.14*-1)</f>
        <v>-132.93280000000001</v>
      </c>
      <c r="AW25" s="25">
        <f>(AU25*0.01*-1)</f>
        <v>-9.4952000000000005</v>
      </c>
      <c r="AX25" s="25">
        <f>(0)</f>
        <v>0</v>
      </c>
      <c r="AY25" s="25">
        <f>(BF9+BJ9+BK9-BL9)</f>
        <v>1078.779</v>
      </c>
      <c r="AZ25" s="25">
        <f ca="1">(AY25*DV24*-1)</f>
        <v>-291.27033</v>
      </c>
      <c r="BA25" s="25">
        <f ca="1">(ROUND((BB25+BC25),2))</f>
        <v>681.17</v>
      </c>
      <c r="BB25" s="25">
        <f>(6.5*H24)</f>
        <v>676</v>
      </c>
      <c r="BC25" s="25">
        <f ca="1">(BA25*0.00759)</f>
        <v>5.1700802999999995</v>
      </c>
      <c r="BD25" s="25">
        <f ca="1">(ROUND((BB25+BC25),2))</f>
        <v>681.17</v>
      </c>
      <c r="BE25" s="25">
        <f ca="1">(BA25)</f>
        <v>681.17</v>
      </c>
      <c r="BF25" s="27">
        <v>18</v>
      </c>
      <c r="BG25" s="25">
        <f>(AT13*BF25)</f>
        <v>4546.8</v>
      </c>
      <c r="BH25" s="25">
        <f ca="1">(BG25*CH13)</f>
        <v>2786.779188</v>
      </c>
      <c r="BI25" s="27">
        <v>30</v>
      </c>
      <c r="BJ25" s="25">
        <f>(773.25/30*BI25)</f>
        <v>773.25</v>
      </c>
      <c r="BK25" s="25">
        <f ca="1">(BJ25*CH13)</f>
        <v>473.93265749999995</v>
      </c>
      <c r="BL25" s="27">
        <v>30</v>
      </c>
      <c r="BM25" s="25">
        <f>(386.62/30*BL25)</f>
        <v>386.62</v>
      </c>
      <c r="BN25" s="25">
        <f ca="1">(BM25*CH13)</f>
        <v>236.9632642</v>
      </c>
      <c r="BO25" s="25">
        <f>COUNTIF($A$1,"1S-Çımacı / Palamarcı")*(8.28*I24)
+COUNTIF($A$1,"2S-Çımacı / Palamarcı")*(8.28*I24)
+COUNTIF($A$1,"1S-Temizlik Personeli")*(5.52*I24)
+COUNTIF($A$1,"2S-Temizlik Personeli")*(5.52*I24)</f>
        <v>0</v>
      </c>
      <c r="BP25" s="25">
        <f ca="1">(BO25*CH13)</f>
        <v>0</v>
      </c>
      <c r="BQ25" s="25">
        <f>COUNTIF(J24,"Var")*($AQ$1)</f>
        <v>0</v>
      </c>
      <c r="BR25" s="25">
        <f ca="1">COUNTIF(J24,"Var")*((BQ25+(BQ25*0.00759*-1)+((BQ25-BS25)*0.14*-1)+((BQ25-BS25)*0.01*-1)+(BQ25+((BQ25-BS25)*0.14*-1)+((BQ25-BS25)*0.01*-1))*DV24*-1))</f>
        <v>0</v>
      </c>
      <c r="BS25" s="25">
        <f>COUNTIF(J24,"Var")*($AM$1)</f>
        <v>0</v>
      </c>
      <c r="BT25" s="25">
        <f>(0)</f>
        <v>0</v>
      </c>
      <c r="BU25" s="25">
        <f>($AQ$2*K24)</f>
        <v>0</v>
      </c>
      <c r="BV25" s="25">
        <f ca="1">(BU25+(BU25*0.00759*-1)+((BU25-BW25)*0.14*-1)+((BU25-BW25)*0.01*-1)+(BU25+((BU25-BW25)*0.14*-1)+((BU25-BW25)*0.01*-1))*DV24*-1)</f>
        <v>0</v>
      </c>
      <c r="BW25" s="25">
        <f>($AM$2*K24)</f>
        <v>0</v>
      </c>
      <c r="BX25" s="25">
        <f>($AM$5*K24)</f>
        <v>0</v>
      </c>
      <c r="BY25" s="25">
        <f>($AQ$3*L24)</f>
        <v>0</v>
      </c>
      <c r="BZ25" s="25">
        <f ca="1">(BY25+(BY25*0.00759*-1)+((BY25-CA25)*0.14*-1)+((BY25-CA25)*0.01*-1)+(BY25+((BY25-CA25)*0.14*-1)+((BY25-CA25)*0.01*-1))*DV24*-1)</f>
        <v>0</v>
      </c>
      <c r="CA25" s="25">
        <f>($AM$3*L24)</f>
        <v>0</v>
      </c>
      <c r="CB25" s="25">
        <f>($AM$6*L24)</f>
        <v>0</v>
      </c>
      <c r="CC25" s="25">
        <f>($AQ$4*M24)</f>
        <v>0</v>
      </c>
      <c r="CD25" s="25">
        <f ca="1">(CC25+(CC25*0.00759*-1)+((CC25-CE25)*0.14*-1)+((CC25-CE25)*0.01*-1)+(CC25+((CC25-CE25)*0.14*-1)+((CC25-CE25)*0.01*-1))*DV24*-1)</f>
        <v>0</v>
      </c>
      <c r="CE25" s="25">
        <f>($AM$2*M24)</f>
        <v>0</v>
      </c>
      <c r="CF25" s="25">
        <f>($AM$5*M24)</f>
        <v>0</v>
      </c>
      <c r="CG25" s="25">
        <f>($AQ$5*N24)</f>
        <v>0</v>
      </c>
      <c r="CH25" s="25">
        <f ca="1">(CG25+(CG25*0.00759*-1)+((CG25-CI25)*0.14*-1)+((CG25-CI25)*0.01*-1)+(CG25+((CG25-CI25)*0.14*-1)+((CG25-CI25)*0.01*-1))*DV24*-1)</f>
        <v>0</v>
      </c>
      <c r="CI25" s="25">
        <f>($AM$3*N24)</f>
        <v>0</v>
      </c>
      <c r="CJ25" s="25">
        <f>($AM$6*N24)</f>
        <v>0</v>
      </c>
      <c r="CK25" s="44">
        <f>(K24+L24+M24+N24)</f>
        <v>0</v>
      </c>
      <c r="CL25" s="25">
        <f t="shared" si="89"/>
        <v>0</v>
      </c>
      <c r="CM25" s="25">
        <f t="shared" ca="1" si="89"/>
        <v>0</v>
      </c>
      <c r="CN25" s="25">
        <f>IF(BW25+CA25+CE25+CI25&gt;=$AM$5*2,$AM$5*2,BW25+CA25+CE25+CI25)</f>
        <v>0</v>
      </c>
      <c r="CO25" s="25">
        <f>(BX25+CB25+CF25+CJ25)</f>
        <v>0</v>
      </c>
      <c r="DM25" s="46" t="s">
        <v>0</v>
      </c>
      <c r="DN25" s="46" t="s">
        <v>0</v>
      </c>
      <c r="DO25" s="25">
        <f t="shared" ca="1" si="86"/>
        <v>-1345.5694000000003</v>
      </c>
      <c r="DP25" s="25">
        <f t="shared" ca="1" si="87"/>
        <v>-96.112100000000012</v>
      </c>
      <c r="DQ25" s="25">
        <f ca="1">(BL10+BH17+BW17+CR17+BN6+BR6)</f>
        <v>908.51</v>
      </c>
      <c r="DR25" s="25">
        <f t="shared" ca="1" si="88"/>
        <v>8278.6285000000007</v>
      </c>
      <c r="DS25" s="25">
        <f ca="1">SUM($DR$15:DR25)</f>
        <v>103681.06850000001</v>
      </c>
      <c r="DT25" s="29">
        <f t="shared" ca="1" si="54"/>
        <v>0.27</v>
      </c>
      <c r="DU25" s="33">
        <f t="shared" ca="1" si="69"/>
        <v>0</v>
      </c>
      <c r="DV25" s="28">
        <f t="shared" ca="1" si="55"/>
        <v>0.27</v>
      </c>
      <c r="DW25" s="25">
        <f t="shared" ca="1" si="71"/>
        <v>-2235.23</v>
      </c>
      <c r="DX25" s="24">
        <v>23</v>
      </c>
      <c r="DY25" s="35">
        <v>11.5</v>
      </c>
      <c r="DZ25" s="36">
        <v>0.25</v>
      </c>
      <c r="EA25" s="49"/>
    </row>
    <row r="26" spans="1:131" ht="39.950000000000003" customHeight="1" x14ac:dyDescent="0.25">
      <c r="A26" s="3">
        <f t="shared" ca="1" si="44"/>
        <v>0.27</v>
      </c>
      <c r="B26" s="4" t="s">
        <v>24</v>
      </c>
      <c r="C26" s="51">
        <v>0</v>
      </c>
      <c r="D26" s="52">
        <v>0</v>
      </c>
      <c r="E26" s="52">
        <v>0</v>
      </c>
      <c r="F26" s="52">
        <v>0</v>
      </c>
      <c r="G26" s="51">
        <v>26</v>
      </c>
      <c r="H26" s="51">
        <v>104</v>
      </c>
      <c r="I26" s="51">
        <v>0</v>
      </c>
      <c r="J26" s="53" t="s">
        <v>1</v>
      </c>
      <c r="K26" s="51">
        <v>0</v>
      </c>
      <c r="L26" s="51">
        <v>0</v>
      </c>
      <c r="M26" s="51">
        <v>0</v>
      </c>
      <c r="N26" s="51">
        <v>0</v>
      </c>
      <c r="O26" s="54" t="s">
        <v>1</v>
      </c>
      <c r="P26" s="54" t="s">
        <v>1</v>
      </c>
      <c r="Q26" s="54" t="s">
        <v>1</v>
      </c>
      <c r="R26" s="55">
        <v>0</v>
      </c>
      <c r="S26" s="5">
        <f ca="1">(CZ22-BE18+BQ7+BS7+DF22+DO26+DP26+DI7-T26)</f>
        <v>9899.6378243999989</v>
      </c>
      <c r="T26" s="5">
        <f ca="1">(AX11+AZ11+BB11+BD11+BT7)</f>
        <v>778.32643979999989</v>
      </c>
      <c r="U26" s="6">
        <f t="shared" ca="1" si="56"/>
        <v>10677.964264199998</v>
      </c>
      <c r="V26" s="15" t="s">
        <v>0</v>
      </c>
      <c r="W26" s="16" t="s">
        <v>0</v>
      </c>
      <c r="X26" s="16" t="s">
        <v>0</v>
      </c>
      <c r="Y26" s="64"/>
      <c r="Z26" s="68"/>
      <c r="AA26" s="18" t="s">
        <v>0</v>
      </c>
      <c r="AB26" s="20" t="s">
        <v>0</v>
      </c>
      <c r="AC26" s="56"/>
      <c r="AD26" s="58"/>
      <c r="AE26" s="60"/>
      <c r="AF26" s="59"/>
      <c r="AG26" s="34" t="s">
        <v>101</v>
      </c>
      <c r="AH26" s="32">
        <v>191.93</v>
      </c>
      <c r="AI26" s="22">
        <v>226.5</v>
      </c>
      <c r="AJ26" s="42">
        <f>(AK14+1)</f>
        <v>44896</v>
      </c>
      <c r="AK26" s="42">
        <f>EOMONTH(AJ26,0)</f>
        <v>44926</v>
      </c>
      <c r="AL26" s="43">
        <f>DAY(AK26)</f>
        <v>31</v>
      </c>
      <c r="AM26" s="43">
        <f>NETWORKDAYS.INTL(AJ26,AK26,11)</f>
        <v>27</v>
      </c>
      <c r="AN26" s="43">
        <f>(AL26-AM26)</f>
        <v>4</v>
      </c>
      <c r="AO26" s="41" t="s">
        <v>0</v>
      </c>
      <c r="AP26"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Q26" s="32">
        <f ca="1">(AP26*DK7)</f>
        <v>154.82106599999997</v>
      </c>
      <c r="AR26" s="32">
        <f>COUNTIF($A$1,"Mekanik / Teknik Sorumlusu")*($AI$1)
+COUNTIF($A$1,"Elektrik Sorumlusu")*($AI$2)
+COUNTIF($A$1,"Otomasyon Sistem Sorumlusu")*($AI$3)
+COUNTIF($A$1,"Bilgi İşlem Sorumlusu")*($AI$4)
+COUNTIF($A$1,"Bakım Onarım Sorumlusu")*($AI$5)
+COUNTIF($A$1,"İskeleler Sorumlusu")*($AI$6)
+COUNTIF($A$1,"Ambar ve Stok Kontrol Sorumlusu")*($AI$7)
+COUNTIF($A$1,"Akaryakıt Sorumlusu")*($AI$8)
+COUNTIF($A$1,"İnsan Kaynakları ve Eğitim Sorumlusu")*($AI$9)
+COUNTIF($A$1,"Muhasebe ve Finansman Sorumlusu")*($AI$10)
+COUNTIF($A$1,"İhale ve Satınalma Sorumlusu")*($AI$11)
+COUNTIF($A$1,"Halkla İlişkiler Sorumlusu")*($AI$12)
+COUNTIF($A$1,"Yazı İşleri Sorumlusu")*($AI$13)
+COUNTIF($A$1,"Gişeler Sorumlusu")*($AI$14)
+COUNTIF($A$1,"Temizlik / Güvenlik Sorumlusu")*($AI$15)
+COUNTIF($A$1,"İskele Sorumlusu")*($AI$16)
+COUNTIF($A$1,"1S-Atölye Personeli")*($AI$17)
+COUNTIF($A$1,"1S-Bilgi İşlem Büro Personeli")*($AI$18)
+COUNTIF($A$1,"1S-Şoför")*($AI$19)
+COUNTIF($A$1,"1S-Büro Personeli")*($AI$20)
+COUNTIF($A$1,"1S-Yönetim / Genel Müdür Sekreteri")*($AI$21)
+COUNTIF($A$1,"1S-İskele Personeli")*($AI$22)
+COUNTIF($A$1,"1S-Gişe Personeli")*($AI$23)
+COUNTIF($A$1,"1S-Çımacı / Palamarcı")*($AI$24)
+COUNTIF($A$1,"1S-Temizlik Personeli")*($AI$25)
+COUNTIF($A$1,"2S-Atölye Personeli")*($AI$26)
+COUNTIF($A$1,"2S-Bilgi İşlem Büro Personeli")*($AI$27)
+COUNTIF($A$1,"2S-Şoför")*($AI$28)
+COUNTIF($A$1,"2S-Büro Personeli")*($AI$29)
+COUNTIF($A$1,"2S-Yönetim / Genel Müdür Sekreteri")*($AI$30)
+COUNTIF($A$1,"2S-İskele Personeli")*($AI$31)
+COUNTIF($A$1,"2S-Gişe Personeli")*($AI$32)
+COUNTIF($A$1,"2S-Çımacı / Palamarcı")*($AI$33)
+COUNTIF($A$1,"2S-Temizlik Personeli")*($AI$34)</f>
        <v>252.6</v>
      </c>
      <c r="AS26" s="25">
        <f ca="1">(AR26*DK7+DC22/30*-1+DH7/30)</f>
        <v>193.12722899999994</v>
      </c>
      <c r="AT26" s="32">
        <f>COUNTIF($A$1,"Mekanik / Teknik Sorumlusu")*($AI$1+AS8)
+COUNTIF($A$1,"Elektrik Sorumlusu")*($AI$2+AS8)
+COUNTIF($A$1,"Otomasyon Sistem Sorumlusu")*($AI$3+AS8)
+COUNTIF($A$1,"Bilgi İşlem Sorumlusu")*($AI$4+AS8)
+COUNTIF($A$1,"Bakım Onarım Sorumlusu")*($AI$5+AS8)
+COUNTIF($A$1,"İskeleler Sorumlusu")*($AI$6+AS8)
+COUNTIF($A$1,"Ambar ve Stok Kontrol Sorumlusu")*($AI$7+AS8)
+COUNTIF($A$1,"Akaryakıt Sorumlusu")*($AI$8+AS8)
+COUNTIF($A$1,"İnsan Kaynakları ve Eğitim Sorumlusu")*($AI$9+AS8)
+COUNTIF($A$1,"Muhasebe ve Finansman Sorumlusu")*($AI$10+AS8)
+COUNTIF($A$1,"İhale ve Satınalma Sorumlusu")*($AI$11+AS8)
+COUNTIF($A$1,"Halkla İlişkiler Sorumlusu")*($AI$12+AS8)
+COUNTIF($A$1,"Yazı İşleri Sorumlusu")*($AI$13+AS8)
+COUNTIF($A$1,"Gişeler Sorumlusu")*($AI$14+AS8)
+COUNTIF($A$1,"Temizlik / Güvenlik Sorumlusu")*($AI$15+AS8)
+COUNTIF($A$1,"İskele Sorumlusu")*($AI$16+AS8)
+COUNTIF($A$1,"1S-Atölye Personeli")*($AI$17+AS8)
+COUNTIF($A$1,"1S-Bilgi İşlem Büro Personeli")*($AI$18+AS8)
+COUNTIF($A$1,"1S-Şoför")*($AI$19+AS8)
+COUNTIF($A$1,"1S-Büro Personeli")*($AI$20+AS8)
+COUNTIF($A$1,"1S-Yönetim / Genel Müdür Sekreteri")*($AI$21+AS8)
+COUNTIF($A$1,"1S-İskele Personeli")*($AI$22+AS8)
+COUNTIF($A$1,"1S-Gişe Personeli")*($AI$23+AS8)
+COUNTIF($A$1,"1S-Çımacı / Palamarcı")*($AI$24+AS8)
+COUNTIF($A$1,"1S-Temizlik Personeli")*($AI$25+AS8)
+COUNTIF($A$1,"2S-Atölye Personeli")*($AI$26+AS8)
+COUNTIF($A$1,"2S-Bilgi İşlem Büro Personeli")*($AI$27+AS8)
+COUNTIF($A$1,"2S-Şoför")*($AI$28+AS8)
+COUNTIF($A$1,"2S-Büro Personeli")*($AI$29+AS8)
+COUNTIF($A$1,"2S-Yönetim / Genel Müdür Sekreteri")*($AI$30+AS8)
+COUNTIF($A$1,"2S-İskele Personeli")*($AI$31+AS8)
+COUNTIF($A$1,"2S-Gişe Personeli")*($AI$32+AS8)
+COUNTIF($A$1,"2S-Çımacı / Palamarcı")*($AI$33+AS8)
+COUNTIF($A$1,"2S-Temizlik Personeli")*($AI$34+AS8)</f>
        <v>252.6</v>
      </c>
      <c r="AU26" s="25">
        <f ca="1">(AT26*DK7)</f>
        <v>154.82106599999997</v>
      </c>
      <c r="AV26" s="41" t="s">
        <v>0</v>
      </c>
      <c r="AW26" s="40">
        <f>(AT26*AL26)</f>
        <v>7830.5999999999995</v>
      </c>
      <c r="AX26" s="25">
        <f>($AL$2*M15)</f>
        <v>0</v>
      </c>
      <c r="AY26" s="25">
        <f>($AL$5*M15)</f>
        <v>0</v>
      </c>
      <c r="AZ26" s="25">
        <f>($AP$5*N15)</f>
        <v>0</v>
      </c>
      <c r="BA26" s="25">
        <f ca="1">(AZ26+(AZ26*0.00759*-1)+((AZ26-BB26)*0.14*-1)+((AZ26-BB26)*0.01*-1)+(AZ26+((AZ26-BB26)*0.14*-1)+((AZ26-BB26)*0.01*-1))*DV15*-1)</f>
        <v>0</v>
      </c>
      <c r="BB26" s="25">
        <f>($AL$3*N15)</f>
        <v>0</v>
      </c>
      <c r="BC26" s="25">
        <f>($AL$6*N15)</f>
        <v>0</v>
      </c>
      <c r="BD26" s="44">
        <f>(K15+L15+M15+N15)</f>
        <v>0</v>
      </c>
      <c r="BE26" s="25">
        <f t="shared" ref="BE26:BF28" si="105">(BV1+BZ1+CD1+AZ26)</f>
        <v>0</v>
      </c>
      <c r="BF26" s="25">
        <f t="shared" ca="1" si="105"/>
        <v>0</v>
      </c>
      <c r="BG26" s="25">
        <f>IF(BX1+CB1+AX26+BB26&gt;=$AL$5*2,$AL$5*2,BX1+CB1+AX26+BB26)</f>
        <v>0</v>
      </c>
      <c r="BH26" s="25">
        <f>(BY1+CC1+AY26+BC26)</f>
        <v>0</v>
      </c>
      <c r="DM26" s="46" t="s">
        <v>0</v>
      </c>
      <c r="DN26" s="46" t="s">
        <v>0</v>
      </c>
      <c r="DO26" s="25">
        <f t="shared" ca="1" si="86"/>
        <v>-2158.9414000000002</v>
      </c>
      <c r="DP26" s="25">
        <f t="shared" ca="1" si="87"/>
        <v>-154.21009999999998</v>
      </c>
      <c r="DQ26" s="25">
        <f ca="1">(BL11+BH18+BW18+CR18+BN7+BR7)</f>
        <v>908.51</v>
      </c>
      <c r="DR26" s="25">
        <f t="shared" ca="1" si="88"/>
        <v>13216.958499999999</v>
      </c>
      <c r="DS26" s="25">
        <f ca="1">SUM($DR$15:DR26)</f>
        <v>116898.027</v>
      </c>
      <c r="DT26" s="29">
        <f t="shared" ca="1" si="54"/>
        <v>0.27</v>
      </c>
      <c r="DU26" s="33">
        <f t="shared" ca="1" si="69"/>
        <v>0</v>
      </c>
      <c r="DV26" s="28">
        <f t="shared" ca="1" si="55"/>
        <v>0.27</v>
      </c>
      <c r="DW26" s="25">
        <f t="shared" ca="1" si="71"/>
        <v>-3568.58</v>
      </c>
      <c r="DX26" s="24">
        <v>24</v>
      </c>
      <c r="DY26" s="35">
        <v>12</v>
      </c>
      <c r="DZ26" s="36">
        <v>0.26</v>
      </c>
      <c r="EA26" s="49"/>
    </row>
    <row r="27" spans="1:131" ht="39.950000000000003" customHeight="1" x14ac:dyDescent="0.25">
      <c r="A27" s="69" t="s">
        <v>53</v>
      </c>
      <c r="B27" s="69"/>
      <c r="C27" s="7" t="s">
        <v>0</v>
      </c>
      <c r="D27" s="14">
        <f t="shared" ref="D27:I27" si="106">(D15+D16+D17+D18+D19+D20+D21+D22+D23+D24+D25+D26)</f>
        <v>0</v>
      </c>
      <c r="E27" s="14">
        <f t="shared" si="106"/>
        <v>0</v>
      </c>
      <c r="F27" s="14">
        <f t="shared" si="106"/>
        <v>0</v>
      </c>
      <c r="G27" s="11">
        <f t="shared" si="106"/>
        <v>312</v>
      </c>
      <c r="H27" s="11">
        <f t="shared" si="106"/>
        <v>1248</v>
      </c>
      <c r="I27" s="11">
        <f t="shared" si="106"/>
        <v>0</v>
      </c>
      <c r="J27" s="8" t="s">
        <v>0</v>
      </c>
      <c r="K27" s="7" t="s">
        <v>0</v>
      </c>
      <c r="L27" s="7" t="s">
        <v>0</v>
      </c>
      <c r="M27" s="7" t="s">
        <v>0</v>
      </c>
      <c r="N27" s="7" t="s">
        <v>0</v>
      </c>
      <c r="O27" s="7" t="s">
        <v>0</v>
      </c>
      <c r="P27" s="7" t="s">
        <v>0</v>
      </c>
      <c r="Q27" s="7" t="s">
        <v>0</v>
      </c>
      <c r="R27" s="1" t="s">
        <v>0</v>
      </c>
      <c r="S27" s="9">
        <f t="shared" ref="S27" ca="1" si="107">(S15+S16+S17+S18+S19+S20+S21+S22+S23+S24+S25+S26)</f>
        <v>91346.822796087334</v>
      </c>
      <c r="T27" s="9">
        <f t="shared" ref="T27" ca="1" si="108">(T15+T16+T17+T18+T19+T20+T21+T22+T23+T24+T25+T26)</f>
        <v>10054.279827512655</v>
      </c>
      <c r="U27" s="10">
        <f t="shared" ref="U27" ca="1" si="109">(U15+U16+U17+U18+U19+U20+U21+U22+U23+U24+U25+U26)</f>
        <v>101401.1026236</v>
      </c>
      <c r="V27" s="15" t="s">
        <v>0</v>
      </c>
      <c r="W27" s="16" t="s">
        <v>0</v>
      </c>
      <c r="X27" s="16" t="s">
        <v>0</v>
      </c>
      <c r="Y27" s="64"/>
      <c r="Z27" s="68"/>
      <c r="AA27" s="18" t="s">
        <v>0</v>
      </c>
      <c r="AB27" s="20" t="s">
        <v>0</v>
      </c>
      <c r="AC27" s="56"/>
      <c r="AD27" s="58"/>
      <c r="AE27" s="60"/>
      <c r="AF27" s="59"/>
      <c r="AG27" s="34" t="s">
        <v>102</v>
      </c>
      <c r="AH27" s="32">
        <v>191.93</v>
      </c>
      <c r="AI27" s="22">
        <v>226.5</v>
      </c>
      <c r="AJ27" s="41" t="s">
        <v>0</v>
      </c>
      <c r="AK27" s="41" t="s">
        <v>0</v>
      </c>
      <c r="AL27" s="27">
        <f>(AQ15+AQ16+AQ17+AQ18+AQ19+AQ20+AQ21+AL11+AL12+AL13+AL14+AL26)</f>
        <v>365</v>
      </c>
      <c r="AM27" s="27">
        <f>(AR15+AR16+AR17+AR18+AR19+AR20+AR21+AM11+AM12+AM13+AM14+AM26)</f>
        <v>313</v>
      </c>
      <c r="AN27" s="27">
        <f>(AS15+AS16+AS17+AS18+AS19+AS20+AS21+AN11+AN12+AN13+AN14+AN26)</f>
        <v>52</v>
      </c>
      <c r="AO27" s="41" t="s">
        <v>0</v>
      </c>
      <c r="AP27" s="25">
        <f t="shared" ref="AP27:AU27" si="110">(AU15+AU16+AU17+AU18+AU19+AU20+AU21+AP11+AP12+AP13+AP14+AP26)</f>
        <v>2799.72</v>
      </c>
      <c r="AQ27" s="25">
        <f t="shared" ca="1" si="110"/>
        <v>1849.7468396816976</v>
      </c>
      <c r="AR27" s="25">
        <f t="shared" si="110"/>
        <v>2799.72</v>
      </c>
      <c r="AS27" s="25">
        <f t="shared" ca="1" si="110"/>
        <v>2203.9825563483637</v>
      </c>
      <c r="AT27" s="25">
        <f t="shared" si="110"/>
        <v>2799.72</v>
      </c>
      <c r="AU27" s="25">
        <f t="shared" ca="1" si="110"/>
        <v>1849.7468396816976</v>
      </c>
      <c r="AV27" s="41" t="s">
        <v>0</v>
      </c>
      <c r="AW27" s="25">
        <f>(AJ15+AJ16+AJ17+AJ18+AJ19+AJ20+AJ21+AW11+AW12+AW13+AW14+AW26)</f>
        <v>85216.02</v>
      </c>
      <c r="AX27" s="25">
        <f>($AL$2*M16)</f>
        <v>0</v>
      </c>
      <c r="AY27" s="25">
        <f>($AL$5*M16)</f>
        <v>0</v>
      </c>
      <c r="AZ27" s="25">
        <f>($AP$5*N16)</f>
        <v>0</v>
      </c>
      <c r="BA27" s="25">
        <f ca="1">(AZ27+(AZ27*0.00759*-1)+((AZ27-BB27)*0.14*-1)+((AZ27-BB27)*0.01*-1)+(AZ27+((AZ27-BB27)*0.14*-1)+((AZ27-BB27)*0.01*-1))*DV16*-1)</f>
        <v>0</v>
      </c>
      <c r="BB27" s="25">
        <f>($AL$3*N16)</f>
        <v>0</v>
      </c>
      <c r="BC27" s="25">
        <f>($AL$6*N16)</f>
        <v>0</v>
      </c>
      <c r="BD27" s="44">
        <f>(K16+L16+M16+N16)</f>
        <v>0</v>
      </c>
      <c r="BE27" s="25">
        <f t="shared" si="105"/>
        <v>0</v>
      </c>
      <c r="BF27" s="25">
        <f t="shared" ca="1" si="105"/>
        <v>0</v>
      </c>
      <c r="BG27" s="25">
        <f>IF(BX2+CB2+AX27+BB27&gt;=$AL$5*2,$AL$5*2,BX2+CB2+AX27+BB27)</f>
        <v>0</v>
      </c>
      <c r="BH27" s="25">
        <f>(BY2+CC2+AY27+BC27)</f>
        <v>0</v>
      </c>
      <c r="DM27" s="46" t="s">
        <v>0</v>
      </c>
      <c r="DN27" s="46" t="s">
        <v>0</v>
      </c>
      <c r="DO27" s="25">
        <f t="shared" ref="DO27" ca="1" si="111">(DO15+DO16+DO17+DO18+DO19+DO20+DO21+DO22+DO23+DO24+DO25+DO26)</f>
        <v>-19079.13</v>
      </c>
      <c r="DP27" s="25">
        <f t="shared" ref="DP27" ca="1" si="112">(DP15+DP16+DP17+DP18+DP19+DP20+DP21+DP22+DP23+DP24+DP25+DP26)</f>
        <v>-1362.7950000000003</v>
      </c>
      <c r="DQ27" s="25">
        <f t="shared" ref="DQ27" ca="1" si="113">(DQ15+DQ16+DQ17+DQ18+DQ19+DQ20+DQ21+DQ22+DQ23+DQ24+DQ25+DQ26)</f>
        <v>9562.0080000000016</v>
      </c>
      <c r="DR27" s="25">
        <f t="shared" ref="DR27" ca="1" si="114">(DR15+DR16+DR17+DR18+DR19+DR20+DR21+DR22+DR23+DR24+DR25+DR26)</f>
        <v>116898.027</v>
      </c>
      <c r="DS27" s="41" t="s">
        <v>0</v>
      </c>
      <c r="DT27" s="24" t="s">
        <v>0</v>
      </c>
      <c r="DU27" s="24" t="s">
        <v>0</v>
      </c>
      <c r="DV27" s="24" t="s">
        <v>0</v>
      </c>
      <c r="DW27" s="25">
        <f t="shared" ref="DW27" ca="1" si="115">(DW15+DW16+DW17+DW18+DW19+DW20+DW21+DW22+DW23+DW24+DW25+DW26)</f>
        <v>-25062.47</v>
      </c>
      <c r="DX27" s="24">
        <v>25</v>
      </c>
      <c r="DY27" s="35">
        <v>12.5</v>
      </c>
      <c r="DZ27" s="36">
        <v>0.27</v>
      </c>
      <c r="EA27" s="49"/>
    </row>
    <row r="28" spans="1:131" ht="39.950000000000003" customHeight="1" x14ac:dyDescent="0.25">
      <c r="A28" s="69" t="s">
        <v>54</v>
      </c>
      <c r="B28" s="69"/>
      <c r="C28" s="7" t="s">
        <v>0</v>
      </c>
      <c r="D28" s="11" t="s">
        <v>0</v>
      </c>
      <c r="E28" s="7" t="s">
        <v>0</v>
      </c>
      <c r="F28" s="7" t="s">
        <v>0</v>
      </c>
      <c r="G28" s="7" t="s">
        <v>0</v>
      </c>
      <c r="H28" s="7" t="s">
        <v>0</v>
      </c>
      <c r="I28" s="7" t="s">
        <v>0</v>
      </c>
      <c r="J28" s="8" t="s">
        <v>0</v>
      </c>
      <c r="K28" s="7" t="s">
        <v>0</v>
      </c>
      <c r="L28" s="7" t="s">
        <v>0</v>
      </c>
      <c r="M28" s="7" t="s">
        <v>0</v>
      </c>
      <c r="N28" s="7" t="s">
        <v>0</v>
      </c>
      <c r="O28" s="7" t="s">
        <v>0</v>
      </c>
      <c r="P28" s="7" t="s">
        <v>0</v>
      </c>
      <c r="Q28" s="7" t="s">
        <v>0</v>
      </c>
      <c r="R28" s="7" t="s">
        <v>0</v>
      </c>
      <c r="S28" s="9">
        <f ca="1">(S27/12)</f>
        <v>7612.2352330072781</v>
      </c>
      <c r="T28" s="9">
        <f ca="1">(T27/12)</f>
        <v>837.85665229272126</v>
      </c>
      <c r="U28" s="10">
        <f ca="1">(U27/12)</f>
        <v>8450.0918853000003</v>
      </c>
      <c r="V28" s="15" t="s">
        <v>0</v>
      </c>
      <c r="W28" s="16" t="s">
        <v>0</v>
      </c>
      <c r="X28" s="16" t="s">
        <v>0</v>
      </c>
      <c r="Y28" s="64"/>
      <c r="Z28" s="68"/>
      <c r="AA28" s="18" t="s">
        <v>0</v>
      </c>
      <c r="AB28" s="20" t="s">
        <v>0</v>
      </c>
      <c r="AC28" s="56"/>
      <c r="AD28" s="65"/>
      <c r="AE28" s="66"/>
      <c r="AF28" s="67"/>
      <c r="AG28" s="34" t="s">
        <v>103</v>
      </c>
      <c r="AH28" s="32">
        <v>191.93</v>
      </c>
      <c r="AI28" s="22">
        <v>226.5</v>
      </c>
      <c r="AJ28" s="41" t="s">
        <v>0</v>
      </c>
      <c r="AK28" s="41" t="s">
        <v>0</v>
      </c>
      <c r="AL28" s="41" t="s">
        <v>0</v>
      </c>
      <c r="AM28" s="41" t="s">
        <v>0</v>
      </c>
      <c r="AN28" s="41" t="s">
        <v>0</v>
      </c>
      <c r="AO28" s="41" t="s">
        <v>0</v>
      </c>
      <c r="AP28" s="25">
        <f>(AP27/12)</f>
        <v>233.30999999999997</v>
      </c>
      <c r="AQ28" s="25">
        <f t="shared" ref="AQ28:AU28" ca="1" si="116">(AQ27/12)</f>
        <v>154.14556997347481</v>
      </c>
      <c r="AR28" s="25">
        <f t="shared" si="116"/>
        <v>233.30999999999997</v>
      </c>
      <c r="AS28" s="25">
        <f t="shared" ca="1" si="116"/>
        <v>183.6652130290303</v>
      </c>
      <c r="AT28" s="25">
        <f t="shared" si="116"/>
        <v>233.30999999999997</v>
      </c>
      <c r="AU28" s="25">
        <f t="shared" ca="1" si="116"/>
        <v>154.14556997347481</v>
      </c>
      <c r="AV28" s="41" t="s">
        <v>0</v>
      </c>
      <c r="AW28" s="25">
        <f>(AW27/12)</f>
        <v>7101.335</v>
      </c>
      <c r="AX28" s="25">
        <f>($AL$2*M17)</f>
        <v>0</v>
      </c>
      <c r="AY28" s="25">
        <f>($AL$5*M17)</f>
        <v>0</v>
      </c>
      <c r="AZ28" s="25">
        <f>($AP$5*N17)</f>
        <v>0</v>
      </c>
      <c r="BA28" s="25">
        <f ca="1">(AZ28+(AZ28*0.00759*-1)+((AZ28-BB28)*0.14*-1)+((AZ28-BB28)*0.01*-1)+(AZ28+((AZ28-BB28)*0.14*-1)+((AZ28-BB28)*0.01*-1))*DV17*-1)</f>
        <v>0</v>
      </c>
      <c r="BB28" s="25">
        <f>($AL$3*N17)</f>
        <v>0</v>
      </c>
      <c r="BC28" s="25">
        <f>($AL$6*N17)</f>
        <v>0</v>
      </c>
      <c r="BD28" s="44">
        <f>(K17+L17+M17+N17)</f>
        <v>0</v>
      </c>
      <c r="BE28" s="25">
        <f t="shared" si="105"/>
        <v>0</v>
      </c>
      <c r="BF28" s="25">
        <f t="shared" ca="1" si="105"/>
        <v>0</v>
      </c>
      <c r="BG28" s="25">
        <f>IF(BX3+CB3+AX28+BB28&gt;=$AL$5*2,$AL$5*2,BX3+CB3+AX28+BB28)</f>
        <v>0</v>
      </c>
      <c r="BH28" s="25">
        <f>(BY3+CC3+AY28+BC28)</f>
        <v>0</v>
      </c>
      <c r="DM28" s="46" t="s">
        <v>0</v>
      </c>
      <c r="DN28" s="46" t="s">
        <v>0</v>
      </c>
      <c r="DO28" s="25">
        <f t="shared" ref="DO28" ca="1" si="117">(DO27/12)</f>
        <v>-1589.9275</v>
      </c>
      <c r="DP28" s="25">
        <f t="shared" ref="DP28" ca="1" si="118">(DP27/12)</f>
        <v>-113.56625000000003</v>
      </c>
      <c r="DQ28" s="25">
        <f t="shared" ref="DQ28" ca="1" si="119">(DQ27/12)</f>
        <v>796.83400000000017</v>
      </c>
      <c r="DR28" s="25">
        <f t="shared" ref="DR28" ca="1" si="120">(DR27/12)</f>
        <v>9741.5022499999995</v>
      </c>
      <c r="DS28" s="41" t="s">
        <v>0</v>
      </c>
      <c r="DT28" s="41" t="s">
        <v>0</v>
      </c>
      <c r="DU28" s="41" t="s">
        <v>0</v>
      </c>
      <c r="DV28" s="41" t="s">
        <v>0</v>
      </c>
      <c r="DW28" s="25">
        <f t="shared" ref="DW28" ca="1" si="121">(DW27/12)</f>
        <v>-2088.5391666666669</v>
      </c>
      <c r="DX28" s="24">
        <v>26</v>
      </c>
      <c r="DY28" s="35">
        <v>13</v>
      </c>
      <c r="DZ28" s="36">
        <v>0.28000000000000003</v>
      </c>
      <c r="EA28" s="50"/>
    </row>
    <row r="29" spans="1:131" ht="39.950000000000003" hidden="1" customHeight="1" x14ac:dyDescent="0.25">
      <c r="AG29" s="34" t="s">
        <v>104</v>
      </c>
      <c r="AH29" s="32">
        <v>186.41</v>
      </c>
      <c r="AI29" s="22">
        <v>219.42</v>
      </c>
      <c r="DM29" s="30"/>
      <c r="DN29" s="30"/>
      <c r="DX29" s="24">
        <v>27</v>
      </c>
      <c r="DY29" s="35">
        <v>13.5</v>
      </c>
      <c r="DZ29" s="36">
        <v>0.28999999999999998</v>
      </c>
    </row>
    <row r="30" spans="1:131" ht="39.950000000000003" hidden="1" customHeight="1" x14ac:dyDescent="0.25">
      <c r="AG30" s="34" t="s">
        <v>105</v>
      </c>
      <c r="AH30" s="32">
        <v>186.41</v>
      </c>
      <c r="AI30" s="22">
        <v>219.42</v>
      </c>
      <c r="DM30" s="30"/>
      <c r="DN30" s="30"/>
      <c r="DX30" s="24">
        <v>28</v>
      </c>
      <c r="DY30" s="35">
        <v>14</v>
      </c>
      <c r="DZ30" s="36">
        <v>0.3</v>
      </c>
    </row>
    <row r="31" spans="1:131" ht="39.950000000000003" hidden="1" customHeight="1" x14ac:dyDescent="0.25">
      <c r="AG31" s="34" t="s">
        <v>106</v>
      </c>
      <c r="AH31" s="32">
        <v>186.41</v>
      </c>
      <c r="AI31" s="22">
        <v>219.9</v>
      </c>
      <c r="DM31" s="30"/>
      <c r="DN31" s="30"/>
      <c r="DX31" s="24">
        <v>29</v>
      </c>
      <c r="DY31" s="35">
        <v>14.5</v>
      </c>
      <c r="DZ31" s="36">
        <v>0.31</v>
      </c>
    </row>
    <row r="32" spans="1:131" ht="39.950000000000003" hidden="1" customHeight="1" x14ac:dyDescent="0.25">
      <c r="AG32" s="34" t="s">
        <v>107</v>
      </c>
      <c r="AH32" s="32">
        <v>186.41</v>
      </c>
      <c r="AI32" s="22">
        <v>219.9</v>
      </c>
      <c r="DM32" s="30"/>
      <c r="DN32" s="30"/>
      <c r="DX32" s="24">
        <v>30</v>
      </c>
      <c r="DY32" s="35">
        <v>15</v>
      </c>
      <c r="DZ32" s="36">
        <v>0.32</v>
      </c>
    </row>
    <row r="33" spans="33:130" ht="39.950000000000003" hidden="1" customHeight="1" x14ac:dyDescent="0.25">
      <c r="AG33" s="34" t="s">
        <v>108</v>
      </c>
      <c r="AH33" s="32">
        <v>182.27</v>
      </c>
      <c r="AI33" s="22">
        <v>215.7</v>
      </c>
      <c r="DM33" s="30"/>
      <c r="DN33" s="30"/>
      <c r="DX33" s="24">
        <v>31</v>
      </c>
      <c r="DY33" s="35">
        <v>15.5</v>
      </c>
      <c r="DZ33" s="36">
        <v>0.33</v>
      </c>
    </row>
    <row r="34" spans="33:130" ht="39.950000000000003" hidden="1" customHeight="1" x14ac:dyDescent="0.25">
      <c r="AG34" s="34" t="s">
        <v>109</v>
      </c>
      <c r="AH34" s="32">
        <v>182.27</v>
      </c>
      <c r="AI34" s="22">
        <v>215.7</v>
      </c>
      <c r="DM34" s="30"/>
      <c r="DN34" s="30"/>
      <c r="DX34" s="24">
        <v>32</v>
      </c>
      <c r="DY34" s="35">
        <v>16</v>
      </c>
      <c r="DZ34" s="36">
        <v>0.34</v>
      </c>
    </row>
    <row r="35" spans="33:130" ht="39.950000000000003" hidden="1" customHeight="1" x14ac:dyDescent="0.25">
      <c r="DX35" s="24">
        <v>33</v>
      </c>
      <c r="DY35" s="35">
        <v>16.5</v>
      </c>
      <c r="DZ35" s="36">
        <v>0.35</v>
      </c>
    </row>
    <row r="36" spans="33:130" ht="39.950000000000003" hidden="1" customHeight="1" x14ac:dyDescent="0.25">
      <c r="DX36" s="24">
        <v>34</v>
      </c>
      <c r="DY36" s="35">
        <v>17</v>
      </c>
      <c r="DZ36" s="36">
        <v>0.36</v>
      </c>
    </row>
    <row r="37" spans="33:130" ht="39.950000000000003" hidden="1" customHeight="1" x14ac:dyDescent="0.25">
      <c r="DX37" s="24">
        <v>35</v>
      </c>
      <c r="DY37" s="35">
        <v>17.5</v>
      </c>
      <c r="DZ37" s="36">
        <v>0.37</v>
      </c>
    </row>
    <row r="38" spans="33:130" ht="39.950000000000003" hidden="1" customHeight="1" x14ac:dyDescent="0.25">
      <c r="DX38" s="24">
        <v>36</v>
      </c>
      <c r="DY38" s="35">
        <v>18</v>
      </c>
      <c r="DZ38" s="36">
        <v>0.38</v>
      </c>
    </row>
    <row r="39" spans="33:130" ht="39.950000000000003" hidden="1" customHeight="1" x14ac:dyDescent="0.25">
      <c r="DX39" s="24">
        <v>37</v>
      </c>
      <c r="DY39" s="35">
        <v>18.5</v>
      </c>
      <c r="DZ39" s="36">
        <v>0.39</v>
      </c>
    </row>
    <row r="40" spans="33:130" ht="39.950000000000003" hidden="1" customHeight="1" x14ac:dyDescent="0.25">
      <c r="DX40" s="24">
        <v>38</v>
      </c>
      <c r="DY40" s="35">
        <v>19</v>
      </c>
      <c r="DZ40" s="36">
        <v>0.4</v>
      </c>
    </row>
    <row r="41" spans="33:130" ht="39.950000000000003" hidden="1" customHeight="1" x14ac:dyDescent="0.25">
      <c r="DX41" s="24">
        <v>39</v>
      </c>
      <c r="DY41" s="35">
        <v>19.5</v>
      </c>
      <c r="DZ41" s="36">
        <v>0.41</v>
      </c>
    </row>
    <row r="42" spans="33:130" ht="39.950000000000003" hidden="1" customHeight="1" x14ac:dyDescent="0.25">
      <c r="DX42" s="24">
        <v>40</v>
      </c>
      <c r="DY42" s="35">
        <v>20</v>
      </c>
      <c r="DZ42" s="36">
        <v>0.42</v>
      </c>
    </row>
    <row r="43" spans="33:130" ht="39.950000000000003" hidden="1" customHeight="1" x14ac:dyDescent="0.25">
      <c r="DX43" s="24">
        <v>41</v>
      </c>
      <c r="DY43" s="35">
        <v>20.5</v>
      </c>
      <c r="DZ43" s="36">
        <v>0.43</v>
      </c>
    </row>
    <row r="44" spans="33:130" ht="39.950000000000003" hidden="1" customHeight="1" x14ac:dyDescent="0.25">
      <c r="DX44" s="24">
        <v>42</v>
      </c>
      <c r="DY44" s="35">
        <v>21</v>
      </c>
      <c r="DZ44" s="36">
        <v>0.44</v>
      </c>
    </row>
    <row r="45" spans="33:130" ht="39.950000000000003" hidden="1" customHeight="1" x14ac:dyDescent="0.25">
      <c r="DX45" s="24">
        <v>43</v>
      </c>
      <c r="DY45" s="35">
        <v>21.5</v>
      </c>
      <c r="DZ45" s="36">
        <v>0.45</v>
      </c>
    </row>
    <row r="46" spans="33:130" ht="39.950000000000003" hidden="1" customHeight="1" x14ac:dyDescent="0.25">
      <c r="DX46" s="24">
        <v>44</v>
      </c>
      <c r="DY46" s="35">
        <v>22</v>
      </c>
      <c r="DZ46" s="36">
        <v>0.46</v>
      </c>
    </row>
    <row r="47" spans="33:130" ht="39.950000000000003" hidden="1" customHeight="1" x14ac:dyDescent="0.25">
      <c r="DX47" s="24">
        <v>45</v>
      </c>
      <c r="DY47" s="35">
        <v>22.5</v>
      </c>
      <c r="DZ47" s="36">
        <v>0.47</v>
      </c>
    </row>
    <row r="48" spans="33:130" ht="39.950000000000003" hidden="1" customHeight="1" x14ac:dyDescent="0.25">
      <c r="DX48" s="24">
        <v>46</v>
      </c>
      <c r="DY48" s="35">
        <v>23</v>
      </c>
      <c r="DZ48" s="36">
        <v>0.48</v>
      </c>
    </row>
    <row r="49" spans="128:130" ht="39.950000000000003" hidden="1" customHeight="1" x14ac:dyDescent="0.25">
      <c r="DX49" s="24">
        <v>47</v>
      </c>
      <c r="DY49" s="35">
        <v>23.5</v>
      </c>
      <c r="DZ49" s="36">
        <v>0.49</v>
      </c>
    </row>
    <row r="50" spans="128:130" ht="39.950000000000003" hidden="1" customHeight="1" x14ac:dyDescent="0.25">
      <c r="DX50" s="24">
        <v>48</v>
      </c>
      <c r="DY50" s="35">
        <v>24</v>
      </c>
      <c r="DZ50" s="36">
        <v>0.5</v>
      </c>
    </row>
    <row r="51" spans="128:130" ht="39.950000000000003" hidden="1" customHeight="1" x14ac:dyDescent="0.25">
      <c r="DX51" s="24">
        <v>49</v>
      </c>
      <c r="DY51" s="35">
        <v>24.5</v>
      </c>
      <c r="DZ51" s="47" t="s">
        <v>0</v>
      </c>
    </row>
    <row r="52" spans="128:130" ht="39.950000000000003" hidden="1" customHeight="1" x14ac:dyDescent="0.25">
      <c r="DX52" s="24">
        <v>50</v>
      </c>
      <c r="DY52" s="35">
        <v>25</v>
      </c>
      <c r="DZ52" s="47" t="s">
        <v>0</v>
      </c>
    </row>
    <row r="53" spans="128:130" ht="39.950000000000003" hidden="1" customHeight="1" x14ac:dyDescent="0.25">
      <c r="DX53" s="24">
        <v>51</v>
      </c>
      <c r="DY53" s="35">
        <v>25.5</v>
      </c>
      <c r="DZ53" s="47" t="s">
        <v>0</v>
      </c>
    </row>
    <row r="54" spans="128:130" ht="39.950000000000003" hidden="1" customHeight="1" x14ac:dyDescent="0.25">
      <c r="DX54" s="24">
        <v>52</v>
      </c>
      <c r="DY54" s="35">
        <v>26</v>
      </c>
      <c r="DZ54" s="47" t="s">
        <v>0</v>
      </c>
    </row>
    <row r="55" spans="128:130" ht="39.950000000000003" hidden="1" customHeight="1" x14ac:dyDescent="0.25">
      <c r="DX55" s="24">
        <v>53</v>
      </c>
      <c r="DY55" s="35">
        <v>26.5</v>
      </c>
      <c r="DZ55" s="47" t="s">
        <v>0</v>
      </c>
    </row>
    <row r="56" spans="128:130" ht="39.950000000000003" hidden="1" customHeight="1" x14ac:dyDescent="0.25">
      <c r="DX56" s="24">
        <v>54</v>
      </c>
      <c r="DY56" s="35">
        <v>27</v>
      </c>
      <c r="DZ56" s="47" t="s">
        <v>0</v>
      </c>
    </row>
    <row r="57" spans="128:130" ht="39.950000000000003" hidden="1" customHeight="1" x14ac:dyDescent="0.25">
      <c r="DX57" s="24">
        <v>55</v>
      </c>
      <c r="DY57" s="35">
        <v>27.5</v>
      </c>
      <c r="DZ57" s="47" t="s">
        <v>0</v>
      </c>
    </row>
    <row r="58" spans="128:130" ht="39.950000000000003" hidden="1" customHeight="1" x14ac:dyDescent="0.25">
      <c r="DX58" s="24">
        <v>56</v>
      </c>
      <c r="DY58" s="35">
        <v>28</v>
      </c>
      <c r="DZ58" s="47" t="s">
        <v>0</v>
      </c>
    </row>
    <row r="59" spans="128:130" ht="39.950000000000003" hidden="1" customHeight="1" x14ac:dyDescent="0.25">
      <c r="DX59" s="24">
        <v>57</v>
      </c>
      <c r="DY59" s="35">
        <v>28.5</v>
      </c>
      <c r="DZ59" s="47" t="s">
        <v>0</v>
      </c>
    </row>
    <row r="60" spans="128:130" ht="39.950000000000003" hidden="1" customHeight="1" x14ac:dyDescent="0.25">
      <c r="DX60" s="24">
        <v>58</v>
      </c>
      <c r="DY60" s="35">
        <v>29</v>
      </c>
      <c r="DZ60" s="47" t="s">
        <v>0</v>
      </c>
    </row>
    <row r="61" spans="128:130" ht="39.950000000000003" hidden="1" customHeight="1" x14ac:dyDescent="0.25">
      <c r="DX61" s="24">
        <v>59</v>
      </c>
      <c r="DY61" s="35">
        <v>29.5</v>
      </c>
      <c r="DZ61" s="47" t="s">
        <v>0</v>
      </c>
    </row>
    <row r="62" spans="128:130" ht="39.950000000000003" hidden="1" customHeight="1" x14ac:dyDescent="0.25">
      <c r="DX62" s="24">
        <v>60</v>
      </c>
      <c r="DY62" s="35">
        <v>30</v>
      </c>
      <c r="DZ62" s="47" t="s">
        <v>0</v>
      </c>
    </row>
    <row r="63" spans="128:130" ht="39.950000000000003" hidden="1" customHeight="1" x14ac:dyDescent="0.25">
      <c r="DX63" s="24">
        <v>61</v>
      </c>
      <c r="DY63" s="35">
        <v>30.5</v>
      </c>
      <c r="DZ63" s="47" t="s">
        <v>0</v>
      </c>
    </row>
    <row r="64" spans="128:130" ht="39.950000000000003" hidden="1" customHeight="1" x14ac:dyDescent="0.25">
      <c r="DX64" s="24">
        <v>62</v>
      </c>
      <c r="DY64" s="35">
        <v>31</v>
      </c>
      <c r="DZ64" s="47" t="s">
        <v>0</v>
      </c>
    </row>
    <row r="65" spans="128:130" ht="39.950000000000003" hidden="1" customHeight="1" x14ac:dyDescent="0.25">
      <c r="DX65" s="24">
        <v>63</v>
      </c>
      <c r="DY65" s="35">
        <v>31.5</v>
      </c>
      <c r="DZ65" s="47" t="s">
        <v>0</v>
      </c>
    </row>
    <row r="66" spans="128:130" ht="39.950000000000003" hidden="1" customHeight="1" x14ac:dyDescent="0.25">
      <c r="DX66" s="24">
        <v>64</v>
      </c>
      <c r="DY66" s="35">
        <v>32</v>
      </c>
      <c r="DZ66" s="47" t="s">
        <v>0</v>
      </c>
    </row>
    <row r="67" spans="128:130" ht="39.950000000000003" hidden="1" customHeight="1" x14ac:dyDescent="0.25">
      <c r="DX67" s="24">
        <v>65</v>
      </c>
      <c r="DY67" s="35">
        <v>32.5</v>
      </c>
      <c r="DZ67" s="47" t="s">
        <v>0</v>
      </c>
    </row>
    <row r="68" spans="128:130" ht="39.950000000000003" hidden="1" customHeight="1" x14ac:dyDescent="0.25">
      <c r="DX68" s="24">
        <v>66</v>
      </c>
      <c r="DY68" s="35">
        <v>33</v>
      </c>
      <c r="DZ68" s="47" t="s">
        <v>0</v>
      </c>
    </row>
    <row r="69" spans="128:130" ht="39.950000000000003" hidden="1" customHeight="1" x14ac:dyDescent="0.25">
      <c r="DX69" s="24">
        <v>67</v>
      </c>
      <c r="DY69" s="35">
        <v>33.5</v>
      </c>
      <c r="DZ69" s="47" t="s">
        <v>0</v>
      </c>
    </row>
    <row r="70" spans="128:130" ht="39.950000000000003" hidden="1" customHeight="1" x14ac:dyDescent="0.25">
      <c r="DX70" s="24">
        <v>68</v>
      </c>
      <c r="DY70" s="35">
        <v>34</v>
      </c>
      <c r="DZ70" s="47" t="s">
        <v>0</v>
      </c>
    </row>
    <row r="71" spans="128:130" ht="39.950000000000003" hidden="1" customHeight="1" x14ac:dyDescent="0.25">
      <c r="DX71" s="24">
        <v>69</v>
      </c>
      <c r="DY71" s="35">
        <v>34.5</v>
      </c>
      <c r="DZ71" s="47" t="s">
        <v>0</v>
      </c>
    </row>
    <row r="72" spans="128:130" ht="39.950000000000003" hidden="1" customHeight="1" x14ac:dyDescent="0.25">
      <c r="DX72" s="24">
        <v>70</v>
      </c>
      <c r="DY72" s="35">
        <v>35</v>
      </c>
      <c r="DZ72" s="47" t="s">
        <v>0</v>
      </c>
    </row>
    <row r="73" spans="128:130" ht="39.950000000000003" hidden="1" customHeight="1" x14ac:dyDescent="0.25">
      <c r="DX73" s="24">
        <v>71</v>
      </c>
      <c r="DY73" s="35">
        <v>35.5</v>
      </c>
      <c r="DZ73" s="47" t="s">
        <v>0</v>
      </c>
    </row>
    <row r="74" spans="128:130" ht="39.950000000000003" hidden="1" customHeight="1" x14ac:dyDescent="0.25">
      <c r="DX74" s="24">
        <v>72</v>
      </c>
      <c r="DY74" s="35">
        <v>36</v>
      </c>
      <c r="DZ74" s="47" t="s">
        <v>0</v>
      </c>
    </row>
    <row r="75" spans="128:130" ht="39.950000000000003" hidden="1" customHeight="1" x14ac:dyDescent="0.25">
      <c r="DX75" s="24">
        <v>73</v>
      </c>
      <c r="DY75" s="35">
        <v>36.5</v>
      </c>
      <c r="DZ75" s="47" t="s">
        <v>0</v>
      </c>
    </row>
    <row r="76" spans="128:130" ht="39.950000000000003" hidden="1" customHeight="1" x14ac:dyDescent="0.25">
      <c r="DX76" s="24">
        <v>74</v>
      </c>
      <c r="DY76" s="35">
        <v>37</v>
      </c>
      <c r="DZ76" s="47" t="s">
        <v>0</v>
      </c>
    </row>
    <row r="77" spans="128:130" ht="39.950000000000003" hidden="1" customHeight="1" x14ac:dyDescent="0.25">
      <c r="DX77" s="24">
        <v>75</v>
      </c>
      <c r="DY77" s="35">
        <v>37.5</v>
      </c>
      <c r="DZ77" s="47" t="s">
        <v>0</v>
      </c>
    </row>
    <row r="78" spans="128:130" ht="39.950000000000003" hidden="1" customHeight="1" x14ac:dyDescent="0.25">
      <c r="DX78" s="24">
        <v>76</v>
      </c>
      <c r="DY78" s="35">
        <v>38</v>
      </c>
      <c r="DZ78" s="47" t="s">
        <v>0</v>
      </c>
    </row>
    <row r="79" spans="128:130" ht="39.950000000000003" hidden="1" customHeight="1" x14ac:dyDescent="0.25">
      <c r="DX79" s="24">
        <v>77</v>
      </c>
      <c r="DY79" s="35">
        <v>38.5</v>
      </c>
      <c r="DZ79" s="47" t="s">
        <v>0</v>
      </c>
    </row>
    <row r="80" spans="128:130" ht="39.950000000000003" hidden="1" customHeight="1" x14ac:dyDescent="0.25">
      <c r="DX80" s="24">
        <v>78</v>
      </c>
      <c r="DY80" s="35">
        <v>39</v>
      </c>
      <c r="DZ80" s="47" t="s">
        <v>0</v>
      </c>
    </row>
    <row r="81" spans="128:130" ht="39.950000000000003" hidden="1" customHeight="1" x14ac:dyDescent="0.25">
      <c r="DX81" s="24">
        <v>79</v>
      </c>
      <c r="DY81" s="35">
        <v>39.5</v>
      </c>
      <c r="DZ81" s="47" t="s">
        <v>0</v>
      </c>
    </row>
    <row r="82" spans="128:130" ht="39.950000000000003" hidden="1" customHeight="1" x14ac:dyDescent="0.25">
      <c r="DX82" s="24">
        <v>80</v>
      </c>
      <c r="DY82" s="35">
        <v>40</v>
      </c>
      <c r="DZ82" s="47" t="s">
        <v>0</v>
      </c>
    </row>
    <row r="83" spans="128:130" ht="39.950000000000003" hidden="1" customHeight="1" x14ac:dyDescent="0.25">
      <c r="DX83" s="24">
        <v>81</v>
      </c>
      <c r="DY83" s="35">
        <v>40.5</v>
      </c>
      <c r="DZ83" s="47" t="s">
        <v>0</v>
      </c>
    </row>
    <row r="84" spans="128:130" ht="39.950000000000003" hidden="1" customHeight="1" x14ac:dyDescent="0.25">
      <c r="DX84" s="24">
        <v>82</v>
      </c>
      <c r="DY84" s="35">
        <v>41</v>
      </c>
      <c r="DZ84" s="47" t="s">
        <v>0</v>
      </c>
    </row>
    <row r="85" spans="128:130" ht="39.950000000000003" hidden="1" customHeight="1" x14ac:dyDescent="0.25">
      <c r="DX85" s="24">
        <v>83</v>
      </c>
      <c r="DY85" s="35">
        <v>41.5</v>
      </c>
      <c r="DZ85" s="47" t="s">
        <v>0</v>
      </c>
    </row>
    <row r="86" spans="128:130" ht="39.950000000000003" hidden="1" customHeight="1" x14ac:dyDescent="0.25">
      <c r="DX86" s="24">
        <v>84</v>
      </c>
      <c r="DY86" s="35">
        <v>42</v>
      </c>
      <c r="DZ86" s="47" t="s">
        <v>0</v>
      </c>
    </row>
    <row r="87" spans="128:130" ht="39.950000000000003" hidden="1" customHeight="1" x14ac:dyDescent="0.25">
      <c r="DX87" s="24">
        <v>85</v>
      </c>
      <c r="DY87" s="35">
        <v>42.5</v>
      </c>
      <c r="DZ87" s="47" t="s">
        <v>0</v>
      </c>
    </row>
    <row r="88" spans="128:130" ht="39.950000000000003" hidden="1" customHeight="1" x14ac:dyDescent="0.25">
      <c r="DX88" s="24">
        <v>86</v>
      </c>
      <c r="DY88" s="35">
        <v>43</v>
      </c>
      <c r="DZ88" s="47" t="s">
        <v>0</v>
      </c>
    </row>
    <row r="89" spans="128:130" ht="39.950000000000003" hidden="1" customHeight="1" x14ac:dyDescent="0.25">
      <c r="DX89" s="24">
        <v>87</v>
      </c>
      <c r="DY89" s="35">
        <v>43.5</v>
      </c>
      <c r="DZ89" s="47" t="s">
        <v>0</v>
      </c>
    </row>
    <row r="90" spans="128:130" ht="39.950000000000003" hidden="1" customHeight="1" x14ac:dyDescent="0.25">
      <c r="DX90" s="24">
        <v>88</v>
      </c>
      <c r="DY90" s="35">
        <v>44</v>
      </c>
      <c r="DZ90" s="47" t="s">
        <v>0</v>
      </c>
    </row>
    <row r="91" spans="128:130" ht="39.950000000000003" hidden="1" customHeight="1" x14ac:dyDescent="0.25">
      <c r="DX91" s="24">
        <v>89</v>
      </c>
      <c r="DY91" s="35">
        <v>44.5</v>
      </c>
      <c r="DZ91" s="47" t="s">
        <v>0</v>
      </c>
    </row>
    <row r="92" spans="128:130" ht="39.950000000000003" hidden="1" customHeight="1" x14ac:dyDescent="0.25">
      <c r="DX92" s="24">
        <v>90</v>
      </c>
      <c r="DY92" s="35">
        <v>45</v>
      </c>
      <c r="DZ92" s="47" t="s">
        <v>0</v>
      </c>
    </row>
    <row r="93" spans="128:130" ht="39.950000000000003" hidden="1" customHeight="1" x14ac:dyDescent="0.25">
      <c r="DX93" s="24">
        <v>91</v>
      </c>
      <c r="DY93" s="35">
        <v>45.5</v>
      </c>
      <c r="DZ93" s="47" t="s">
        <v>0</v>
      </c>
    </row>
    <row r="94" spans="128:130" ht="39.950000000000003" hidden="1" customHeight="1" x14ac:dyDescent="0.25">
      <c r="DX94" s="24">
        <v>92</v>
      </c>
      <c r="DY94" s="35">
        <v>46</v>
      </c>
      <c r="DZ94" s="47" t="s">
        <v>0</v>
      </c>
    </row>
    <row r="95" spans="128:130" ht="39.950000000000003" hidden="1" customHeight="1" x14ac:dyDescent="0.25">
      <c r="DX95" s="24">
        <v>93</v>
      </c>
      <c r="DY95" s="35">
        <v>46.5</v>
      </c>
      <c r="DZ95" s="47" t="s">
        <v>0</v>
      </c>
    </row>
    <row r="96" spans="128:130" ht="39.950000000000003" hidden="1" customHeight="1" x14ac:dyDescent="0.25">
      <c r="DX96" s="24">
        <v>94</v>
      </c>
      <c r="DY96" s="35">
        <v>47</v>
      </c>
      <c r="DZ96" s="47" t="s">
        <v>0</v>
      </c>
    </row>
    <row r="97" spans="128:130" ht="39.950000000000003" hidden="1" customHeight="1" x14ac:dyDescent="0.25">
      <c r="DX97" s="24">
        <v>95</v>
      </c>
      <c r="DY97" s="35">
        <v>47.5</v>
      </c>
      <c r="DZ97" s="47" t="s">
        <v>0</v>
      </c>
    </row>
    <row r="98" spans="128:130" ht="39.950000000000003" hidden="1" customHeight="1" x14ac:dyDescent="0.25">
      <c r="DX98" s="24">
        <v>96</v>
      </c>
      <c r="DY98" s="35">
        <v>48</v>
      </c>
      <c r="DZ98" s="47" t="s">
        <v>0</v>
      </c>
    </row>
    <row r="99" spans="128:130" ht="39.950000000000003" hidden="1" customHeight="1" x14ac:dyDescent="0.25">
      <c r="DX99" s="24">
        <v>97</v>
      </c>
      <c r="DY99" s="35">
        <v>48.5</v>
      </c>
      <c r="DZ99" s="47" t="s">
        <v>0</v>
      </c>
    </row>
    <row r="100" spans="128:130" ht="39.950000000000003" hidden="1" customHeight="1" x14ac:dyDescent="0.25">
      <c r="DX100" s="24">
        <v>98</v>
      </c>
      <c r="DY100" s="35">
        <v>49</v>
      </c>
      <c r="DZ100" s="47" t="s">
        <v>0</v>
      </c>
    </row>
    <row r="101" spans="128:130" ht="39.950000000000003" hidden="1" customHeight="1" x14ac:dyDescent="0.25">
      <c r="DX101" s="24">
        <v>99</v>
      </c>
      <c r="DY101" s="35">
        <v>49.5</v>
      </c>
      <c r="DZ101" s="47" t="s">
        <v>0</v>
      </c>
    </row>
    <row r="102" spans="128:130" ht="39.950000000000003" hidden="1" customHeight="1" x14ac:dyDescent="0.25">
      <c r="DX102" s="24">
        <v>100</v>
      </c>
      <c r="DY102" s="35">
        <v>50</v>
      </c>
      <c r="DZ102" s="47" t="s">
        <v>0</v>
      </c>
    </row>
    <row r="103" spans="128:130" ht="39.950000000000003" hidden="1" customHeight="1" x14ac:dyDescent="0.25">
      <c r="DX103" s="24">
        <v>101</v>
      </c>
      <c r="DY103" s="35">
        <v>50.5</v>
      </c>
      <c r="DZ103" s="47" t="s">
        <v>0</v>
      </c>
    </row>
    <row r="104" spans="128:130" ht="39.950000000000003" hidden="1" customHeight="1" x14ac:dyDescent="0.25">
      <c r="DX104" s="24">
        <v>102</v>
      </c>
      <c r="DY104" s="35">
        <v>51</v>
      </c>
      <c r="DZ104" s="47" t="s">
        <v>0</v>
      </c>
    </row>
    <row r="105" spans="128:130" ht="39.950000000000003" hidden="1" customHeight="1" x14ac:dyDescent="0.25">
      <c r="DX105" s="24">
        <v>103</v>
      </c>
      <c r="DY105" s="35">
        <v>51.5</v>
      </c>
      <c r="DZ105" s="47" t="s">
        <v>0</v>
      </c>
    </row>
    <row r="106" spans="128:130" ht="39.950000000000003" hidden="1" customHeight="1" x14ac:dyDescent="0.25">
      <c r="DX106" s="24">
        <v>104</v>
      </c>
      <c r="DY106" s="35">
        <v>52</v>
      </c>
      <c r="DZ106" s="47" t="s">
        <v>0</v>
      </c>
    </row>
    <row r="107" spans="128:130" ht="39.950000000000003" hidden="1" customHeight="1" x14ac:dyDescent="0.25">
      <c r="DX107" s="24">
        <v>105</v>
      </c>
      <c r="DY107" s="35">
        <v>52.5</v>
      </c>
      <c r="DZ107" s="47" t="s">
        <v>0</v>
      </c>
    </row>
    <row r="108" spans="128:130" ht="39.950000000000003" hidden="1" customHeight="1" x14ac:dyDescent="0.25">
      <c r="DX108" s="24">
        <v>106</v>
      </c>
      <c r="DY108" s="35">
        <v>53</v>
      </c>
      <c r="DZ108" s="47" t="s">
        <v>0</v>
      </c>
    </row>
    <row r="109" spans="128:130" ht="39.950000000000003" hidden="1" customHeight="1" x14ac:dyDescent="0.25">
      <c r="DX109" s="24">
        <v>107</v>
      </c>
      <c r="DY109" s="35">
        <v>53.5</v>
      </c>
      <c r="DZ109" s="47" t="s">
        <v>0</v>
      </c>
    </row>
    <row r="110" spans="128:130" ht="39.950000000000003" hidden="1" customHeight="1" x14ac:dyDescent="0.25">
      <c r="DX110" s="24">
        <v>108</v>
      </c>
      <c r="DY110" s="35">
        <v>54</v>
      </c>
      <c r="DZ110" s="47" t="s">
        <v>0</v>
      </c>
    </row>
    <row r="111" spans="128:130" ht="39.950000000000003" hidden="1" customHeight="1" x14ac:dyDescent="0.25">
      <c r="DX111" s="24">
        <v>109</v>
      </c>
      <c r="DY111" s="35">
        <v>54.5</v>
      </c>
      <c r="DZ111" s="47" t="s">
        <v>0</v>
      </c>
    </row>
    <row r="112" spans="128:130" ht="39.950000000000003" hidden="1" customHeight="1" x14ac:dyDescent="0.25">
      <c r="DX112" s="24">
        <v>110</v>
      </c>
      <c r="DY112" s="35">
        <v>55</v>
      </c>
      <c r="DZ112" s="47" t="s">
        <v>0</v>
      </c>
    </row>
    <row r="113" spans="128:130" ht="39.950000000000003" hidden="1" customHeight="1" x14ac:dyDescent="0.25">
      <c r="DX113" s="24">
        <v>111</v>
      </c>
      <c r="DY113" s="35">
        <v>55.5</v>
      </c>
      <c r="DZ113" s="47" t="s">
        <v>0</v>
      </c>
    </row>
    <row r="114" spans="128:130" ht="39.950000000000003" hidden="1" customHeight="1" x14ac:dyDescent="0.25">
      <c r="DX114" s="24">
        <v>112</v>
      </c>
      <c r="DY114" s="35">
        <v>56</v>
      </c>
      <c r="DZ114" s="47" t="s">
        <v>0</v>
      </c>
    </row>
    <row r="115" spans="128:130" ht="39.950000000000003" hidden="1" customHeight="1" x14ac:dyDescent="0.25">
      <c r="DX115" s="24">
        <v>113</v>
      </c>
      <c r="DY115" s="35">
        <v>56.5</v>
      </c>
      <c r="DZ115" s="47" t="s">
        <v>0</v>
      </c>
    </row>
    <row r="116" spans="128:130" ht="39.950000000000003" hidden="1" customHeight="1" x14ac:dyDescent="0.25">
      <c r="DX116" s="24">
        <v>114</v>
      </c>
      <c r="DY116" s="35">
        <v>57</v>
      </c>
      <c r="DZ116" s="47" t="s">
        <v>0</v>
      </c>
    </row>
    <row r="117" spans="128:130" ht="39.950000000000003" hidden="1" customHeight="1" x14ac:dyDescent="0.25">
      <c r="DX117" s="24">
        <v>115</v>
      </c>
      <c r="DY117" s="35">
        <v>57.5</v>
      </c>
      <c r="DZ117" s="47" t="s">
        <v>0</v>
      </c>
    </row>
    <row r="118" spans="128:130" ht="39.950000000000003" hidden="1" customHeight="1" x14ac:dyDescent="0.25">
      <c r="DX118" s="24">
        <v>116</v>
      </c>
      <c r="DY118" s="35">
        <v>58</v>
      </c>
      <c r="DZ118" s="47" t="s">
        <v>0</v>
      </c>
    </row>
    <row r="119" spans="128:130" ht="39.950000000000003" hidden="1" customHeight="1" x14ac:dyDescent="0.25">
      <c r="DX119" s="24">
        <v>117</v>
      </c>
      <c r="DY119" s="35">
        <v>58.5</v>
      </c>
      <c r="DZ119" s="47" t="s">
        <v>0</v>
      </c>
    </row>
    <row r="120" spans="128:130" ht="39.950000000000003" hidden="1" customHeight="1" x14ac:dyDescent="0.25">
      <c r="DX120" s="24">
        <v>118</v>
      </c>
      <c r="DY120" s="35">
        <v>59</v>
      </c>
      <c r="DZ120" s="47" t="s">
        <v>0</v>
      </c>
    </row>
    <row r="121" spans="128:130" ht="39.950000000000003" hidden="1" customHeight="1" x14ac:dyDescent="0.25">
      <c r="DX121" s="24">
        <v>119</v>
      </c>
      <c r="DY121" s="35">
        <v>59.5</v>
      </c>
      <c r="DZ121" s="47" t="s">
        <v>0</v>
      </c>
    </row>
    <row r="122" spans="128:130" ht="39.950000000000003" hidden="1" customHeight="1" x14ac:dyDescent="0.25">
      <c r="DX122" s="24">
        <v>120</v>
      </c>
      <c r="DY122" s="35">
        <v>60</v>
      </c>
      <c r="DZ122" s="47" t="s">
        <v>0</v>
      </c>
    </row>
    <row r="123" spans="128:130" ht="39.950000000000003" hidden="1" customHeight="1" x14ac:dyDescent="0.25">
      <c r="DX123" s="24">
        <v>121</v>
      </c>
      <c r="DY123" s="35">
        <v>60.5</v>
      </c>
      <c r="DZ123" s="47" t="s">
        <v>0</v>
      </c>
    </row>
    <row r="124" spans="128:130" ht="39.950000000000003" hidden="1" customHeight="1" x14ac:dyDescent="0.25">
      <c r="DX124" s="24">
        <v>122</v>
      </c>
      <c r="DY124" s="35">
        <v>61</v>
      </c>
      <c r="DZ124" s="47" t="s">
        <v>0</v>
      </c>
    </row>
    <row r="125" spans="128:130" ht="39.950000000000003" hidden="1" customHeight="1" x14ac:dyDescent="0.25">
      <c r="DX125" s="24">
        <v>123</v>
      </c>
      <c r="DY125" s="35">
        <v>61.5</v>
      </c>
      <c r="DZ125" s="47" t="s">
        <v>0</v>
      </c>
    </row>
    <row r="126" spans="128:130" ht="39.950000000000003" hidden="1" customHeight="1" x14ac:dyDescent="0.25">
      <c r="DX126" s="24">
        <v>124</v>
      </c>
      <c r="DY126" s="35">
        <v>62</v>
      </c>
      <c r="DZ126" s="47" t="s">
        <v>0</v>
      </c>
    </row>
    <row r="127" spans="128:130" ht="39.950000000000003" hidden="1" customHeight="1" x14ac:dyDescent="0.25">
      <c r="DX127" s="24">
        <v>125</v>
      </c>
      <c r="DY127" s="35">
        <v>62.5</v>
      </c>
      <c r="DZ127" s="47" t="s">
        <v>0</v>
      </c>
    </row>
    <row r="128" spans="128:130" ht="39.950000000000003" hidden="1" customHeight="1" x14ac:dyDescent="0.25">
      <c r="DX128" s="24">
        <v>126</v>
      </c>
      <c r="DY128" s="35">
        <v>63</v>
      </c>
      <c r="DZ128" s="47" t="s">
        <v>0</v>
      </c>
    </row>
    <row r="129" spans="128:130" ht="39.950000000000003" hidden="1" customHeight="1" x14ac:dyDescent="0.25">
      <c r="DX129" s="24">
        <v>127</v>
      </c>
      <c r="DY129" s="35">
        <v>63.5</v>
      </c>
      <c r="DZ129" s="47" t="s">
        <v>0</v>
      </c>
    </row>
    <row r="130" spans="128:130" ht="39.950000000000003" hidden="1" customHeight="1" x14ac:dyDescent="0.25">
      <c r="DX130" s="24">
        <v>128</v>
      </c>
      <c r="DY130" s="35">
        <v>64</v>
      </c>
      <c r="DZ130" s="47" t="s">
        <v>0</v>
      </c>
    </row>
    <row r="131" spans="128:130" ht="39.950000000000003" hidden="1" customHeight="1" x14ac:dyDescent="0.25">
      <c r="DX131" s="24">
        <v>129</v>
      </c>
      <c r="DY131" s="35">
        <v>64.5</v>
      </c>
      <c r="DZ131" s="47" t="s">
        <v>0</v>
      </c>
    </row>
    <row r="132" spans="128:130" ht="39.950000000000003" hidden="1" customHeight="1" x14ac:dyDescent="0.25">
      <c r="DX132" s="24">
        <v>130</v>
      </c>
      <c r="DY132" s="35">
        <v>65</v>
      </c>
      <c r="DZ132" s="47" t="s">
        <v>0</v>
      </c>
    </row>
    <row r="133" spans="128:130" ht="39.950000000000003" hidden="1" customHeight="1" x14ac:dyDescent="0.25">
      <c r="DX133" s="24">
        <v>131</v>
      </c>
      <c r="DY133" s="35">
        <v>65.5</v>
      </c>
      <c r="DZ133" s="47" t="s">
        <v>0</v>
      </c>
    </row>
    <row r="134" spans="128:130" ht="39.950000000000003" hidden="1" customHeight="1" x14ac:dyDescent="0.25">
      <c r="DX134" s="24">
        <v>132</v>
      </c>
      <c r="DY134" s="35">
        <v>66</v>
      </c>
      <c r="DZ134" s="47" t="s">
        <v>0</v>
      </c>
    </row>
    <row r="135" spans="128:130" ht="39.950000000000003" hidden="1" customHeight="1" x14ac:dyDescent="0.25">
      <c r="DX135" s="24">
        <v>133</v>
      </c>
      <c r="DY135" s="35">
        <v>66.5</v>
      </c>
      <c r="DZ135" s="47" t="s">
        <v>0</v>
      </c>
    </row>
    <row r="136" spans="128:130" ht="39.950000000000003" hidden="1" customHeight="1" x14ac:dyDescent="0.25">
      <c r="DX136" s="24">
        <v>134</v>
      </c>
      <c r="DY136" s="35">
        <v>67</v>
      </c>
      <c r="DZ136" s="47" t="s">
        <v>0</v>
      </c>
    </row>
    <row r="137" spans="128:130" ht="39.950000000000003" hidden="1" customHeight="1" x14ac:dyDescent="0.25">
      <c r="DX137" s="24">
        <v>135</v>
      </c>
      <c r="DY137" s="35">
        <v>67.5</v>
      </c>
      <c r="DZ137" s="47" t="s">
        <v>0</v>
      </c>
    </row>
    <row r="138" spans="128:130" ht="39.950000000000003" hidden="1" customHeight="1" x14ac:dyDescent="0.25">
      <c r="DX138" s="24">
        <v>136</v>
      </c>
      <c r="DY138" s="35">
        <v>68</v>
      </c>
      <c r="DZ138" s="47" t="s">
        <v>0</v>
      </c>
    </row>
    <row r="139" spans="128:130" ht="39.950000000000003" hidden="1" customHeight="1" x14ac:dyDescent="0.25">
      <c r="DX139" s="24">
        <v>137</v>
      </c>
      <c r="DY139" s="35">
        <v>68.5</v>
      </c>
      <c r="DZ139" s="47" t="s">
        <v>0</v>
      </c>
    </row>
    <row r="140" spans="128:130" ht="39.950000000000003" hidden="1" customHeight="1" x14ac:dyDescent="0.25">
      <c r="DX140" s="24">
        <v>138</v>
      </c>
      <c r="DY140" s="35">
        <v>69</v>
      </c>
      <c r="DZ140" s="47" t="s">
        <v>0</v>
      </c>
    </row>
    <row r="141" spans="128:130" ht="39.950000000000003" hidden="1" customHeight="1" x14ac:dyDescent="0.25">
      <c r="DX141" s="24">
        <v>139</v>
      </c>
      <c r="DY141" s="35">
        <v>69.5</v>
      </c>
      <c r="DZ141" s="47" t="s">
        <v>0</v>
      </c>
    </row>
    <row r="142" spans="128:130" ht="39.950000000000003" hidden="1" customHeight="1" x14ac:dyDescent="0.25">
      <c r="DX142" s="24">
        <v>140</v>
      </c>
      <c r="DY142" s="35">
        <v>70</v>
      </c>
      <c r="DZ142" s="47" t="s">
        <v>0</v>
      </c>
    </row>
    <row r="143" spans="128:130" ht="39.950000000000003" hidden="1" customHeight="1" x14ac:dyDescent="0.25">
      <c r="DX143" s="24">
        <v>141</v>
      </c>
      <c r="DY143" s="35">
        <v>70.5</v>
      </c>
      <c r="DZ143" s="47" t="s">
        <v>0</v>
      </c>
    </row>
    <row r="144" spans="128:130" ht="39.950000000000003" hidden="1" customHeight="1" x14ac:dyDescent="0.25">
      <c r="DX144" s="24">
        <v>142</v>
      </c>
      <c r="DY144" s="35">
        <v>71</v>
      </c>
      <c r="DZ144" s="47" t="s">
        <v>0</v>
      </c>
    </row>
    <row r="145" spans="128:130" ht="39.950000000000003" hidden="1" customHeight="1" x14ac:dyDescent="0.25">
      <c r="DX145" s="24">
        <v>143</v>
      </c>
      <c r="DY145" s="35">
        <v>71.5</v>
      </c>
      <c r="DZ145" s="47" t="s">
        <v>0</v>
      </c>
    </row>
    <row r="146" spans="128:130" ht="39.950000000000003" hidden="1" customHeight="1" x14ac:dyDescent="0.25">
      <c r="DX146" s="24">
        <v>144</v>
      </c>
      <c r="DY146" s="35">
        <v>72</v>
      </c>
      <c r="DZ146" s="47" t="s">
        <v>0</v>
      </c>
    </row>
    <row r="147" spans="128:130" ht="39.950000000000003" hidden="1" customHeight="1" x14ac:dyDescent="0.25">
      <c r="DX147" s="24">
        <v>145</v>
      </c>
      <c r="DY147" s="35">
        <v>72.5</v>
      </c>
      <c r="DZ147" s="47" t="s">
        <v>0</v>
      </c>
    </row>
    <row r="148" spans="128:130" ht="39.950000000000003" hidden="1" customHeight="1" x14ac:dyDescent="0.25">
      <c r="DX148" s="24">
        <v>146</v>
      </c>
      <c r="DY148" s="35">
        <v>73</v>
      </c>
      <c r="DZ148" s="47" t="s">
        <v>0</v>
      </c>
    </row>
    <row r="149" spans="128:130" ht="39.950000000000003" hidden="1" customHeight="1" x14ac:dyDescent="0.25">
      <c r="DX149" s="24">
        <v>147</v>
      </c>
      <c r="DY149" s="35">
        <v>73.5</v>
      </c>
      <c r="DZ149" s="47" t="s">
        <v>0</v>
      </c>
    </row>
    <row r="150" spans="128:130" ht="39.950000000000003" hidden="1" customHeight="1" x14ac:dyDescent="0.25">
      <c r="DX150" s="24">
        <v>148</v>
      </c>
      <c r="DY150" s="35">
        <v>74</v>
      </c>
      <c r="DZ150" s="47" t="s">
        <v>0</v>
      </c>
    </row>
    <row r="151" spans="128:130" ht="39.950000000000003" hidden="1" customHeight="1" x14ac:dyDescent="0.25">
      <c r="DX151" s="24">
        <v>149</v>
      </c>
      <c r="DY151" s="35">
        <v>74.5</v>
      </c>
      <c r="DZ151" s="47" t="s">
        <v>0</v>
      </c>
    </row>
    <row r="152" spans="128:130" ht="39.950000000000003" hidden="1" customHeight="1" x14ac:dyDescent="0.25">
      <c r="DX152" s="24">
        <v>150</v>
      </c>
      <c r="DY152" s="35">
        <v>75</v>
      </c>
      <c r="DZ152" s="47" t="s">
        <v>0</v>
      </c>
    </row>
    <row r="153" spans="128:130" ht="39.950000000000003" hidden="1" customHeight="1" x14ac:dyDescent="0.25">
      <c r="DX153" s="24">
        <v>151</v>
      </c>
      <c r="DY153" s="35">
        <v>75.5</v>
      </c>
      <c r="DZ153" s="47" t="s">
        <v>0</v>
      </c>
    </row>
    <row r="154" spans="128:130" ht="39.950000000000003" hidden="1" customHeight="1" x14ac:dyDescent="0.25">
      <c r="DX154" s="24">
        <v>152</v>
      </c>
      <c r="DY154" s="35">
        <v>76</v>
      </c>
      <c r="DZ154" s="47" t="s">
        <v>0</v>
      </c>
    </row>
    <row r="155" spans="128:130" ht="39.950000000000003" hidden="1" customHeight="1" x14ac:dyDescent="0.25">
      <c r="DX155" s="24">
        <v>153</v>
      </c>
      <c r="DY155" s="35">
        <v>76.5</v>
      </c>
      <c r="DZ155" s="47" t="s">
        <v>0</v>
      </c>
    </row>
    <row r="156" spans="128:130" ht="39.950000000000003" hidden="1" customHeight="1" x14ac:dyDescent="0.25">
      <c r="DX156" s="24">
        <v>154</v>
      </c>
      <c r="DY156" s="35">
        <v>77</v>
      </c>
      <c r="DZ156" s="47" t="s">
        <v>0</v>
      </c>
    </row>
    <row r="157" spans="128:130" ht="39.950000000000003" hidden="1" customHeight="1" x14ac:dyDescent="0.25">
      <c r="DX157" s="24">
        <v>155</v>
      </c>
      <c r="DY157" s="35">
        <v>77.5</v>
      </c>
      <c r="DZ157" s="47" t="s">
        <v>0</v>
      </c>
    </row>
    <row r="158" spans="128:130" ht="39.950000000000003" hidden="1" customHeight="1" x14ac:dyDescent="0.25">
      <c r="DX158" s="24">
        <v>156</v>
      </c>
      <c r="DY158" s="35">
        <v>78</v>
      </c>
      <c r="DZ158" s="47" t="s">
        <v>0</v>
      </c>
    </row>
    <row r="159" spans="128:130" ht="39.950000000000003" hidden="1" customHeight="1" x14ac:dyDescent="0.25">
      <c r="DX159" s="24">
        <v>157</v>
      </c>
      <c r="DY159" s="35">
        <v>78.5</v>
      </c>
      <c r="DZ159" s="47" t="s">
        <v>0</v>
      </c>
    </row>
    <row r="160" spans="128:130" ht="39.950000000000003" hidden="1" customHeight="1" x14ac:dyDescent="0.25">
      <c r="DX160" s="24">
        <v>158</v>
      </c>
      <c r="DY160" s="35">
        <v>79</v>
      </c>
      <c r="DZ160" s="47" t="s">
        <v>0</v>
      </c>
    </row>
    <row r="161" spans="128:130" ht="39.950000000000003" hidden="1" customHeight="1" x14ac:dyDescent="0.25">
      <c r="DX161" s="24">
        <v>159</v>
      </c>
      <c r="DY161" s="35">
        <v>79.5</v>
      </c>
      <c r="DZ161" s="47" t="s">
        <v>0</v>
      </c>
    </row>
    <row r="162" spans="128:130" ht="39.950000000000003" hidden="1" customHeight="1" x14ac:dyDescent="0.25">
      <c r="DX162" s="24">
        <v>160</v>
      </c>
      <c r="DY162" s="35">
        <v>80</v>
      </c>
      <c r="DZ162" s="47" t="s">
        <v>0</v>
      </c>
    </row>
    <row r="163" spans="128:130" ht="39.950000000000003" hidden="1" customHeight="1" x14ac:dyDescent="0.25">
      <c r="DX163" s="24">
        <v>161</v>
      </c>
      <c r="DY163" s="35">
        <v>80.5</v>
      </c>
      <c r="DZ163" s="47" t="s">
        <v>0</v>
      </c>
    </row>
    <row r="164" spans="128:130" ht="39.950000000000003" hidden="1" customHeight="1" x14ac:dyDescent="0.25">
      <c r="DX164" s="24">
        <v>162</v>
      </c>
      <c r="DY164" s="35">
        <v>81</v>
      </c>
      <c r="DZ164" s="47" t="s">
        <v>0</v>
      </c>
    </row>
    <row r="165" spans="128:130" ht="39.950000000000003" hidden="1" customHeight="1" x14ac:dyDescent="0.25">
      <c r="DX165" s="24">
        <v>163</v>
      </c>
      <c r="DY165" s="35">
        <v>81.5</v>
      </c>
      <c r="DZ165" s="47" t="s">
        <v>0</v>
      </c>
    </row>
    <row r="166" spans="128:130" ht="39.950000000000003" hidden="1" customHeight="1" x14ac:dyDescent="0.25">
      <c r="DX166" s="24">
        <v>164</v>
      </c>
      <c r="DY166" s="35">
        <v>82</v>
      </c>
      <c r="DZ166" s="47" t="s">
        <v>0</v>
      </c>
    </row>
    <row r="167" spans="128:130" ht="39.950000000000003" hidden="1" customHeight="1" x14ac:dyDescent="0.25">
      <c r="DX167" s="24">
        <v>165</v>
      </c>
      <c r="DY167" s="35">
        <v>82.5</v>
      </c>
      <c r="DZ167" s="47" t="s">
        <v>0</v>
      </c>
    </row>
    <row r="168" spans="128:130" ht="39.950000000000003" hidden="1" customHeight="1" x14ac:dyDescent="0.25">
      <c r="DX168" s="24">
        <v>166</v>
      </c>
      <c r="DY168" s="35">
        <v>83</v>
      </c>
      <c r="DZ168" s="47" t="s">
        <v>0</v>
      </c>
    </row>
    <row r="169" spans="128:130" ht="39.950000000000003" hidden="1" customHeight="1" x14ac:dyDescent="0.25">
      <c r="DX169" s="24">
        <v>167</v>
      </c>
      <c r="DY169" s="35">
        <v>83.5</v>
      </c>
      <c r="DZ169" s="47" t="s">
        <v>0</v>
      </c>
    </row>
    <row r="170" spans="128:130" ht="39.950000000000003" hidden="1" customHeight="1" x14ac:dyDescent="0.25">
      <c r="DX170" s="24">
        <v>168</v>
      </c>
      <c r="DY170" s="35">
        <v>84</v>
      </c>
      <c r="DZ170" s="47" t="s">
        <v>0</v>
      </c>
    </row>
    <row r="171" spans="128:130" ht="39.950000000000003" hidden="1" customHeight="1" x14ac:dyDescent="0.25">
      <c r="DX171" s="24">
        <v>169</v>
      </c>
      <c r="DY171" s="35">
        <v>84.5</v>
      </c>
      <c r="DZ171" s="47" t="s">
        <v>0</v>
      </c>
    </row>
    <row r="172" spans="128:130" ht="39.950000000000003" hidden="1" customHeight="1" x14ac:dyDescent="0.25">
      <c r="DX172" s="24">
        <v>170</v>
      </c>
      <c r="DY172" s="35">
        <v>85</v>
      </c>
      <c r="DZ172" s="47" t="s">
        <v>0</v>
      </c>
    </row>
    <row r="173" spans="128:130" ht="39.950000000000003" hidden="1" customHeight="1" x14ac:dyDescent="0.25">
      <c r="DX173" s="24">
        <v>171</v>
      </c>
      <c r="DY173" s="35">
        <v>85.5</v>
      </c>
      <c r="DZ173" s="47" t="s">
        <v>0</v>
      </c>
    </row>
    <row r="174" spans="128:130" ht="39.950000000000003" hidden="1" customHeight="1" x14ac:dyDescent="0.25">
      <c r="DX174" s="24">
        <v>172</v>
      </c>
      <c r="DY174" s="35">
        <v>86</v>
      </c>
      <c r="DZ174" s="47" t="s">
        <v>0</v>
      </c>
    </row>
    <row r="175" spans="128:130" ht="39.950000000000003" hidden="1" customHeight="1" x14ac:dyDescent="0.25">
      <c r="DX175" s="24">
        <v>173</v>
      </c>
      <c r="DY175" s="35">
        <v>86.5</v>
      </c>
      <c r="DZ175" s="47" t="s">
        <v>0</v>
      </c>
    </row>
    <row r="176" spans="128:130" ht="39.950000000000003" hidden="1" customHeight="1" x14ac:dyDescent="0.25">
      <c r="DX176" s="24">
        <v>174</v>
      </c>
      <c r="DY176" s="35">
        <v>87</v>
      </c>
      <c r="DZ176" s="47" t="s">
        <v>0</v>
      </c>
    </row>
    <row r="177" spans="128:130" ht="39.950000000000003" hidden="1" customHeight="1" x14ac:dyDescent="0.25">
      <c r="DX177" s="24">
        <v>175</v>
      </c>
      <c r="DY177" s="35">
        <v>87.5</v>
      </c>
      <c r="DZ177" s="47" t="s">
        <v>0</v>
      </c>
    </row>
    <row r="178" spans="128:130" ht="39.950000000000003" hidden="1" customHeight="1" x14ac:dyDescent="0.25">
      <c r="DX178" s="24">
        <v>176</v>
      </c>
      <c r="DY178" s="35">
        <v>88</v>
      </c>
      <c r="DZ178" s="47" t="s">
        <v>0</v>
      </c>
    </row>
    <row r="179" spans="128:130" ht="39.950000000000003" hidden="1" customHeight="1" x14ac:dyDescent="0.25">
      <c r="DX179" s="24">
        <v>177</v>
      </c>
      <c r="DY179" s="35">
        <v>88.5</v>
      </c>
      <c r="DZ179" s="47" t="s">
        <v>0</v>
      </c>
    </row>
    <row r="180" spans="128:130" ht="39.950000000000003" hidden="1" customHeight="1" x14ac:dyDescent="0.25">
      <c r="DX180" s="24">
        <v>178</v>
      </c>
      <c r="DY180" s="35">
        <v>89</v>
      </c>
      <c r="DZ180" s="47" t="s">
        <v>0</v>
      </c>
    </row>
    <row r="181" spans="128:130" ht="39.950000000000003" hidden="1" customHeight="1" x14ac:dyDescent="0.25">
      <c r="DX181" s="24">
        <v>179</v>
      </c>
      <c r="DY181" s="35">
        <v>89.5</v>
      </c>
      <c r="DZ181" s="47" t="s">
        <v>0</v>
      </c>
    </row>
    <row r="182" spans="128:130" ht="39.950000000000003" hidden="1" customHeight="1" x14ac:dyDescent="0.25">
      <c r="DX182" s="24">
        <v>180</v>
      </c>
      <c r="DY182" s="35">
        <v>90</v>
      </c>
      <c r="DZ182" s="47" t="s">
        <v>0</v>
      </c>
    </row>
    <row r="183" spans="128:130" ht="39.950000000000003" hidden="1" customHeight="1" x14ac:dyDescent="0.25">
      <c r="DX183" s="24">
        <v>181</v>
      </c>
      <c r="DY183" s="35">
        <v>90.5</v>
      </c>
      <c r="DZ183" s="47" t="s">
        <v>0</v>
      </c>
    </row>
    <row r="184" spans="128:130" ht="39.950000000000003" hidden="1" customHeight="1" x14ac:dyDescent="0.25">
      <c r="DX184" s="24">
        <v>182</v>
      </c>
      <c r="DY184" s="35">
        <v>91</v>
      </c>
      <c r="DZ184" s="47" t="s">
        <v>0</v>
      </c>
    </row>
    <row r="185" spans="128:130" ht="39.950000000000003" hidden="1" customHeight="1" x14ac:dyDescent="0.25">
      <c r="DX185" s="24">
        <v>183</v>
      </c>
      <c r="DY185" s="35">
        <v>91.5</v>
      </c>
      <c r="DZ185" s="47" t="s">
        <v>0</v>
      </c>
    </row>
    <row r="186" spans="128:130" ht="39.950000000000003" hidden="1" customHeight="1" x14ac:dyDescent="0.25">
      <c r="DX186" s="24">
        <v>184</v>
      </c>
      <c r="DY186" s="35">
        <v>92</v>
      </c>
      <c r="DZ186" s="47" t="s">
        <v>0</v>
      </c>
    </row>
    <row r="187" spans="128:130" ht="39.950000000000003" hidden="1" customHeight="1" x14ac:dyDescent="0.25">
      <c r="DX187" s="24">
        <v>185</v>
      </c>
      <c r="DY187" s="35">
        <v>92.5</v>
      </c>
      <c r="DZ187" s="47" t="s">
        <v>0</v>
      </c>
    </row>
    <row r="188" spans="128:130" ht="39.950000000000003" hidden="1" customHeight="1" x14ac:dyDescent="0.25">
      <c r="DX188" s="24">
        <v>186</v>
      </c>
      <c r="DY188" s="35">
        <v>93</v>
      </c>
      <c r="DZ188" s="47" t="s">
        <v>0</v>
      </c>
    </row>
    <row r="189" spans="128:130" ht="39.950000000000003" hidden="1" customHeight="1" x14ac:dyDescent="0.25">
      <c r="DX189" s="24">
        <v>187</v>
      </c>
      <c r="DY189" s="35">
        <v>93.5</v>
      </c>
      <c r="DZ189" s="47" t="s">
        <v>0</v>
      </c>
    </row>
    <row r="190" spans="128:130" ht="39.950000000000003" hidden="1" customHeight="1" x14ac:dyDescent="0.25">
      <c r="DX190" s="24">
        <v>188</v>
      </c>
      <c r="DY190" s="35">
        <v>94</v>
      </c>
      <c r="DZ190" s="47" t="s">
        <v>0</v>
      </c>
    </row>
    <row r="191" spans="128:130" ht="39.950000000000003" hidden="1" customHeight="1" x14ac:dyDescent="0.25">
      <c r="DX191" s="24">
        <v>189</v>
      </c>
      <c r="DY191" s="35">
        <v>94.5</v>
      </c>
      <c r="DZ191" s="47" t="s">
        <v>0</v>
      </c>
    </row>
    <row r="192" spans="128:130" ht="39.950000000000003" hidden="1" customHeight="1" x14ac:dyDescent="0.25">
      <c r="DX192" s="24">
        <v>190</v>
      </c>
      <c r="DY192" s="35">
        <v>95</v>
      </c>
      <c r="DZ192" s="47" t="s">
        <v>0</v>
      </c>
    </row>
    <row r="193" spans="128:130" ht="39.950000000000003" hidden="1" customHeight="1" x14ac:dyDescent="0.25">
      <c r="DX193" s="24">
        <v>191</v>
      </c>
      <c r="DY193" s="35">
        <v>95.5</v>
      </c>
      <c r="DZ193" s="47" t="s">
        <v>0</v>
      </c>
    </row>
    <row r="194" spans="128:130" ht="39.950000000000003" hidden="1" customHeight="1" x14ac:dyDescent="0.25">
      <c r="DX194" s="24">
        <v>192</v>
      </c>
      <c r="DY194" s="35">
        <v>96</v>
      </c>
      <c r="DZ194" s="47" t="s">
        <v>0</v>
      </c>
    </row>
    <row r="195" spans="128:130" ht="39.950000000000003" hidden="1" customHeight="1" x14ac:dyDescent="0.25">
      <c r="DX195" s="24">
        <v>193</v>
      </c>
      <c r="DY195" s="35">
        <v>96.5</v>
      </c>
      <c r="DZ195" s="47" t="s">
        <v>0</v>
      </c>
    </row>
    <row r="196" spans="128:130" ht="39.950000000000003" hidden="1" customHeight="1" x14ac:dyDescent="0.25">
      <c r="DX196" s="24">
        <v>194</v>
      </c>
      <c r="DY196" s="35">
        <v>97</v>
      </c>
      <c r="DZ196" s="47" t="s">
        <v>0</v>
      </c>
    </row>
    <row r="197" spans="128:130" ht="39.950000000000003" hidden="1" customHeight="1" x14ac:dyDescent="0.25">
      <c r="DX197" s="24">
        <v>195</v>
      </c>
      <c r="DY197" s="35">
        <v>97.5</v>
      </c>
      <c r="DZ197" s="47" t="s">
        <v>0</v>
      </c>
    </row>
    <row r="198" spans="128:130" ht="39.950000000000003" hidden="1" customHeight="1" x14ac:dyDescent="0.25">
      <c r="DX198" s="24">
        <v>196</v>
      </c>
      <c r="DY198" s="35">
        <v>98</v>
      </c>
      <c r="DZ198" s="47" t="s">
        <v>0</v>
      </c>
    </row>
    <row r="199" spans="128:130" ht="39.950000000000003" hidden="1" customHeight="1" x14ac:dyDescent="0.25">
      <c r="DX199" s="24">
        <v>197</v>
      </c>
      <c r="DY199" s="35">
        <v>98.5</v>
      </c>
      <c r="DZ199" s="47" t="s">
        <v>0</v>
      </c>
    </row>
    <row r="200" spans="128:130" ht="39.950000000000003" hidden="1" customHeight="1" x14ac:dyDescent="0.25">
      <c r="DX200" s="24">
        <v>198</v>
      </c>
      <c r="DY200" s="35">
        <v>99</v>
      </c>
      <c r="DZ200" s="47" t="s">
        <v>0</v>
      </c>
    </row>
    <row r="201" spans="128:130" ht="39.950000000000003" hidden="1" customHeight="1" x14ac:dyDescent="0.25">
      <c r="DX201" s="24">
        <v>199</v>
      </c>
      <c r="DY201" s="35">
        <v>99.5</v>
      </c>
      <c r="DZ201" s="47" t="s">
        <v>0</v>
      </c>
    </row>
    <row r="202" spans="128:130" ht="39.950000000000003" hidden="1" customHeight="1" x14ac:dyDescent="0.25">
      <c r="DX202" s="24">
        <v>200</v>
      </c>
      <c r="DY202" s="35">
        <v>100</v>
      </c>
      <c r="DZ202" s="47" t="s">
        <v>0</v>
      </c>
    </row>
    <row r="203" spans="128:130" ht="39.950000000000003" hidden="1" customHeight="1" x14ac:dyDescent="0.25">
      <c r="DX203" s="24">
        <v>201</v>
      </c>
      <c r="DY203" s="35">
        <v>100.5</v>
      </c>
      <c r="DZ203" s="47" t="s">
        <v>0</v>
      </c>
    </row>
    <row r="204" spans="128:130" ht="39.950000000000003" hidden="1" customHeight="1" x14ac:dyDescent="0.25">
      <c r="DX204" s="24">
        <v>202</v>
      </c>
      <c r="DY204" s="35">
        <v>101</v>
      </c>
      <c r="DZ204" s="47" t="s">
        <v>0</v>
      </c>
    </row>
    <row r="205" spans="128:130" ht="39.950000000000003" hidden="1" customHeight="1" x14ac:dyDescent="0.25">
      <c r="DX205" s="24">
        <v>203</v>
      </c>
      <c r="DY205" s="35">
        <v>101.5</v>
      </c>
      <c r="DZ205" s="47" t="s">
        <v>0</v>
      </c>
    </row>
    <row r="206" spans="128:130" ht="39.950000000000003" hidden="1" customHeight="1" x14ac:dyDescent="0.25">
      <c r="DX206" s="24">
        <v>204</v>
      </c>
      <c r="DY206" s="35">
        <v>102</v>
      </c>
      <c r="DZ206" s="47" t="s">
        <v>0</v>
      </c>
    </row>
    <row r="207" spans="128:130" ht="39.950000000000003" hidden="1" customHeight="1" x14ac:dyDescent="0.25">
      <c r="DX207" s="24">
        <v>205</v>
      </c>
      <c r="DY207" s="35">
        <v>102.5</v>
      </c>
      <c r="DZ207" s="47" t="s">
        <v>0</v>
      </c>
    </row>
    <row r="208" spans="128:130" ht="39.950000000000003" hidden="1" customHeight="1" x14ac:dyDescent="0.25">
      <c r="DX208" s="24">
        <v>206</v>
      </c>
      <c r="DY208" s="35">
        <v>103</v>
      </c>
      <c r="DZ208" s="47" t="s">
        <v>0</v>
      </c>
    </row>
    <row r="209" spans="128:130" ht="39.950000000000003" hidden="1" customHeight="1" x14ac:dyDescent="0.25">
      <c r="DX209" s="24">
        <v>207</v>
      </c>
      <c r="DY209" s="35">
        <v>103.5</v>
      </c>
      <c r="DZ209" s="47" t="s">
        <v>0</v>
      </c>
    </row>
    <row r="210" spans="128:130" ht="39.950000000000003" hidden="1" customHeight="1" x14ac:dyDescent="0.25">
      <c r="DX210" s="24">
        <v>208</v>
      </c>
      <c r="DY210" s="35">
        <v>104</v>
      </c>
      <c r="DZ210" s="47" t="s">
        <v>0</v>
      </c>
    </row>
    <row r="211" spans="128:130" ht="39.950000000000003" hidden="1" customHeight="1" x14ac:dyDescent="0.25">
      <c r="DX211" s="24">
        <v>209</v>
      </c>
      <c r="DY211" s="35">
        <v>104.5</v>
      </c>
      <c r="DZ211" s="47" t="s">
        <v>0</v>
      </c>
    </row>
    <row r="212" spans="128:130" ht="39.950000000000003" hidden="1" customHeight="1" x14ac:dyDescent="0.25">
      <c r="DX212" s="24">
        <v>210</v>
      </c>
      <c r="DY212" s="35">
        <v>105</v>
      </c>
      <c r="DZ212" s="47" t="s">
        <v>0</v>
      </c>
    </row>
    <row r="213" spans="128:130" ht="39.950000000000003" hidden="1" customHeight="1" x14ac:dyDescent="0.25">
      <c r="DX213" s="24">
        <v>211</v>
      </c>
      <c r="DY213" s="35">
        <v>105.5</v>
      </c>
      <c r="DZ213" s="47" t="s">
        <v>0</v>
      </c>
    </row>
    <row r="214" spans="128:130" ht="39.950000000000003" hidden="1" customHeight="1" x14ac:dyDescent="0.25">
      <c r="DX214" s="24">
        <v>212</v>
      </c>
      <c r="DY214" s="35">
        <v>106</v>
      </c>
      <c r="DZ214" s="47" t="s">
        <v>0</v>
      </c>
    </row>
    <row r="215" spans="128:130" ht="39.950000000000003" hidden="1" customHeight="1" x14ac:dyDescent="0.25">
      <c r="DX215" s="24">
        <v>213</v>
      </c>
      <c r="DY215" s="35">
        <v>106.5</v>
      </c>
      <c r="DZ215" s="47" t="s">
        <v>0</v>
      </c>
    </row>
    <row r="216" spans="128:130" ht="39.950000000000003" hidden="1" customHeight="1" x14ac:dyDescent="0.25">
      <c r="DX216" s="24">
        <v>214</v>
      </c>
      <c r="DY216" s="35">
        <v>107</v>
      </c>
      <c r="DZ216" s="47" t="s">
        <v>0</v>
      </c>
    </row>
    <row r="217" spans="128:130" ht="39.950000000000003" hidden="1" customHeight="1" x14ac:dyDescent="0.25">
      <c r="DX217" s="24">
        <v>215</v>
      </c>
      <c r="DY217" s="35">
        <v>107.5</v>
      </c>
      <c r="DZ217" s="47" t="s">
        <v>0</v>
      </c>
    </row>
    <row r="218" spans="128:130" ht="39.950000000000003" hidden="1" customHeight="1" x14ac:dyDescent="0.25">
      <c r="DX218" s="24">
        <v>216</v>
      </c>
      <c r="DY218" s="35">
        <v>108</v>
      </c>
      <c r="DZ218" s="47" t="s">
        <v>0</v>
      </c>
    </row>
    <row r="219" spans="128:130" ht="39.950000000000003" hidden="1" customHeight="1" x14ac:dyDescent="0.25">
      <c r="DX219" s="24">
        <v>217</v>
      </c>
      <c r="DY219" s="35">
        <v>108.5</v>
      </c>
      <c r="DZ219" s="47" t="s">
        <v>0</v>
      </c>
    </row>
    <row r="220" spans="128:130" ht="39.950000000000003" hidden="1" customHeight="1" x14ac:dyDescent="0.25">
      <c r="DX220" s="24">
        <v>218</v>
      </c>
      <c r="DY220" s="35">
        <v>109</v>
      </c>
      <c r="DZ220" s="47" t="s">
        <v>0</v>
      </c>
    </row>
    <row r="221" spans="128:130" ht="39.950000000000003" hidden="1" customHeight="1" x14ac:dyDescent="0.25">
      <c r="DX221" s="24">
        <v>219</v>
      </c>
      <c r="DY221" s="35">
        <v>109.5</v>
      </c>
      <c r="DZ221" s="47" t="s">
        <v>0</v>
      </c>
    </row>
    <row r="222" spans="128:130" ht="39.950000000000003" hidden="1" customHeight="1" x14ac:dyDescent="0.25">
      <c r="DX222" s="24">
        <v>220</v>
      </c>
      <c r="DY222" s="35">
        <v>110</v>
      </c>
      <c r="DZ222" s="47" t="s">
        <v>0</v>
      </c>
    </row>
    <row r="223" spans="128:130" ht="39.950000000000003" hidden="1" customHeight="1" x14ac:dyDescent="0.25">
      <c r="DX223" s="24">
        <v>221</v>
      </c>
      <c r="DY223" s="35">
        <v>110.5</v>
      </c>
      <c r="DZ223" s="47" t="s">
        <v>0</v>
      </c>
    </row>
    <row r="224" spans="128:130" ht="39.950000000000003" hidden="1" customHeight="1" x14ac:dyDescent="0.25">
      <c r="DX224" s="24">
        <v>222</v>
      </c>
      <c r="DY224" s="35">
        <v>111</v>
      </c>
      <c r="DZ224" s="47" t="s">
        <v>0</v>
      </c>
    </row>
    <row r="225" spans="128:130" ht="39.950000000000003" hidden="1" customHeight="1" x14ac:dyDescent="0.25">
      <c r="DX225" s="24">
        <v>223</v>
      </c>
      <c r="DY225" s="35">
        <v>111.5</v>
      </c>
      <c r="DZ225" s="47" t="s">
        <v>0</v>
      </c>
    </row>
    <row r="226" spans="128:130" ht="39.950000000000003" hidden="1" customHeight="1" x14ac:dyDescent="0.25">
      <c r="DX226" s="24">
        <v>224</v>
      </c>
      <c r="DY226" s="35">
        <v>112</v>
      </c>
      <c r="DZ226" s="47" t="s">
        <v>0</v>
      </c>
    </row>
    <row r="227" spans="128:130" ht="39.950000000000003" hidden="1" customHeight="1" x14ac:dyDescent="0.25">
      <c r="DX227" s="24">
        <v>225</v>
      </c>
      <c r="DY227" s="35">
        <v>112.5</v>
      </c>
      <c r="DZ227" s="47" t="s">
        <v>0</v>
      </c>
    </row>
    <row r="228" spans="128:130" ht="39.950000000000003" hidden="1" customHeight="1" x14ac:dyDescent="0.25">
      <c r="DX228" s="24">
        <v>226</v>
      </c>
      <c r="DY228" s="35">
        <v>113</v>
      </c>
      <c r="DZ228" s="47" t="s">
        <v>0</v>
      </c>
    </row>
    <row r="229" spans="128:130" ht="39.950000000000003" hidden="1" customHeight="1" x14ac:dyDescent="0.25">
      <c r="DX229" s="24">
        <v>227</v>
      </c>
      <c r="DY229" s="35">
        <v>113.5</v>
      </c>
      <c r="DZ229" s="47" t="s">
        <v>0</v>
      </c>
    </row>
    <row r="230" spans="128:130" ht="39.950000000000003" hidden="1" customHeight="1" x14ac:dyDescent="0.25">
      <c r="DX230" s="24">
        <v>228</v>
      </c>
      <c r="DY230" s="35">
        <v>114</v>
      </c>
      <c r="DZ230" s="47" t="s">
        <v>0</v>
      </c>
    </row>
    <row r="231" spans="128:130" ht="39.950000000000003" hidden="1" customHeight="1" x14ac:dyDescent="0.25">
      <c r="DX231" s="24">
        <v>229</v>
      </c>
      <c r="DY231" s="35">
        <v>114.5</v>
      </c>
      <c r="DZ231" s="47" t="s">
        <v>0</v>
      </c>
    </row>
    <row r="232" spans="128:130" ht="39.950000000000003" hidden="1" customHeight="1" x14ac:dyDescent="0.25">
      <c r="DX232" s="24">
        <v>230</v>
      </c>
      <c r="DY232" s="35">
        <v>115</v>
      </c>
      <c r="DZ232" s="47" t="s">
        <v>0</v>
      </c>
    </row>
    <row r="233" spans="128:130" ht="39.950000000000003" hidden="1" customHeight="1" x14ac:dyDescent="0.25">
      <c r="DX233" s="24">
        <v>231</v>
      </c>
      <c r="DY233" s="35">
        <v>115.5</v>
      </c>
      <c r="DZ233" s="47" t="s">
        <v>0</v>
      </c>
    </row>
    <row r="234" spans="128:130" ht="39.950000000000003" hidden="1" customHeight="1" x14ac:dyDescent="0.25">
      <c r="DX234" s="24">
        <v>232</v>
      </c>
      <c r="DY234" s="35">
        <v>116</v>
      </c>
      <c r="DZ234" s="47" t="s">
        <v>0</v>
      </c>
    </row>
    <row r="235" spans="128:130" ht="39.950000000000003" hidden="1" customHeight="1" x14ac:dyDescent="0.25">
      <c r="DX235" s="24">
        <v>233</v>
      </c>
      <c r="DY235" s="35">
        <v>116.5</v>
      </c>
      <c r="DZ235" s="47" t="s">
        <v>0</v>
      </c>
    </row>
    <row r="236" spans="128:130" ht="39.950000000000003" hidden="1" customHeight="1" x14ac:dyDescent="0.25">
      <c r="DX236" s="24">
        <v>234</v>
      </c>
      <c r="DY236" s="35">
        <v>117</v>
      </c>
      <c r="DZ236" s="47" t="s">
        <v>0</v>
      </c>
    </row>
    <row r="237" spans="128:130" ht="39.950000000000003" hidden="1" customHeight="1" x14ac:dyDescent="0.25">
      <c r="DX237" s="24">
        <v>235</v>
      </c>
      <c r="DY237" s="35">
        <v>117.5</v>
      </c>
      <c r="DZ237" s="47" t="s">
        <v>0</v>
      </c>
    </row>
    <row r="238" spans="128:130" ht="39.950000000000003" hidden="1" customHeight="1" x14ac:dyDescent="0.25">
      <c r="DX238" s="24">
        <v>236</v>
      </c>
      <c r="DY238" s="35">
        <v>118</v>
      </c>
      <c r="DZ238" s="47" t="s">
        <v>0</v>
      </c>
    </row>
    <row r="239" spans="128:130" ht="39.950000000000003" hidden="1" customHeight="1" x14ac:dyDescent="0.25">
      <c r="DX239" s="24">
        <v>237</v>
      </c>
      <c r="DY239" s="35">
        <v>118.5</v>
      </c>
      <c r="DZ239" s="47" t="s">
        <v>0</v>
      </c>
    </row>
    <row r="240" spans="128:130" ht="39.950000000000003" hidden="1" customHeight="1" x14ac:dyDescent="0.25">
      <c r="DX240" s="24">
        <v>238</v>
      </c>
      <c r="DY240" s="35">
        <v>119</v>
      </c>
      <c r="DZ240" s="47" t="s">
        <v>0</v>
      </c>
    </row>
    <row r="241" spans="1:130" ht="39.950000000000003" hidden="1" customHeight="1" x14ac:dyDescent="0.25">
      <c r="DX241" s="24">
        <v>239</v>
      </c>
      <c r="DY241" s="35">
        <v>119.5</v>
      </c>
      <c r="DZ241" s="47" t="s">
        <v>0</v>
      </c>
    </row>
    <row r="242" spans="1:130" ht="39.950000000000003" hidden="1" customHeight="1" x14ac:dyDescent="0.25">
      <c r="DX242" s="24">
        <v>240</v>
      </c>
      <c r="DY242" s="35">
        <v>120</v>
      </c>
      <c r="DZ242" s="47" t="s">
        <v>0</v>
      </c>
    </row>
    <row r="243" spans="1:130" ht="39.950000000000003" hidden="1" customHeight="1" x14ac:dyDescent="0.25">
      <c r="DX243" s="24">
        <v>241</v>
      </c>
      <c r="DY243" s="35">
        <v>120.5</v>
      </c>
      <c r="DZ243" s="47" t="s">
        <v>0</v>
      </c>
    </row>
    <row r="244" spans="1:130" ht="39.950000000000003" hidden="1" customHeight="1" x14ac:dyDescent="0.25">
      <c r="DX244" s="24">
        <v>242</v>
      </c>
      <c r="DY244" s="35">
        <v>121</v>
      </c>
      <c r="DZ244" s="47" t="s">
        <v>0</v>
      </c>
    </row>
    <row r="245" spans="1:130" ht="39.950000000000003" hidden="1" customHeight="1" x14ac:dyDescent="0.25">
      <c r="DX245" s="24">
        <v>243</v>
      </c>
      <c r="DY245" s="35">
        <v>121.5</v>
      </c>
      <c r="DZ245" s="47" t="s">
        <v>0</v>
      </c>
    </row>
    <row r="246" spans="1:130" ht="39.950000000000003" hidden="1" customHeight="1" x14ac:dyDescent="0.25">
      <c r="DX246" s="24">
        <v>244</v>
      </c>
      <c r="DY246" s="35">
        <v>122</v>
      </c>
      <c r="DZ246" s="47" t="s">
        <v>0</v>
      </c>
    </row>
    <row r="247" spans="1:130" ht="39.950000000000003" hidden="1" customHeight="1" x14ac:dyDescent="0.25">
      <c r="DX247" s="24">
        <v>245</v>
      </c>
      <c r="DY247" s="35">
        <v>122.5</v>
      </c>
      <c r="DZ247" s="47" t="s">
        <v>0</v>
      </c>
    </row>
    <row r="248" spans="1:130" ht="39.950000000000003" hidden="1" customHeight="1" x14ac:dyDescent="0.25">
      <c r="DX248" s="24">
        <v>246</v>
      </c>
      <c r="DY248" s="35">
        <v>123</v>
      </c>
      <c r="DZ248" s="47" t="s">
        <v>0</v>
      </c>
    </row>
    <row r="249" spans="1:130" ht="39.950000000000003" hidden="1" customHeight="1" x14ac:dyDescent="0.25">
      <c r="DX249" s="24">
        <v>247</v>
      </c>
      <c r="DY249" s="35">
        <v>123.5</v>
      </c>
      <c r="DZ249" s="47" t="s">
        <v>0</v>
      </c>
    </row>
    <row r="250" spans="1:130" ht="39.950000000000003" hidden="1" customHeight="1" x14ac:dyDescent="0.25">
      <c r="DX250" s="24">
        <v>248</v>
      </c>
      <c r="DY250" s="35">
        <v>124</v>
      </c>
      <c r="DZ250" s="47" t="s">
        <v>0</v>
      </c>
    </row>
    <row r="251" spans="1:130" ht="39.950000000000003" hidden="1" customHeight="1" x14ac:dyDescent="0.25">
      <c r="DX251" s="24">
        <v>249</v>
      </c>
      <c r="DY251" s="35">
        <v>124.5</v>
      </c>
      <c r="DZ251" s="47" t="s">
        <v>0</v>
      </c>
    </row>
    <row r="252" spans="1:130" ht="39.950000000000003" hidden="1" customHeight="1" x14ac:dyDescent="0.25">
      <c r="DX252" s="24">
        <v>250</v>
      </c>
      <c r="DY252" s="35">
        <v>125</v>
      </c>
      <c r="DZ252" s="47" t="s">
        <v>0</v>
      </c>
    </row>
    <row r="253" spans="1:130" ht="39.950000000000003" hidden="1" customHeight="1" x14ac:dyDescent="0.25">
      <c r="DX253" s="24">
        <v>251</v>
      </c>
      <c r="DY253" s="35">
        <v>125.5</v>
      </c>
      <c r="DZ253" s="47" t="s">
        <v>0</v>
      </c>
    </row>
    <row r="254" spans="1:130" s="13" customFormat="1" ht="39.950000000000003" hidden="1" customHeight="1" x14ac:dyDescent="0.25">
      <c r="A254" s="2"/>
      <c r="B254" s="2"/>
      <c r="C254" s="2"/>
      <c r="D254" s="2"/>
      <c r="E254" s="2"/>
      <c r="F254" s="2"/>
      <c r="G254" s="2"/>
      <c r="H254" s="2"/>
      <c r="I254" s="2"/>
      <c r="J254" s="2"/>
      <c r="K254" s="2"/>
      <c r="L254" s="2"/>
      <c r="M254" s="2"/>
      <c r="N254" s="2"/>
      <c r="O254" s="2"/>
      <c r="P254" s="2"/>
      <c r="Q254" s="2"/>
      <c r="R254" s="2"/>
      <c r="S254" s="2"/>
      <c r="T254" s="2"/>
      <c r="U254" s="2"/>
      <c r="V254" s="19"/>
      <c r="W254" s="19"/>
      <c r="X254" s="19"/>
      <c r="Y254" s="12"/>
      <c r="Z254" s="2"/>
      <c r="AA254" s="75"/>
      <c r="AB254" s="75"/>
      <c r="AC254" s="12"/>
      <c r="AD254" s="12"/>
      <c r="AE254" s="12"/>
      <c r="AF254" s="12"/>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c r="DA254" s="24"/>
      <c r="DB254" s="24"/>
      <c r="DC254" s="24"/>
      <c r="DD254" s="24"/>
      <c r="DE254" s="24"/>
      <c r="DF254" s="24"/>
      <c r="DG254" s="24"/>
      <c r="DH254" s="24"/>
      <c r="DI254" s="24"/>
      <c r="DJ254" s="24"/>
      <c r="DK254" s="24"/>
      <c r="DL254" s="24"/>
      <c r="DM254" s="24"/>
      <c r="DN254" s="24"/>
      <c r="DO254" s="24"/>
      <c r="DP254" s="24"/>
      <c r="DQ254" s="24"/>
      <c r="DR254" s="24"/>
      <c r="DS254" s="24"/>
      <c r="DT254" s="24"/>
      <c r="DU254" s="24"/>
      <c r="DV254" s="24"/>
      <c r="DW254" s="24"/>
      <c r="DX254" s="24">
        <v>252</v>
      </c>
      <c r="DY254" s="35">
        <v>126</v>
      </c>
      <c r="DZ254" s="47" t="s">
        <v>0</v>
      </c>
    </row>
    <row r="255" spans="1:130" s="13" customFormat="1" ht="39.950000000000003" hidden="1" customHeight="1" x14ac:dyDescent="0.25">
      <c r="A255" s="2"/>
      <c r="B255" s="2"/>
      <c r="C255" s="2"/>
      <c r="D255" s="2"/>
      <c r="E255" s="2"/>
      <c r="F255" s="2"/>
      <c r="G255" s="2"/>
      <c r="H255" s="2"/>
      <c r="I255" s="2"/>
      <c r="J255" s="2"/>
      <c r="K255" s="2"/>
      <c r="L255" s="2"/>
      <c r="M255" s="2"/>
      <c r="N255" s="2"/>
      <c r="O255" s="2"/>
      <c r="P255" s="2"/>
      <c r="Q255" s="2"/>
      <c r="R255" s="2"/>
      <c r="S255" s="2"/>
      <c r="T255" s="2"/>
      <c r="U255" s="2"/>
      <c r="V255" s="19"/>
      <c r="W255" s="19"/>
      <c r="X255" s="19"/>
      <c r="Y255" s="12"/>
      <c r="Z255" s="2"/>
      <c r="AA255" s="75"/>
      <c r="AB255" s="75"/>
      <c r="AC255" s="12"/>
      <c r="AD255" s="12"/>
      <c r="AE255" s="12"/>
      <c r="AF255" s="12"/>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c r="DA255" s="24"/>
      <c r="DB255" s="24"/>
      <c r="DC255" s="24"/>
      <c r="DD255" s="24"/>
      <c r="DE255" s="24"/>
      <c r="DF255" s="24"/>
      <c r="DG255" s="24"/>
      <c r="DH255" s="24"/>
      <c r="DI255" s="24"/>
      <c r="DJ255" s="24"/>
      <c r="DK255" s="24"/>
      <c r="DL255" s="24"/>
      <c r="DM255" s="24"/>
      <c r="DN255" s="24"/>
      <c r="DO255" s="24"/>
      <c r="DP255" s="24"/>
      <c r="DQ255" s="24"/>
      <c r="DR255" s="24"/>
      <c r="DS255" s="24"/>
      <c r="DT255" s="24"/>
      <c r="DU255" s="24"/>
      <c r="DV255" s="24"/>
      <c r="DW255" s="24"/>
      <c r="DX255" s="24">
        <v>253</v>
      </c>
      <c r="DY255" s="35">
        <v>126.5</v>
      </c>
      <c r="DZ255" s="47" t="s">
        <v>0</v>
      </c>
    </row>
    <row r="256" spans="1:130" s="13" customFormat="1" ht="39.950000000000003" hidden="1" customHeight="1" x14ac:dyDescent="0.25">
      <c r="A256" s="2"/>
      <c r="B256" s="2"/>
      <c r="C256" s="2"/>
      <c r="D256" s="2"/>
      <c r="E256" s="2"/>
      <c r="F256" s="2"/>
      <c r="G256" s="2"/>
      <c r="H256" s="2"/>
      <c r="I256" s="2"/>
      <c r="J256" s="2"/>
      <c r="K256" s="2"/>
      <c r="L256" s="2"/>
      <c r="M256" s="2"/>
      <c r="N256" s="2"/>
      <c r="O256" s="2"/>
      <c r="P256" s="2"/>
      <c r="Q256" s="2"/>
      <c r="R256" s="2"/>
      <c r="S256" s="2"/>
      <c r="T256" s="2"/>
      <c r="U256" s="2"/>
      <c r="V256" s="19"/>
      <c r="W256" s="19"/>
      <c r="X256" s="19"/>
      <c r="Y256" s="12"/>
      <c r="Z256" s="2"/>
      <c r="AA256" s="75"/>
      <c r="AB256" s="75"/>
      <c r="AC256" s="12"/>
      <c r="AD256" s="12"/>
      <c r="AE256" s="12"/>
      <c r="AF256" s="12"/>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c r="DA256" s="24"/>
      <c r="DB256" s="24"/>
      <c r="DC256" s="24"/>
      <c r="DD256" s="24"/>
      <c r="DE256" s="24"/>
      <c r="DF256" s="24"/>
      <c r="DG256" s="24"/>
      <c r="DH256" s="24"/>
      <c r="DI256" s="24"/>
      <c r="DJ256" s="24"/>
      <c r="DK256" s="24"/>
      <c r="DL256" s="24"/>
      <c r="DM256" s="24"/>
      <c r="DN256" s="24"/>
      <c r="DO256" s="24"/>
      <c r="DP256" s="24"/>
      <c r="DQ256" s="24"/>
      <c r="DR256" s="24"/>
      <c r="DS256" s="24"/>
      <c r="DT256" s="24"/>
      <c r="DU256" s="24"/>
      <c r="DV256" s="24"/>
      <c r="DW256" s="24"/>
      <c r="DX256" s="24">
        <v>254</v>
      </c>
      <c r="DY256" s="35">
        <v>127</v>
      </c>
      <c r="DZ256" s="47" t="s">
        <v>0</v>
      </c>
    </row>
    <row r="257" spans="1:130" s="13" customFormat="1" ht="39.950000000000003" hidden="1" customHeight="1" x14ac:dyDescent="0.25">
      <c r="A257" s="2"/>
      <c r="B257" s="2"/>
      <c r="C257" s="2"/>
      <c r="D257" s="2"/>
      <c r="E257" s="2"/>
      <c r="F257" s="2"/>
      <c r="G257" s="2"/>
      <c r="H257" s="2"/>
      <c r="I257" s="2"/>
      <c r="J257" s="2"/>
      <c r="K257" s="2"/>
      <c r="L257" s="2"/>
      <c r="M257" s="2"/>
      <c r="N257" s="2"/>
      <c r="O257" s="2"/>
      <c r="P257" s="2"/>
      <c r="Q257" s="2"/>
      <c r="R257" s="2"/>
      <c r="S257" s="2"/>
      <c r="T257" s="2"/>
      <c r="U257" s="2"/>
      <c r="V257" s="19"/>
      <c r="W257" s="19"/>
      <c r="X257" s="19"/>
      <c r="Y257" s="12"/>
      <c r="Z257" s="2"/>
      <c r="AA257" s="75"/>
      <c r="AB257" s="75"/>
      <c r="AC257" s="12"/>
      <c r="AD257" s="12"/>
      <c r="AE257" s="12"/>
      <c r="AF257" s="12"/>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c r="DA257" s="24"/>
      <c r="DB257" s="24"/>
      <c r="DC257" s="24"/>
      <c r="DD257" s="24"/>
      <c r="DE257" s="24"/>
      <c r="DF257" s="24"/>
      <c r="DG257" s="24"/>
      <c r="DH257" s="24"/>
      <c r="DI257" s="24"/>
      <c r="DJ257" s="24"/>
      <c r="DK257" s="24"/>
      <c r="DL257" s="24"/>
      <c r="DM257" s="24"/>
      <c r="DN257" s="24"/>
      <c r="DO257" s="24"/>
      <c r="DP257" s="24"/>
      <c r="DQ257" s="24"/>
      <c r="DR257" s="24"/>
      <c r="DS257" s="24"/>
      <c r="DT257" s="24"/>
      <c r="DU257" s="24"/>
      <c r="DV257" s="24"/>
      <c r="DW257" s="24"/>
      <c r="DX257" s="24">
        <v>255</v>
      </c>
      <c r="DY257" s="35">
        <v>127.5</v>
      </c>
      <c r="DZ257" s="47" t="s">
        <v>0</v>
      </c>
    </row>
    <row r="258" spans="1:130" s="13" customFormat="1" ht="39.950000000000003" hidden="1" customHeight="1" x14ac:dyDescent="0.25">
      <c r="A258" s="2"/>
      <c r="B258" s="2"/>
      <c r="C258" s="2"/>
      <c r="D258" s="2"/>
      <c r="E258" s="2"/>
      <c r="F258" s="2"/>
      <c r="G258" s="2"/>
      <c r="H258" s="2"/>
      <c r="I258" s="2"/>
      <c r="J258" s="2"/>
      <c r="K258" s="2"/>
      <c r="L258" s="2"/>
      <c r="M258" s="2"/>
      <c r="N258" s="2"/>
      <c r="O258" s="2"/>
      <c r="P258" s="2"/>
      <c r="Q258" s="2"/>
      <c r="R258" s="2"/>
      <c r="S258" s="2"/>
      <c r="T258" s="2"/>
      <c r="U258" s="2"/>
      <c r="V258" s="19"/>
      <c r="W258" s="19"/>
      <c r="X258" s="19"/>
      <c r="Y258" s="12"/>
      <c r="Z258" s="2"/>
      <c r="AA258" s="75"/>
      <c r="AB258" s="75"/>
      <c r="AC258" s="12"/>
      <c r="AD258" s="12"/>
      <c r="AE258" s="12"/>
      <c r="AF258" s="12"/>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c r="DA258" s="24"/>
      <c r="DB258" s="24"/>
      <c r="DC258" s="24"/>
      <c r="DD258" s="24"/>
      <c r="DE258" s="24"/>
      <c r="DF258" s="24"/>
      <c r="DG258" s="24"/>
      <c r="DH258" s="24"/>
      <c r="DI258" s="24"/>
      <c r="DJ258" s="24"/>
      <c r="DK258" s="24"/>
      <c r="DL258" s="24"/>
      <c r="DM258" s="24"/>
      <c r="DN258" s="24"/>
      <c r="DO258" s="24"/>
      <c r="DP258" s="24"/>
      <c r="DQ258" s="24"/>
      <c r="DR258" s="24"/>
      <c r="DS258" s="24"/>
      <c r="DT258" s="24"/>
      <c r="DU258" s="24"/>
      <c r="DV258" s="24"/>
      <c r="DW258" s="24"/>
      <c r="DX258" s="24">
        <v>256</v>
      </c>
      <c r="DY258" s="35">
        <v>128</v>
      </c>
      <c r="DZ258" s="47" t="s">
        <v>0</v>
      </c>
    </row>
    <row r="259" spans="1:130" s="13" customFormat="1" ht="39.950000000000003" hidden="1" customHeight="1" x14ac:dyDescent="0.25">
      <c r="A259" s="2"/>
      <c r="B259" s="2"/>
      <c r="C259" s="2"/>
      <c r="D259" s="2"/>
      <c r="E259" s="2"/>
      <c r="F259" s="2"/>
      <c r="G259" s="2"/>
      <c r="H259" s="2"/>
      <c r="I259" s="2"/>
      <c r="J259" s="2"/>
      <c r="K259" s="2"/>
      <c r="L259" s="2"/>
      <c r="M259" s="2"/>
      <c r="N259" s="2"/>
      <c r="O259" s="2"/>
      <c r="P259" s="2"/>
      <c r="Q259" s="2"/>
      <c r="R259" s="2"/>
      <c r="S259" s="2"/>
      <c r="T259" s="2"/>
      <c r="U259" s="2"/>
      <c r="V259" s="19"/>
      <c r="W259" s="19"/>
      <c r="X259" s="19"/>
      <c r="Y259" s="12"/>
      <c r="Z259" s="2"/>
      <c r="AA259" s="75"/>
      <c r="AB259" s="75"/>
      <c r="AC259" s="12"/>
      <c r="AD259" s="12"/>
      <c r="AE259" s="12"/>
      <c r="AF259" s="12"/>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c r="DA259" s="24"/>
      <c r="DB259" s="24"/>
      <c r="DC259" s="24"/>
      <c r="DD259" s="24"/>
      <c r="DE259" s="24"/>
      <c r="DF259" s="24"/>
      <c r="DG259" s="24"/>
      <c r="DH259" s="24"/>
      <c r="DI259" s="24"/>
      <c r="DJ259" s="24"/>
      <c r="DK259" s="24"/>
      <c r="DL259" s="24"/>
      <c r="DM259" s="24"/>
      <c r="DN259" s="24"/>
      <c r="DO259" s="24"/>
      <c r="DP259" s="24"/>
      <c r="DQ259" s="24"/>
      <c r="DR259" s="24"/>
      <c r="DS259" s="24"/>
      <c r="DT259" s="24"/>
      <c r="DU259" s="24"/>
      <c r="DV259" s="24"/>
      <c r="DW259" s="24"/>
      <c r="DX259" s="24">
        <v>257</v>
      </c>
      <c r="DY259" s="35">
        <v>128.5</v>
      </c>
      <c r="DZ259" s="47" t="s">
        <v>0</v>
      </c>
    </row>
    <row r="260" spans="1:130" s="13" customFormat="1" ht="39.950000000000003" hidden="1" customHeight="1" x14ac:dyDescent="0.25">
      <c r="A260" s="2"/>
      <c r="B260" s="2"/>
      <c r="C260" s="2"/>
      <c r="D260" s="2"/>
      <c r="E260" s="2"/>
      <c r="F260" s="2"/>
      <c r="G260" s="2"/>
      <c r="H260" s="2"/>
      <c r="I260" s="2"/>
      <c r="J260" s="2"/>
      <c r="K260" s="2"/>
      <c r="L260" s="2"/>
      <c r="M260" s="2"/>
      <c r="N260" s="2"/>
      <c r="O260" s="2"/>
      <c r="P260" s="2"/>
      <c r="Q260" s="2"/>
      <c r="R260" s="2"/>
      <c r="S260" s="2"/>
      <c r="T260" s="2"/>
      <c r="U260" s="2"/>
      <c r="V260" s="19"/>
      <c r="W260" s="19"/>
      <c r="X260" s="19"/>
      <c r="Y260" s="12"/>
      <c r="Z260" s="2"/>
      <c r="AA260" s="75"/>
      <c r="AB260" s="75"/>
      <c r="AC260" s="12"/>
      <c r="AD260" s="12"/>
      <c r="AE260" s="12"/>
      <c r="AF260" s="12"/>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c r="DA260" s="24"/>
      <c r="DB260" s="24"/>
      <c r="DC260" s="24"/>
      <c r="DD260" s="24"/>
      <c r="DE260" s="24"/>
      <c r="DF260" s="24"/>
      <c r="DG260" s="24"/>
      <c r="DH260" s="24"/>
      <c r="DI260" s="24"/>
      <c r="DJ260" s="24"/>
      <c r="DK260" s="24"/>
      <c r="DL260" s="24"/>
      <c r="DM260" s="24"/>
      <c r="DN260" s="24"/>
      <c r="DO260" s="24"/>
      <c r="DP260" s="24"/>
      <c r="DQ260" s="24"/>
      <c r="DR260" s="24"/>
      <c r="DS260" s="24"/>
      <c r="DT260" s="24"/>
      <c r="DU260" s="24"/>
      <c r="DV260" s="24"/>
      <c r="DW260" s="24"/>
      <c r="DX260" s="24">
        <v>258</v>
      </c>
      <c r="DY260" s="35">
        <v>129</v>
      </c>
      <c r="DZ260" s="47" t="s">
        <v>0</v>
      </c>
    </row>
    <row r="261" spans="1:130" s="13" customFormat="1" ht="39.950000000000003" hidden="1" customHeight="1" x14ac:dyDescent="0.25">
      <c r="A261" s="2"/>
      <c r="B261" s="2"/>
      <c r="C261" s="2"/>
      <c r="D261" s="2"/>
      <c r="E261" s="2"/>
      <c r="F261" s="2"/>
      <c r="G261" s="2"/>
      <c r="H261" s="2"/>
      <c r="I261" s="2"/>
      <c r="J261" s="2"/>
      <c r="K261" s="2"/>
      <c r="L261" s="2"/>
      <c r="M261" s="2"/>
      <c r="N261" s="2"/>
      <c r="O261" s="2"/>
      <c r="P261" s="2"/>
      <c r="Q261" s="2"/>
      <c r="R261" s="2"/>
      <c r="S261" s="2"/>
      <c r="T261" s="2"/>
      <c r="U261" s="2"/>
      <c r="V261" s="19"/>
      <c r="W261" s="19"/>
      <c r="X261" s="19"/>
      <c r="Y261" s="12"/>
      <c r="Z261" s="2"/>
      <c r="AA261" s="75"/>
      <c r="AB261" s="75"/>
      <c r="AC261" s="12"/>
      <c r="AD261" s="12"/>
      <c r="AE261" s="12"/>
      <c r="AF261" s="12"/>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c r="DA261" s="24"/>
      <c r="DB261" s="24"/>
      <c r="DC261" s="24"/>
      <c r="DD261" s="24"/>
      <c r="DE261" s="24"/>
      <c r="DF261" s="24"/>
      <c r="DG261" s="24"/>
      <c r="DH261" s="24"/>
      <c r="DI261" s="24"/>
      <c r="DJ261" s="24"/>
      <c r="DK261" s="24"/>
      <c r="DL261" s="24"/>
      <c r="DM261" s="24"/>
      <c r="DN261" s="24"/>
      <c r="DO261" s="24"/>
      <c r="DP261" s="24"/>
      <c r="DQ261" s="24"/>
      <c r="DR261" s="24"/>
      <c r="DS261" s="24"/>
      <c r="DT261" s="24"/>
      <c r="DU261" s="24"/>
      <c r="DV261" s="24"/>
      <c r="DW261" s="24"/>
      <c r="DX261" s="24">
        <v>259</v>
      </c>
      <c r="DY261" s="35">
        <v>129.5</v>
      </c>
      <c r="DZ261" s="47" t="s">
        <v>0</v>
      </c>
    </row>
    <row r="262" spans="1:130" s="13" customFormat="1" ht="39.950000000000003" hidden="1" customHeight="1" x14ac:dyDescent="0.25">
      <c r="A262" s="2"/>
      <c r="B262" s="2"/>
      <c r="C262" s="2"/>
      <c r="D262" s="2"/>
      <c r="E262" s="2"/>
      <c r="F262" s="2"/>
      <c r="G262" s="2"/>
      <c r="H262" s="2"/>
      <c r="I262" s="2"/>
      <c r="J262" s="2"/>
      <c r="K262" s="2"/>
      <c r="L262" s="2"/>
      <c r="M262" s="2"/>
      <c r="N262" s="2"/>
      <c r="O262" s="2"/>
      <c r="P262" s="2"/>
      <c r="Q262" s="2"/>
      <c r="R262" s="2"/>
      <c r="S262" s="2"/>
      <c r="T262" s="2"/>
      <c r="U262" s="2"/>
      <c r="V262" s="19"/>
      <c r="W262" s="19"/>
      <c r="X262" s="19"/>
      <c r="Y262" s="12"/>
      <c r="Z262" s="2"/>
      <c r="AA262" s="75"/>
      <c r="AB262" s="75"/>
      <c r="AC262" s="12"/>
      <c r="AD262" s="12"/>
      <c r="AE262" s="12"/>
      <c r="AF262" s="12"/>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c r="DA262" s="24"/>
      <c r="DB262" s="24"/>
      <c r="DC262" s="24"/>
      <c r="DD262" s="24"/>
      <c r="DE262" s="24"/>
      <c r="DF262" s="24"/>
      <c r="DG262" s="24"/>
      <c r="DH262" s="24"/>
      <c r="DI262" s="24"/>
      <c r="DJ262" s="24"/>
      <c r="DK262" s="24"/>
      <c r="DL262" s="24"/>
      <c r="DM262" s="24"/>
      <c r="DN262" s="24"/>
      <c r="DO262" s="24"/>
      <c r="DP262" s="24"/>
      <c r="DQ262" s="24"/>
      <c r="DR262" s="24"/>
      <c r="DS262" s="24"/>
      <c r="DT262" s="24"/>
      <c r="DU262" s="24"/>
      <c r="DV262" s="24"/>
      <c r="DW262" s="24"/>
      <c r="DX262" s="24">
        <v>260</v>
      </c>
      <c r="DY262" s="35">
        <v>130</v>
      </c>
      <c r="DZ262" s="47" t="s">
        <v>0</v>
      </c>
    </row>
    <row r="263" spans="1:130" s="13" customFormat="1" ht="39.950000000000003" hidden="1" customHeight="1" x14ac:dyDescent="0.25">
      <c r="A263" s="2"/>
      <c r="B263" s="2"/>
      <c r="C263" s="2"/>
      <c r="D263" s="2"/>
      <c r="E263" s="2"/>
      <c r="F263" s="2"/>
      <c r="G263" s="2"/>
      <c r="H263" s="2"/>
      <c r="I263" s="2"/>
      <c r="J263" s="2"/>
      <c r="K263" s="2"/>
      <c r="L263" s="2"/>
      <c r="M263" s="2"/>
      <c r="N263" s="2"/>
      <c r="O263" s="2"/>
      <c r="P263" s="2"/>
      <c r="Q263" s="2"/>
      <c r="R263" s="2"/>
      <c r="S263" s="2"/>
      <c r="T263" s="2"/>
      <c r="U263" s="2"/>
      <c r="V263" s="19"/>
      <c r="W263" s="19"/>
      <c r="X263" s="19"/>
      <c r="Y263" s="12"/>
      <c r="Z263" s="2"/>
      <c r="AA263" s="75"/>
      <c r="AB263" s="75"/>
      <c r="AC263" s="12"/>
      <c r="AD263" s="12"/>
      <c r="AE263" s="12"/>
      <c r="AF263" s="12"/>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c r="DA263" s="24"/>
      <c r="DB263" s="24"/>
      <c r="DC263" s="24"/>
      <c r="DD263" s="24"/>
      <c r="DE263" s="24"/>
      <c r="DF263" s="24"/>
      <c r="DG263" s="24"/>
      <c r="DH263" s="24"/>
      <c r="DI263" s="24"/>
      <c r="DJ263" s="24"/>
      <c r="DK263" s="24"/>
      <c r="DL263" s="24"/>
      <c r="DM263" s="24"/>
      <c r="DN263" s="24"/>
      <c r="DO263" s="24"/>
      <c r="DP263" s="24"/>
      <c r="DQ263" s="24"/>
      <c r="DR263" s="24"/>
      <c r="DS263" s="24"/>
      <c r="DT263" s="24"/>
      <c r="DU263" s="24"/>
      <c r="DV263" s="24"/>
      <c r="DW263" s="24"/>
      <c r="DX263" s="24">
        <v>261</v>
      </c>
      <c r="DY263" s="35">
        <v>130.5</v>
      </c>
      <c r="DZ263" s="47" t="s">
        <v>0</v>
      </c>
    </row>
    <row r="264" spans="1:130" s="13" customFormat="1" ht="39.950000000000003" hidden="1" customHeight="1" x14ac:dyDescent="0.25">
      <c r="A264" s="2"/>
      <c r="B264" s="2"/>
      <c r="C264" s="2"/>
      <c r="D264" s="2"/>
      <c r="E264" s="2"/>
      <c r="F264" s="2"/>
      <c r="G264" s="2"/>
      <c r="H264" s="2"/>
      <c r="I264" s="2"/>
      <c r="J264" s="2"/>
      <c r="K264" s="2"/>
      <c r="L264" s="2"/>
      <c r="M264" s="2"/>
      <c r="N264" s="2"/>
      <c r="O264" s="2"/>
      <c r="P264" s="2"/>
      <c r="Q264" s="2"/>
      <c r="R264" s="2"/>
      <c r="S264" s="2"/>
      <c r="T264" s="2"/>
      <c r="U264" s="2"/>
      <c r="V264" s="19"/>
      <c r="W264" s="19"/>
      <c r="X264" s="19"/>
      <c r="Y264" s="12"/>
      <c r="Z264" s="2"/>
      <c r="AA264" s="75"/>
      <c r="AB264" s="75"/>
      <c r="AC264" s="12"/>
      <c r="AD264" s="12"/>
      <c r="AE264" s="12"/>
      <c r="AF264" s="12"/>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c r="DA264" s="24"/>
      <c r="DB264" s="24"/>
      <c r="DC264" s="24"/>
      <c r="DD264" s="24"/>
      <c r="DE264" s="24"/>
      <c r="DF264" s="24"/>
      <c r="DG264" s="24"/>
      <c r="DH264" s="24"/>
      <c r="DI264" s="24"/>
      <c r="DJ264" s="24"/>
      <c r="DK264" s="24"/>
      <c r="DL264" s="24"/>
      <c r="DM264" s="24"/>
      <c r="DN264" s="24"/>
      <c r="DO264" s="24"/>
      <c r="DP264" s="24"/>
      <c r="DQ264" s="24"/>
      <c r="DR264" s="24"/>
      <c r="DS264" s="24"/>
      <c r="DT264" s="24"/>
      <c r="DU264" s="24"/>
      <c r="DV264" s="24"/>
      <c r="DW264" s="24"/>
      <c r="DX264" s="24">
        <v>262</v>
      </c>
      <c r="DY264" s="35">
        <v>131</v>
      </c>
      <c r="DZ264" s="47" t="s">
        <v>0</v>
      </c>
    </row>
    <row r="265" spans="1:130" s="13" customFormat="1" ht="39.950000000000003" hidden="1" customHeight="1" x14ac:dyDescent="0.25">
      <c r="A265" s="2"/>
      <c r="B265" s="2"/>
      <c r="C265" s="2"/>
      <c r="D265" s="2"/>
      <c r="E265" s="2"/>
      <c r="F265" s="2"/>
      <c r="G265" s="2"/>
      <c r="H265" s="2"/>
      <c r="I265" s="2"/>
      <c r="J265" s="2"/>
      <c r="K265" s="2"/>
      <c r="L265" s="2"/>
      <c r="M265" s="2"/>
      <c r="N265" s="2"/>
      <c r="O265" s="2"/>
      <c r="P265" s="2"/>
      <c r="Q265" s="2"/>
      <c r="R265" s="2"/>
      <c r="S265" s="2"/>
      <c r="T265" s="2"/>
      <c r="U265" s="2"/>
      <c r="V265" s="19"/>
      <c r="W265" s="19"/>
      <c r="X265" s="19"/>
      <c r="Y265" s="12"/>
      <c r="Z265" s="2"/>
      <c r="AA265" s="75"/>
      <c r="AB265" s="75"/>
      <c r="AC265" s="12"/>
      <c r="AD265" s="12"/>
      <c r="AE265" s="12"/>
      <c r="AF265" s="12"/>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c r="CW265" s="24"/>
      <c r="CX265" s="24"/>
      <c r="CY265" s="24"/>
      <c r="CZ265" s="24"/>
      <c r="DA265" s="24"/>
      <c r="DB265" s="24"/>
      <c r="DC265" s="24"/>
      <c r="DD265" s="24"/>
      <c r="DE265" s="24"/>
      <c r="DF265" s="24"/>
      <c r="DG265" s="24"/>
      <c r="DH265" s="24"/>
      <c r="DI265" s="24"/>
      <c r="DJ265" s="24"/>
      <c r="DK265" s="24"/>
      <c r="DL265" s="24"/>
      <c r="DM265" s="24"/>
      <c r="DN265" s="24"/>
      <c r="DO265" s="24"/>
      <c r="DP265" s="24"/>
      <c r="DQ265" s="24"/>
      <c r="DR265" s="24"/>
      <c r="DS265" s="24"/>
      <c r="DT265" s="24"/>
      <c r="DU265" s="24"/>
      <c r="DV265" s="24"/>
      <c r="DW265" s="24"/>
      <c r="DX265" s="24">
        <v>263</v>
      </c>
      <c r="DY265" s="35">
        <v>131.5</v>
      </c>
      <c r="DZ265" s="47" t="s">
        <v>0</v>
      </c>
    </row>
    <row r="266" spans="1:130" s="13" customFormat="1" ht="39.950000000000003" hidden="1" customHeight="1" x14ac:dyDescent="0.25">
      <c r="A266" s="2"/>
      <c r="B266" s="2"/>
      <c r="C266" s="2"/>
      <c r="D266" s="2"/>
      <c r="E266" s="2"/>
      <c r="F266" s="2"/>
      <c r="G266" s="2"/>
      <c r="H266" s="2"/>
      <c r="I266" s="2"/>
      <c r="J266" s="2"/>
      <c r="K266" s="2"/>
      <c r="L266" s="2"/>
      <c r="M266" s="2"/>
      <c r="N266" s="2"/>
      <c r="O266" s="2"/>
      <c r="P266" s="2"/>
      <c r="Q266" s="2"/>
      <c r="R266" s="2"/>
      <c r="S266" s="2"/>
      <c r="T266" s="2"/>
      <c r="U266" s="2"/>
      <c r="V266" s="19"/>
      <c r="W266" s="19"/>
      <c r="X266" s="19"/>
      <c r="Y266" s="12"/>
      <c r="Z266" s="2"/>
      <c r="AA266" s="75"/>
      <c r="AB266" s="75"/>
      <c r="AC266" s="12"/>
      <c r="AD266" s="12"/>
      <c r="AE266" s="12"/>
      <c r="AF266" s="12"/>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c r="CW266" s="24"/>
      <c r="CX266" s="24"/>
      <c r="CY266" s="24"/>
      <c r="CZ266" s="24"/>
      <c r="DA266" s="24"/>
      <c r="DB266" s="24"/>
      <c r="DC266" s="24"/>
      <c r="DD266" s="24"/>
      <c r="DE266" s="24"/>
      <c r="DF266" s="24"/>
      <c r="DG266" s="24"/>
      <c r="DH266" s="24"/>
      <c r="DI266" s="24"/>
      <c r="DJ266" s="24"/>
      <c r="DK266" s="24"/>
      <c r="DL266" s="24"/>
      <c r="DM266" s="24"/>
      <c r="DN266" s="24"/>
      <c r="DO266" s="24"/>
      <c r="DP266" s="24"/>
      <c r="DQ266" s="24"/>
      <c r="DR266" s="24"/>
      <c r="DS266" s="24"/>
      <c r="DT266" s="24"/>
      <c r="DU266" s="24"/>
      <c r="DV266" s="24"/>
      <c r="DW266" s="24"/>
      <c r="DX266" s="24">
        <v>264</v>
      </c>
      <c r="DY266" s="35">
        <v>132</v>
      </c>
      <c r="DZ266" s="47" t="s">
        <v>0</v>
      </c>
    </row>
    <row r="267" spans="1:130" s="13" customFormat="1" ht="39.950000000000003" hidden="1" customHeight="1" x14ac:dyDescent="0.25">
      <c r="A267" s="2"/>
      <c r="B267" s="2"/>
      <c r="C267" s="2"/>
      <c r="D267" s="2"/>
      <c r="E267" s="2"/>
      <c r="F267" s="2"/>
      <c r="G267" s="2"/>
      <c r="H267" s="2"/>
      <c r="I267" s="2"/>
      <c r="J267" s="2"/>
      <c r="K267" s="2"/>
      <c r="L267" s="2"/>
      <c r="M267" s="2"/>
      <c r="N267" s="2"/>
      <c r="O267" s="2"/>
      <c r="P267" s="2"/>
      <c r="Q267" s="2"/>
      <c r="R267" s="2"/>
      <c r="S267" s="2"/>
      <c r="T267" s="2"/>
      <c r="U267" s="2"/>
      <c r="V267" s="19"/>
      <c r="W267" s="19"/>
      <c r="X267" s="19"/>
      <c r="Y267" s="12"/>
      <c r="Z267" s="2"/>
      <c r="AA267" s="75"/>
      <c r="AB267" s="75"/>
      <c r="AC267" s="12"/>
      <c r="AD267" s="12"/>
      <c r="AE267" s="12"/>
      <c r="AF267" s="12"/>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c r="CW267" s="24"/>
      <c r="CX267" s="24"/>
      <c r="CY267" s="24"/>
      <c r="CZ267" s="24"/>
      <c r="DA267" s="24"/>
      <c r="DB267" s="24"/>
      <c r="DC267" s="24"/>
      <c r="DD267" s="24"/>
      <c r="DE267" s="24"/>
      <c r="DF267" s="24"/>
      <c r="DG267" s="24"/>
      <c r="DH267" s="24"/>
      <c r="DI267" s="24"/>
      <c r="DJ267" s="24"/>
      <c r="DK267" s="24"/>
      <c r="DL267" s="24"/>
      <c r="DM267" s="24"/>
      <c r="DN267" s="24"/>
      <c r="DO267" s="24"/>
      <c r="DP267" s="24"/>
      <c r="DQ267" s="24"/>
      <c r="DR267" s="24"/>
      <c r="DS267" s="24"/>
      <c r="DT267" s="24"/>
      <c r="DU267" s="24"/>
      <c r="DV267" s="24"/>
      <c r="DW267" s="24"/>
      <c r="DX267" s="24">
        <v>265</v>
      </c>
      <c r="DY267" s="35">
        <v>132.5</v>
      </c>
      <c r="DZ267" s="47" t="s">
        <v>0</v>
      </c>
    </row>
    <row r="268" spans="1:130" s="13" customFormat="1" ht="39.950000000000003" hidden="1" customHeight="1" x14ac:dyDescent="0.25">
      <c r="A268" s="2"/>
      <c r="B268" s="2"/>
      <c r="C268" s="2"/>
      <c r="D268" s="2"/>
      <c r="E268" s="2"/>
      <c r="F268" s="2"/>
      <c r="G268" s="2"/>
      <c r="H268" s="2"/>
      <c r="I268" s="2"/>
      <c r="J268" s="2"/>
      <c r="K268" s="2"/>
      <c r="L268" s="2"/>
      <c r="M268" s="2"/>
      <c r="N268" s="2"/>
      <c r="O268" s="2"/>
      <c r="P268" s="2"/>
      <c r="Q268" s="2"/>
      <c r="R268" s="2"/>
      <c r="S268" s="2"/>
      <c r="T268" s="2"/>
      <c r="U268" s="2"/>
      <c r="V268" s="19"/>
      <c r="W268" s="19"/>
      <c r="X268" s="19"/>
      <c r="Y268" s="12"/>
      <c r="Z268" s="2"/>
      <c r="AA268" s="75"/>
      <c r="AB268" s="75"/>
      <c r="AC268" s="12"/>
      <c r="AD268" s="12"/>
      <c r="AE268" s="12"/>
      <c r="AF268" s="12"/>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c r="CW268" s="24"/>
      <c r="CX268" s="24"/>
      <c r="CY268" s="24"/>
      <c r="CZ268" s="24"/>
      <c r="DA268" s="24"/>
      <c r="DB268" s="24"/>
      <c r="DC268" s="24"/>
      <c r="DD268" s="24"/>
      <c r="DE268" s="24"/>
      <c r="DF268" s="24"/>
      <c r="DG268" s="24"/>
      <c r="DH268" s="24"/>
      <c r="DI268" s="24"/>
      <c r="DJ268" s="24"/>
      <c r="DK268" s="24"/>
      <c r="DL268" s="24"/>
      <c r="DM268" s="24"/>
      <c r="DN268" s="24"/>
      <c r="DO268" s="24"/>
      <c r="DP268" s="24"/>
      <c r="DQ268" s="24"/>
      <c r="DR268" s="24"/>
      <c r="DS268" s="24"/>
      <c r="DT268" s="24"/>
      <c r="DU268" s="24"/>
      <c r="DV268" s="24"/>
      <c r="DW268" s="24"/>
      <c r="DX268" s="24">
        <v>266</v>
      </c>
      <c r="DY268" s="35">
        <v>133</v>
      </c>
      <c r="DZ268" s="47" t="s">
        <v>0</v>
      </c>
    </row>
    <row r="269" spans="1:130" s="13" customFormat="1" ht="39.950000000000003" hidden="1" customHeight="1" x14ac:dyDescent="0.25">
      <c r="A269" s="2"/>
      <c r="B269" s="2"/>
      <c r="C269" s="2"/>
      <c r="D269" s="2"/>
      <c r="E269" s="2"/>
      <c r="F269" s="2"/>
      <c r="G269" s="2"/>
      <c r="H269" s="2"/>
      <c r="I269" s="2"/>
      <c r="J269" s="2"/>
      <c r="K269" s="2"/>
      <c r="L269" s="2"/>
      <c r="M269" s="2"/>
      <c r="N269" s="2"/>
      <c r="O269" s="2"/>
      <c r="P269" s="2"/>
      <c r="Q269" s="2"/>
      <c r="R269" s="2"/>
      <c r="S269" s="2"/>
      <c r="T269" s="2"/>
      <c r="U269" s="2"/>
      <c r="V269" s="19"/>
      <c r="W269" s="19"/>
      <c r="X269" s="19"/>
      <c r="Y269" s="12"/>
      <c r="Z269" s="2"/>
      <c r="AA269" s="75"/>
      <c r="AB269" s="75"/>
      <c r="AC269" s="12"/>
      <c r="AD269" s="12"/>
      <c r="AE269" s="12"/>
      <c r="AF269" s="12"/>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c r="CW269" s="24"/>
      <c r="CX269" s="24"/>
      <c r="CY269" s="24"/>
      <c r="CZ269" s="24"/>
      <c r="DA269" s="24"/>
      <c r="DB269" s="24"/>
      <c r="DC269" s="24"/>
      <c r="DD269" s="24"/>
      <c r="DE269" s="24"/>
      <c r="DF269" s="24"/>
      <c r="DG269" s="24"/>
      <c r="DH269" s="24"/>
      <c r="DI269" s="24"/>
      <c r="DJ269" s="24"/>
      <c r="DK269" s="24"/>
      <c r="DL269" s="24"/>
      <c r="DM269" s="24"/>
      <c r="DN269" s="24"/>
      <c r="DO269" s="24"/>
      <c r="DP269" s="24"/>
      <c r="DQ269" s="24"/>
      <c r="DR269" s="24"/>
      <c r="DS269" s="24"/>
      <c r="DT269" s="24"/>
      <c r="DU269" s="24"/>
      <c r="DV269" s="24"/>
      <c r="DW269" s="24"/>
      <c r="DX269" s="24">
        <v>267</v>
      </c>
      <c r="DY269" s="35">
        <v>133.5</v>
      </c>
      <c r="DZ269" s="47" t="s">
        <v>0</v>
      </c>
    </row>
    <row r="270" spans="1:130" ht="39.950000000000003" hidden="1" customHeight="1" x14ac:dyDescent="0.25">
      <c r="DX270" s="24">
        <v>268</v>
      </c>
      <c r="DY270" s="35">
        <v>134</v>
      </c>
      <c r="DZ270" s="47" t="s">
        <v>0</v>
      </c>
    </row>
    <row r="271" spans="1:130" ht="39.950000000000003" hidden="1" customHeight="1" x14ac:dyDescent="0.25">
      <c r="DX271" s="24">
        <v>269</v>
      </c>
      <c r="DY271" s="35">
        <v>134.5</v>
      </c>
      <c r="DZ271" s="47" t="s">
        <v>0</v>
      </c>
    </row>
    <row r="272" spans="1:130" ht="39.950000000000003" hidden="1" customHeight="1" x14ac:dyDescent="0.25">
      <c r="DX272" s="24">
        <v>270</v>
      </c>
      <c r="DY272" s="35">
        <v>135</v>
      </c>
      <c r="DZ272" s="47" t="s">
        <v>0</v>
      </c>
    </row>
    <row r="273" spans="128:130" ht="39.950000000000003" hidden="1" customHeight="1" x14ac:dyDescent="0.25">
      <c r="DX273" s="24">
        <v>271</v>
      </c>
      <c r="DY273" s="35">
        <v>135.5</v>
      </c>
      <c r="DZ273" s="47" t="s">
        <v>0</v>
      </c>
    </row>
    <row r="274" spans="128:130" ht="39.950000000000003" hidden="1" customHeight="1" x14ac:dyDescent="0.25">
      <c r="DX274" s="24">
        <v>272</v>
      </c>
      <c r="DY274" s="35">
        <v>136</v>
      </c>
      <c r="DZ274" s="47" t="s">
        <v>0</v>
      </c>
    </row>
    <row r="275" spans="128:130" ht="39.950000000000003" hidden="1" customHeight="1" x14ac:dyDescent="0.25">
      <c r="DX275" s="24">
        <v>273</v>
      </c>
      <c r="DY275" s="35">
        <v>136.5</v>
      </c>
      <c r="DZ275" s="47" t="s">
        <v>0</v>
      </c>
    </row>
    <row r="276" spans="128:130" ht="39.950000000000003" hidden="1" customHeight="1" x14ac:dyDescent="0.25">
      <c r="DX276" s="24">
        <v>274</v>
      </c>
      <c r="DY276" s="35">
        <v>137</v>
      </c>
      <c r="DZ276" s="47" t="s">
        <v>0</v>
      </c>
    </row>
    <row r="277" spans="128:130" ht="39.950000000000003" hidden="1" customHeight="1" x14ac:dyDescent="0.25">
      <c r="DX277" s="24">
        <v>275</v>
      </c>
      <c r="DY277" s="35">
        <v>137.5</v>
      </c>
      <c r="DZ277" s="47" t="s">
        <v>0</v>
      </c>
    </row>
    <row r="278" spans="128:130" ht="39.950000000000003" hidden="1" customHeight="1" x14ac:dyDescent="0.25">
      <c r="DX278" s="24">
        <v>276</v>
      </c>
      <c r="DY278" s="35">
        <v>138</v>
      </c>
      <c r="DZ278" s="47" t="s">
        <v>0</v>
      </c>
    </row>
    <row r="279" spans="128:130" ht="39.950000000000003" hidden="1" customHeight="1" x14ac:dyDescent="0.25">
      <c r="DX279" s="24">
        <v>277</v>
      </c>
      <c r="DY279" s="35">
        <v>138.5</v>
      </c>
      <c r="DZ279" s="47" t="s">
        <v>0</v>
      </c>
    </row>
    <row r="280" spans="128:130" ht="39.950000000000003" hidden="1" customHeight="1" x14ac:dyDescent="0.25">
      <c r="DX280" s="24">
        <v>278</v>
      </c>
      <c r="DY280" s="35">
        <v>139</v>
      </c>
      <c r="DZ280" s="47" t="s">
        <v>0</v>
      </c>
    </row>
    <row r="281" spans="128:130" ht="39.950000000000003" hidden="1" customHeight="1" x14ac:dyDescent="0.25">
      <c r="DX281" s="24">
        <v>279</v>
      </c>
      <c r="DY281" s="35">
        <v>139.5</v>
      </c>
      <c r="DZ281" s="47" t="s">
        <v>0</v>
      </c>
    </row>
    <row r="282" spans="128:130" ht="39.950000000000003" hidden="1" customHeight="1" x14ac:dyDescent="0.25">
      <c r="DX282" s="24">
        <v>280</v>
      </c>
      <c r="DY282" s="35">
        <v>140</v>
      </c>
      <c r="DZ282" s="47" t="s">
        <v>0</v>
      </c>
    </row>
    <row r="283" spans="128:130" ht="39.950000000000003" hidden="1" customHeight="1" x14ac:dyDescent="0.25">
      <c r="DX283" s="24">
        <v>281</v>
      </c>
      <c r="DY283" s="35">
        <v>140.5</v>
      </c>
      <c r="DZ283" s="47" t="s">
        <v>0</v>
      </c>
    </row>
    <row r="284" spans="128:130" ht="39.950000000000003" hidden="1" customHeight="1" x14ac:dyDescent="0.25">
      <c r="DX284" s="24">
        <v>282</v>
      </c>
      <c r="DY284" s="35">
        <v>141</v>
      </c>
      <c r="DZ284" s="47" t="s">
        <v>0</v>
      </c>
    </row>
    <row r="285" spans="128:130" ht="39.950000000000003" hidden="1" customHeight="1" x14ac:dyDescent="0.25">
      <c r="DX285" s="24">
        <v>283</v>
      </c>
      <c r="DY285" s="35">
        <v>141.5</v>
      </c>
      <c r="DZ285" s="47" t="s">
        <v>0</v>
      </c>
    </row>
    <row r="286" spans="128:130" ht="39.950000000000003" hidden="1" customHeight="1" x14ac:dyDescent="0.25">
      <c r="DX286" s="24">
        <v>284</v>
      </c>
      <c r="DY286" s="35">
        <v>142</v>
      </c>
      <c r="DZ286" s="47" t="s">
        <v>0</v>
      </c>
    </row>
    <row r="287" spans="128:130" ht="39.950000000000003" hidden="1" customHeight="1" x14ac:dyDescent="0.25">
      <c r="DX287" s="24">
        <v>285</v>
      </c>
      <c r="DY287" s="35">
        <v>142.5</v>
      </c>
      <c r="DZ287" s="47" t="s">
        <v>0</v>
      </c>
    </row>
    <row r="288" spans="128:130" ht="39.950000000000003" hidden="1" customHeight="1" x14ac:dyDescent="0.25">
      <c r="DX288" s="24">
        <v>286</v>
      </c>
      <c r="DY288" s="35">
        <v>143</v>
      </c>
      <c r="DZ288" s="47" t="s">
        <v>0</v>
      </c>
    </row>
    <row r="289" spans="128:130" ht="39.950000000000003" hidden="1" customHeight="1" x14ac:dyDescent="0.25">
      <c r="DX289" s="24">
        <v>287</v>
      </c>
      <c r="DY289" s="35">
        <v>143.5</v>
      </c>
      <c r="DZ289" s="47" t="s">
        <v>0</v>
      </c>
    </row>
    <row r="290" spans="128:130" ht="39.950000000000003" hidden="1" customHeight="1" x14ac:dyDescent="0.25">
      <c r="DX290" s="24">
        <v>288</v>
      </c>
      <c r="DY290" s="35">
        <v>144</v>
      </c>
      <c r="DZ290" s="47" t="s">
        <v>0</v>
      </c>
    </row>
    <row r="291" spans="128:130" ht="39.950000000000003" hidden="1" customHeight="1" x14ac:dyDescent="0.25">
      <c r="DX291" s="24">
        <v>289</v>
      </c>
      <c r="DY291" s="35">
        <v>144.5</v>
      </c>
      <c r="DZ291" s="47" t="s">
        <v>0</v>
      </c>
    </row>
    <row r="292" spans="128:130" ht="39.950000000000003" hidden="1" customHeight="1" x14ac:dyDescent="0.25">
      <c r="DX292" s="24">
        <v>290</v>
      </c>
      <c r="DY292" s="35">
        <v>145</v>
      </c>
      <c r="DZ292" s="47" t="s">
        <v>0</v>
      </c>
    </row>
    <row r="293" spans="128:130" ht="39.950000000000003" hidden="1" customHeight="1" x14ac:dyDescent="0.25">
      <c r="DX293" s="24">
        <v>291</v>
      </c>
      <c r="DY293" s="35">
        <v>145.5</v>
      </c>
      <c r="DZ293" s="47" t="s">
        <v>0</v>
      </c>
    </row>
    <row r="294" spans="128:130" ht="39.950000000000003" hidden="1" customHeight="1" x14ac:dyDescent="0.25">
      <c r="DX294" s="24">
        <v>292</v>
      </c>
      <c r="DY294" s="35">
        <v>146</v>
      </c>
      <c r="DZ294" s="47" t="s">
        <v>0</v>
      </c>
    </row>
    <row r="295" spans="128:130" ht="39.950000000000003" hidden="1" customHeight="1" x14ac:dyDescent="0.25">
      <c r="DX295" s="24">
        <v>293</v>
      </c>
      <c r="DY295" s="35">
        <v>146.5</v>
      </c>
      <c r="DZ295" s="47" t="s">
        <v>0</v>
      </c>
    </row>
    <row r="296" spans="128:130" ht="39.950000000000003" hidden="1" customHeight="1" x14ac:dyDescent="0.25">
      <c r="DX296" s="24">
        <v>294</v>
      </c>
      <c r="DY296" s="35">
        <v>147</v>
      </c>
      <c r="DZ296" s="47" t="s">
        <v>0</v>
      </c>
    </row>
    <row r="297" spans="128:130" ht="39.950000000000003" hidden="1" customHeight="1" x14ac:dyDescent="0.25">
      <c r="DX297" s="24">
        <v>295</v>
      </c>
      <c r="DY297" s="35">
        <v>147.5</v>
      </c>
      <c r="DZ297" s="47" t="s">
        <v>0</v>
      </c>
    </row>
    <row r="298" spans="128:130" ht="39.950000000000003" hidden="1" customHeight="1" x14ac:dyDescent="0.25">
      <c r="DX298" s="24">
        <v>296</v>
      </c>
      <c r="DY298" s="35">
        <v>148</v>
      </c>
      <c r="DZ298" s="47" t="s">
        <v>0</v>
      </c>
    </row>
    <row r="299" spans="128:130" ht="39.950000000000003" hidden="1" customHeight="1" x14ac:dyDescent="0.25">
      <c r="DX299" s="24">
        <v>297</v>
      </c>
      <c r="DY299" s="35">
        <v>148.5</v>
      </c>
      <c r="DZ299" s="47" t="s">
        <v>0</v>
      </c>
    </row>
    <row r="300" spans="128:130" ht="39.950000000000003" hidden="1" customHeight="1" x14ac:dyDescent="0.25">
      <c r="DX300" s="24">
        <v>298</v>
      </c>
      <c r="DY300" s="35">
        <v>149</v>
      </c>
      <c r="DZ300" s="47" t="s">
        <v>0</v>
      </c>
    </row>
    <row r="301" spans="128:130" ht="39.950000000000003" hidden="1" customHeight="1" x14ac:dyDescent="0.25">
      <c r="DX301" s="24">
        <v>299</v>
      </c>
      <c r="DY301" s="35">
        <v>149.5</v>
      </c>
      <c r="DZ301" s="47" t="s">
        <v>0</v>
      </c>
    </row>
    <row r="302" spans="128:130" ht="39.950000000000003" hidden="1" customHeight="1" x14ac:dyDescent="0.25">
      <c r="DX302" s="24">
        <v>300</v>
      </c>
      <c r="DY302" s="35">
        <v>150</v>
      </c>
      <c r="DZ302" s="47" t="s">
        <v>0</v>
      </c>
    </row>
    <row r="303" spans="128:130" ht="39.950000000000003" hidden="1" customHeight="1" x14ac:dyDescent="0.25">
      <c r="DX303" s="24">
        <v>301</v>
      </c>
      <c r="DY303" s="35">
        <v>150.5</v>
      </c>
      <c r="DZ303" s="47" t="s">
        <v>0</v>
      </c>
    </row>
    <row r="304" spans="128:130" ht="39.950000000000003" hidden="1" customHeight="1" x14ac:dyDescent="0.25">
      <c r="DX304" s="24">
        <v>302</v>
      </c>
      <c r="DY304" s="35">
        <v>151</v>
      </c>
      <c r="DZ304" s="47" t="s">
        <v>0</v>
      </c>
    </row>
    <row r="305" spans="128:130" ht="39.950000000000003" hidden="1" customHeight="1" x14ac:dyDescent="0.25">
      <c r="DX305" s="24">
        <v>303</v>
      </c>
      <c r="DY305" s="35">
        <v>151.5</v>
      </c>
      <c r="DZ305" s="47" t="s">
        <v>0</v>
      </c>
    </row>
    <row r="306" spans="128:130" ht="39.950000000000003" hidden="1" customHeight="1" x14ac:dyDescent="0.25">
      <c r="DX306" s="24">
        <v>304</v>
      </c>
      <c r="DY306" s="35">
        <v>152</v>
      </c>
      <c r="DZ306" s="47" t="s">
        <v>0</v>
      </c>
    </row>
    <row r="307" spans="128:130" ht="39.950000000000003" hidden="1" customHeight="1" x14ac:dyDescent="0.25">
      <c r="DX307" s="24">
        <v>305</v>
      </c>
      <c r="DY307" s="35">
        <v>152.5</v>
      </c>
      <c r="DZ307" s="47" t="s">
        <v>0</v>
      </c>
    </row>
    <row r="308" spans="128:130" ht="39.950000000000003" hidden="1" customHeight="1" x14ac:dyDescent="0.25">
      <c r="DX308" s="24">
        <v>306</v>
      </c>
      <c r="DY308" s="35">
        <v>153</v>
      </c>
      <c r="DZ308" s="47" t="s">
        <v>0</v>
      </c>
    </row>
    <row r="309" spans="128:130" ht="39.950000000000003" hidden="1" customHeight="1" x14ac:dyDescent="0.25">
      <c r="DX309" s="24">
        <v>307</v>
      </c>
      <c r="DY309" s="35">
        <v>153.5</v>
      </c>
      <c r="DZ309" s="47" t="s">
        <v>0</v>
      </c>
    </row>
    <row r="310" spans="128:130" ht="39.950000000000003" hidden="1" customHeight="1" x14ac:dyDescent="0.25">
      <c r="DX310" s="24">
        <v>308</v>
      </c>
      <c r="DY310" s="35">
        <v>154</v>
      </c>
      <c r="DZ310" s="47" t="s">
        <v>0</v>
      </c>
    </row>
    <row r="311" spans="128:130" ht="39.950000000000003" hidden="1" customHeight="1" x14ac:dyDescent="0.25">
      <c r="DX311" s="24">
        <v>309</v>
      </c>
      <c r="DY311" s="35">
        <v>154.5</v>
      </c>
      <c r="DZ311" s="47" t="s">
        <v>0</v>
      </c>
    </row>
    <row r="312" spans="128:130" ht="39.950000000000003" hidden="1" customHeight="1" x14ac:dyDescent="0.25">
      <c r="DX312" s="24">
        <v>310</v>
      </c>
      <c r="DY312" s="35">
        <v>155</v>
      </c>
      <c r="DZ312" s="47" t="s">
        <v>0</v>
      </c>
    </row>
    <row r="313" spans="128:130" ht="39.950000000000003" hidden="1" customHeight="1" x14ac:dyDescent="0.25">
      <c r="DX313" s="24">
        <v>311</v>
      </c>
      <c r="DY313" s="35">
        <v>155.5</v>
      </c>
      <c r="DZ313" s="47" t="s">
        <v>0</v>
      </c>
    </row>
    <row r="314" spans="128:130" ht="39.950000000000003" hidden="1" customHeight="1" x14ac:dyDescent="0.25">
      <c r="DX314" s="24">
        <v>312</v>
      </c>
      <c r="DY314" s="35">
        <v>156</v>
      </c>
      <c r="DZ314" s="47" t="s">
        <v>0</v>
      </c>
    </row>
    <row r="315" spans="128:130" ht="39.950000000000003" hidden="1" customHeight="1" x14ac:dyDescent="0.25">
      <c r="DX315" s="24">
        <v>313</v>
      </c>
      <c r="DY315" s="35">
        <v>156.5</v>
      </c>
      <c r="DZ315" s="47" t="s">
        <v>0</v>
      </c>
    </row>
    <row r="316" spans="128:130" ht="39.950000000000003" hidden="1" customHeight="1" x14ac:dyDescent="0.25">
      <c r="DX316" s="24">
        <v>314</v>
      </c>
      <c r="DY316" s="35">
        <v>157</v>
      </c>
      <c r="DZ316" s="47" t="s">
        <v>0</v>
      </c>
    </row>
    <row r="317" spans="128:130" ht="39.950000000000003" hidden="1" customHeight="1" x14ac:dyDescent="0.25">
      <c r="DX317" s="24">
        <v>315</v>
      </c>
      <c r="DY317" s="35">
        <v>157.5</v>
      </c>
      <c r="DZ317" s="47" t="s">
        <v>0</v>
      </c>
    </row>
    <row r="318" spans="128:130" ht="39.950000000000003" hidden="1" customHeight="1" x14ac:dyDescent="0.25">
      <c r="DX318" s="24">
        <v>316</v>
      </c>
      <c r="DY318" s="35">
        <v>158</v>
      </c>
      <c r="DZ318" s="47" t="s">
        <v>0</v>
      </c>
    </row>
    <row r="319" spans="128:130" ht="39.950000000000003" hidden="1" customHeight="1" x14ac:dyDescent="0.25">
      <c r="DX319" s="24">
        <v>317</v>
      </c>
      <c r="DY319" s="35">
        <v>158.5</v>
      </c>
      <c r="DZ319" s="47" t="s">
        <v>0</v>
      </c>
    </row>
    <row r="320" spans="128:130" ht="39.950000000000003" hidden="1" customHeight="1" x14ac:dyDescent="0.25">
      <c r="DX320" s="24">
        <v>318</v>
      </c>
      <c r="DY320" s="35">
        <v>159</v>
      </c>
      <c r="DZ320" s="47" t="s">
        <v>0</v>
      </c>
    </row>
    <row r="321" spans="128:130" ht="39.950000000000003" hidden="1" customHeight="1" x14ac:dyDescent="0.25">
      <c r="DX321" s="24">
        <v>319</v>
      </c>
      <c r="DY321" s="35">
        <v>159.5</v>
      </c>
      <c r="DZ321" s="47" t="s">
        <v>0</v>
      </c>
    </row>
    <row r="322" spans="128:130" ht="39.950000000000003" hidden="1" customHeight="1" x14ac:dyDescent="0.25">
      <c r="DX322" s="24">
        <v>320</v>
      </c>
      <c r="DY322" s="35">
        <v>160</v>
      </c>
      <c r="DZ322" s="47" t="s">
        <v>0</v>
      </c>
    </row>
    <row r="323" spans="128:130" ht="39.950000000000003" hidden="1" customHeight="1" x14ac:dyDescent="0.25">
      <c r="DX323" s="24">
        <v>321</v>
      </c>
      <c r="DY323" s="35">
        <v>160.5</v>
      </c>
      <c r="DZ323" s="47" t="s">
        <v>0</v>
      </c>
    </row>
    <row r="324" spans="128:130" ht="39.950000000000003" hidden="1" customHeight="1" x14ac:dyDescent="0.25">
      <c r="DX324" s="24">
        <v>322</v>
      </c>
      <c r="DY324" s="35">
        <v>161</v>
      </c>
      <c r="DZ324" s="47" t="s">
        <v>0</v>
      </c>
    </row>
    <row r="325" spans="128:130" ht="39.950000000000003" hidden="1" customHeight="1" x14ac:dyDescent="0.25">
      <c r="DX325" s="24">
        <v>323</v>
      </c>
      <c r="DY325" s="35">
        <v>161.5</v>
      </c>
      <c r="DZ325" s="47" t="s">
        <v>0</v>
      </c>
    </row>
    <row r="326" spans="128:130" ht="39.950000000000003" hidden="1" customHeight="1" x14ac:dyDescent="0.25">
      <c r="DX326" s="24">
        <v>324</v>
      </c>
      <c r="DY326" s="35">
        <v>162</v>
      </c>
      <c r="DZ326" s="47" t="s">
        <v>0</v>
      </c>
    </row>
    <row r="327" spans="128:130" ht="39.950000000000003" hidden="1" customHeight="1" x14ac:dyDescent="0.25">
      <c r="DX327" s="24">
        <v>325</v>
      </c>
      <c r="DY327" s="35">
        <v>162.5</v>
      </c>
      <c r="DZ327" s="47" t="s">
        <v>0</v>
      </c>
    </row>
    <row r="328" spans="128:130" ht="39.950000000000003" hidden="1" customHeight="1" x14ac:dyDescent="0.25">
      <c r="DX328" s="24">
        <v>326</v>
      </c>
      <c r="DY328" s="35">
        <v>163</v>
      </c>
      <c r="DZ328" s="47" t="s">
        <v>0</v>
      </c>
    </row>
    <row r="329" spans="128:130" ht="39.950000000000003" hidden="1" customHeight="1" x14ac:dyDescent="0.25">
      <c r="DX329" s="24">
        <v>327</v>
      </c>
      <c r="DY329" s="35">
        <v>163.5</v>
      </c>
      <c r="DZ329" s="47" t="s">
        <v>0</v>
      </c>
    </row>
    <row r="330" spans="128:130" ht="39.950000000000003" hidden="1" customHeight="1" x14ac:dyDescent="0.25">
      <c r="DX330" s="24">
        <v>328</v>
      </c>
      <c r="DY330" s="35">
        <v>164</v>
      </c>
      <c r="DZ330" s="47" t="s">
        <v>0</v>
      </c>
    </row>
    <row r="331" spans="128:130" ht="39.950000000000003" hidden="1" customHeight="1" x14ac:dyDescent="0.25">
      <c r="DX331" s="24">
        <v>329</v>
      </c>
      <c r="DY331" s="35">
        <v>164.5</v>
      </c>
      <c r="DZ331" s="47" t="s">
        <v>0</v>
      </c>
    </row>
    <row r="332" spans="128:130" ht="39.950000000000003" hidden="1" customHeight="1" x14ac:dyDescent="0.25">
      <c r="DX332" s="24">
        <v>330</v>
      </c>
      <c r="DY332" s="35">
        <v>165</v>
      </c>
      <c r="DZ332" s="47" t="s">
        <v>0</v>
      </c>
    </row>
    <row r="333" spans="128:130" ht="39.950000000000003" hidden="1" customHeight="1" x14ac:dyDescent="0.25">
      <c r="DX333" s="24">
        <v>331</v>
      </c>
      <c r="DY333" s="35">
        <v>165.5</v>
      </c>
      <c r="DZ333" s="47" t="s">
        <v>0</v>
      </c>
    </row>
    <row r="334" spans="128:130" ht="39.950000000000003" hidden="1" customHeight="1" x14ac:dyDescent="0.25">
      <c r="DX334" s="24">
        <v>332</v>
      </c>
      <c r="DY334" s="35">
        <v>166</v>
      </c>
      <c r="DZ334" s="47" t="s">
        <v>0</v>
      </c>
    </row>
    <row r="335" spans="128:130" ht="39.950000000000003" hidden="1" customHeight="1" x14ac:dyDescent="0.25">
      <c r="DX335" s="24">
        <v>333</v>
      </c>
      <c r="DY335" s="35">
        <v>166.5</v>
      </c>
      <c r="DZ335" s="47" t="s">
        <v>0</v>
      </c>
    </row>
    <row r="336" spans="128:130" ht="39.950000000000003" hidden="1" customHeight="1" x14ac:dyDescent="0.25">
      <c r="DX336" s="24">
        <v>334</v>
      </c>
      <c r="DY336" s="35">
        <v>167</v>
      </c>
      <c r="DZ336" s="47" t="s">
        <v>0</v>
      </c>
    </row>
    <row r="337" spans="128:130" ht="39.950000000000003" hidden="1" customHeight="1" x14ac:dyDescent="0.25">
      <c r="DX337" s="24">
        <v>335</v>
      </c>
      <c r="DY337" s="35">
        <v>167.5</v>
      </c>
      <c r="DZ337" s="47" t="s">
        <v>0</v>
      </c>
    </row>
    <row r="338" spans="128:130" ht="39.950000000000003" hidden="1" customHeight="1" x14ac:dyDescent="0.25">
      <c r="DX338" s="24">
        <v>336</v>
      </c>
      <c r="DY338" s="35">
        <v>168</v>
      </c>
      <c r="DZ338" s="47" t="s">
        <v>0</v>
      </c>
    </row>
    <row r="339" spans="128:130" ht="39.950000000000003" hidden="1" customHeight="1" x14ac:dyDescent="0.25">
      <c r="DX339" s="24">
        <v>337</v>
      </c>
      <c r="DY339" s="35">
        <v>168.5</v>
      </c>
      <c r="DZ339" s="47" t="s">
        <v>0</v>
      </c>
    </row>
    <row r="340" spans="128:130" ht="39.950000000000003" hidden="1" customHeight="1" x14ac:dyDescent="0.25">
      <c r="DX340" s="24">
        <v>338</v>
      </c>
      <c r="DY340" s="35">
        <v>169</v>
      </c>
      <c r="DZ340" s="47" t="s">
        <v>0</v>
      </c>
    </row>
    <row r="341" spans="128:130" ht="39.950000000000003" hidden="1" customHeight="1" x14ac:dyDescent="0.25">
      <c r="DX341" s="24">
        <v>339</v>
      </c>
      <c r="DY341" s="35">
        <v>169.5</v>
      </c>
      <c r="DZ341" s="47" t="s">
        <v>0</v>
      </c>
    </row>
    <row r="342" spans="128:130" ht="39.950000000000003" hidden="1" customHeight="1" x14ac:dyDescent="0.25">
      <c r="DX342" s="24">
        <v>340</v>
      </c>
      <c r="DY342" s="35">
        <v>170</v>
      </c>
      <c r="DZ342" s="47" t="s">
        <v>0</v>
      </c>
    </row>
    <row r="343" spans="128:130" ht="39.950000000000003" hidden="1" customHeight="1" x14ac:dyDescent="0.25">
      <c r="DX343" s="24">
        <v>341</v>
      </c>
      <c r="DY343" s="35">
        <v>170.5</v>
      </c>
      <c r="DZ343" s="47" t="s">
        <v>0</v>
      </c>
    </row>
    <row r="344" spans="128:130" ht="39.950000000000003" hidden="1" customHeight="1" x14ac:dyDescent="0.25">
      <c r="DX344" s="24">
        <v>342</v>
      </c>
      <c r="DY344" s="35">
        <v>171</v>
      </c>
      <c r="DZ344" s="47" t="s">
        <v>0</v>
      </c>
    </row>
    <row r="345" spans="128:130" ht="39.950000000000003" hidden="1" customHeight="1" x14ac:dyDescent="0.25">
      <c r="DX345" s="24">
        <v>343</v>
      </c>
      <c r="DY345" s="35">
        <v>171.5</v>
      </c>
      <c r="DZ345" s="47" t="s">
        <v>0</v>
      </c>
    </row>
    <row r="346" spans="128:130" ht="39.950000000000003" hidden="1" customHeight="1" x14ac:dyDescent="0.25">
      <c r="DX346" s="24">
        <v>344</v>
      </c>
      <c r="DY346" s="35">
        <v>172</v>
      </c>
      <c r="DZ346" s="47" t="s">
        <v>0</v>
      </c>
    </row>
    <row r="347" spans="128:130" ht="39.950000000000003" hidden="1" customHeight="1" x14ac:dyDescent="0.25">
      <c r="DX347" s="24">
        <v>345</v>
      </c>
      <c r="DY347" s="35">
        <v>172.5</v>
      </c>
      <c r="DZ347" s="47" t="s">
        <v>0</v>
      </c>
    </row>
    <row r="348" spans="128:130" ht="39.950000000000003" hidden="1" customHeight="1" x14ac:dyDescent="0.25">
      <c r="DX348" s="24">
        <v>346</v>
      </c>
      <c r="DY348" s="35">
        <v>173</v>
      </c>
      <c r="DZ348" s="47" t="s">
        <v>0</v>
      </c>
    </row>
    <row r="349" spans="128:130" ht="39.950000000000003" hidden="1" customHeight="1" x14ac:dyDescent="0.25">
      <c r="DX349" s="24">
        <v>347</v>
      </c>
      <c r="DY349" s="35">
        <v>173.5</v>
      </c>
      <c r="DZ349" s="47" t="s">
        <v>0</v>
      </c>
    </row>
    <row r="350" spans="128:130" ht="39.950000000000003" hidden="1" customHeight="1" x14ac:dyDescent="0.25">
      <c r="DX350" s="24">
        <v>348</v>
      </c>
      <c r="DY350" s="35">
        <v>174</v>
      </c>
      <c r="DZ350" s="47" t="s">
        <v>0</v>
      </c>
    </row>
    <row r="351" spans="128:130" ht="39.950000000000003" hidden="1" customHeight="1" x14ac:dyDescent="0.25">
      <c r="DX351" s="24">
        <v>349</v>
      </c>
      <c r="DY351" s="35">
        <v>174.5</v>
      </c>
      <c r="DZ351" s="47" t="s">
        <v>0</v>
      </c>
    </row>
    <row r="352" spans="128:130" ht="39.950000000000003" hidden="1" customHeight="1" x14ac:dyDescent="0.25">
      <c r="DX352" s="24">
        <v>350</v>
      </c>
      <c r="DY352" s="35">
        <v>175</v>
      </c>
      <c r="DZ352" s="47" t="s">
        <v>0</v>
      </c>
    </row>
    <row r="353" spans="128:130" ht="39.950000000000003" hidden="1" customHeight="1" x14ac:dyDescent="0.25">
      <c r="DX353" s="24">
        <v>351</v>
      </c>
      <c r="DY353" s="35">
        <v>175.5</v>
      </c>
      <c r="DZ353" s="47" t="s">
        <v>0</v>
      </c>
    </row>
    <row r="354" spans="128:130" ht="39.950000000000003" hidden="1" customHeight="1" x14ac:dyDescent="0.25">
      <c r="DX354" s="24">
        <v>352</v>
      </c>
      <c r="DY354" s="35">
        <v>176</v>
      </c>
      <c r="DZ354" s="47" t="s">
        <v>0</v>
      </c>
    </row>
    <row r="355" spans="128:130" ht="39.950000000000003" hidden="1" customHeight="1" x14ac:dyDescent="0.25">
      <c r="DX355" s="24">
        <v>353</v>
      </c>
      <c r="DY355" s="35">
        <v>176.5</v>
      </c>
      <c r="DZ355" s="47" t="s">
        <v>0</v>
      </c>
    </row>
    <row r="356" spans="128:130" ht="39.950000000000003" hidden="1" customHeight="1" x14ac:dyDescent="0.25">
      <c r="DX356" s="24">
        <v>354</v>
      </c>
      <c r="DY356" s="35">
        <v>177</v>
      </c>
      <c r="DZ356" s="47" t="s">
        <v>0</v>
      </c>
    </row>
    <row r="357" spans="128:130" ht="39.950000000000003" hidden="1" customHeight="1" x14ac:dyDescent="0.25">
      <c r="DX357" s="24">
        <v>355</v>
      </c>
      <c r="DY357" s="35">
        <v>177.5</v>
      </c>
      <c r="DZ357" s="47" t="s">
        <v>0</v>
      </c>
    </row>
    <row r="358" spans="128:130" ht="39.950000000000003" hidden="1" customHeight="1" x14ac:dyDescent="0.25">
      <c r="DX358" s="24">
        <v>356</v>
      </c>
      <c r="DY358" s="35">
        <v>178</v>
      </c>
      <c r="DZ358" s="47" t="s">
        <v>0</v>
      </c>
    </row>
    <row r="359" spans="128:130" ht="39.950000000000003" hidden="1" customHeight="1" x14ac:dyDescent="0.25">
      <c r="DX359" s="24">
        <v>357</v>
      </c>
      <c r="DY359" s="35">
        <v>178.5</v>
      </c>
      <c r="DZ359" s="47" t="s">
        <v>0</v>
      </c>
    </row>
    <row r="360" spans="128:130" ht="39.950000000000003" hidden="1" customHeight="1" x14ac:dyDescent="0.25">
      <c r="DX360" s="24">
        <v>358</v>
      </c>
      <c r="DY360" s="35">
        <v>179</v>
      </c>
      <c r="DZ360" s="47" t="s">
        <v>0</v>
      </c>
    </row>
    <row r="361" spans="128:130" ht="39.950000000000003" hidden="1" customHeight="1" x14ac:dyDescent="0.25">
      <c r="DX361" s="24">
        <v>359</v>
      </c>
      <c r="DY361" s="35">
        <v>179.5</v>
      </c>
      <c r="DZ361" s="47" t="s">
        <v>0</v>
      </c>
    </row>
    <row r="362" spans="128:130" ht="39.950000000000003" hidden="1" customHeight="1" x14ac:dyDescent="0.25">
      <c r="DX362" s="24">
        <v>360</v>
      </c>
      <c r="DY362" s="35">
        <v>180</v>
      </c>
      <c r="DZ362" s="47" t="s">
        <v>0</v>
      </c>
    </row>
    <row r="363" spans="128:130" ht="9.9499999999999993" hidden="1" customHeight="1" x14ac:dyDescent="0.25"/>
  </sheetData>
  <sheetProtection algorithmName="SHA-512" hashValue="7t5Ec4jcldLJiV7bokRFN09EQq3kH9zeqMTKnKjkcIaGrQPiPAX3t72aGdNpcApAy6mIzMVfeOzplMLOCKmf6w==" saltValue="WUdQLn4BKh+IpkKoy19ubw==" spinCount="100000" sheet="1" objects="1" scenarios="1" selectLockedCells="1"/>
  <mergeCells count="31">
    <mergeCell ref="N1:N14"/>
    <mergeCell ref="H1:H14"/>
    <mergeCell ref="A28:B28"/>
    <mergeCell ref="D1:D14"/>
    <mergeCell ref="A27:B27"/>
    <mergeCell ref="Q1:Q14"/>
    <mergeCell ref="C1:C14"/>
    <mergeCell ref="A1:A14"/>
    <mergeCell ref="B1:B14"/>
    <mergeCell ref="G1:G14"/>
    <mergeCell ref="F1:F14"/>
    <mergeCell ref="E1:E14"/>
    <mergeCell ref="M1:M14"/>
    <mergeCell ref="I1:I14"/>
    <mergeCell ref="J1:J14"/>
    <mergeCell ref="K1:K14"/>
    <mergeCell ref="L1:L14"/>
    <mergeCell ref="AC1:AC28"/>
    <mergeCell ref="O1:O14"/>
    <mergeCell ref="P1:P14"/>
    <mergeCell ref="AD2:AD27"/>
    <mergeCell ref="AF2:AF27"/>
    <mergeCell ref="AE2:AE27"/>
    <mergeCell ref="AD1:AF1"/>
    <mergeCell ref="R1:R14"/>
    <mergeCell ref="Y1:Y28"/>
    <mergeCell ref="AD28:AF28"/>
    <mergeCell ref="S1:S14"/>
    <mergeCell ref="Z1:Z28"/>
    <mergeCell ref="U1:U14"/>
    <mergeCell ref="T1:T14"/>
  </mergeCells>
  <phoneticPr fontId="4" type="noConversion"/>
  <dataValidations count="10">
    <dataValidation type="list" allowBlank="1" showInputMessage="1" showErrorMessage="1" sqref="J15:J26 BP4:BP7 BP10:BP13 CH4:CH7" xr:uid="{00000000-0002-0000-0000-00001D000000}">
      <formula1>"Yok, Var"</formula1>
    </dataValidation>
    <dataValidation type="list" allowBlank="1" showInputMessage="1" showErrorMessage="1" sqref="R15:R26" xr:uid="{B4563369-E034-4C6D-8A90-22A0EAFCAC54}">
      <formula1>$DZ$2:$DZ$50</formula1>
    </dataValidation>
    <dataValidation type="list" allowBlank="1" showInputMessage="1" showErrorMessage="1" sqref="Y1:Y28" xr:uid="{9054E20C-415A-4A28-9A83-E6387959DADB}">
      <formula1>"Ocak, Şubat, Mart, Nisan, Mayıs, Haziran, Temmuz, Ağustos, Eylül, Ekim, Kasım, Aralık, Yıllık Toplam, Yıllık Ortalama"</formula1>
    </dataValidation>
    <dataValidation type="list" allowBlank="1" showInputMessage="1" showErrorMessage="1" sqref="AP18" xr:uid="{E78907BA-7A5C-4BC5-9626-30F7C79A3DA3}">
      <formula1>#REF!</formula1>
    </dataValidation>
    <dataValidation type="list" allowBlank="1" showInputMessage="1" showErrorMessage="1" sqref="D15:F26" xr:uid="{D16C9647-72F6-4D86-BCEE-3739AC9AC5F3}">
      <formula1>$DY$2:$DY$362</formula1>
    </dataValidation>
    <dataValidation type="list" allowBlank="1" showInputMessage="1" showErrorMessage="1" sqref="C15:C26 G15:I26 BM1:BM3 BG1:BG3 BJ1:BJ3 BO14:BO18 BL22:BL25 BI14:BI18 BF22:BF25 BL14:BL18 BI22:BI25" xr:uid="{65FACC1D-9377-4225-8D3E-97700607B264}">
      <formula1>$DX$2:$DX$362</formula1>
    </dataValidation>
    <dataValidation type="list" allowBlank="1" showInputMessage="1" showErrorMessage="1" sqref="K15:N26" xr:uid="{B6852485-2543-480E-B5B2-6639B75E91B7}">
      <formula1>$DX$2:$DX$7</formula1>
    </dataValidation>
    <dataValidation type="list" allowBlank="1" showInputMessage="1" showErrorMessage="1" sqref="A1:A14" xr:uid="{AE81A231-50A0-4C37-89AE-F70005CB0F11}">
      <formula1>$AG$1:$AG$34</formula1>
    </dataValidation>
    <dataValidation type="list" allowBlank="1" showInputMessage="1" showErrorMessage="1" sqref="O15:Q26" xr:uid="{D8E8A2D5-9E21-4B80-8C44-3ADE895A9299}">
      <formula1>$DM$1:$DM$21</formula1>
    </dataValidation>
    <dataValidation type="list" allowBlank="1" showInputMessage="1" showErrorMessage="1" sqref="AC1:AC28" xr:uid="{57318408-9FED-41AC-918F-4786F04B5D60}">
      <formula1>$AA$1:$AA$18</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cp:lastModifiedBy>
  <cp:lastPrinted>2021-01-27T16:23:43Z</cp:lastPrinted>
  <dcterms:created xsi:type="dcterms:W3CDTF">2015-06-05T18:19:34Z</dcterms:created>
  <dcterms:modified xsi:type="dcterms:W3CDTF">2022-08-30T15:25:03Z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