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BuÇalışmaKitabı" autoCompressPictures="0" defaultThemeVersion="124226"/>
  <mc:AlternateContent xmlns:mc="http://schemas.openxmlformats.org/markup-compatibility/2006">
    <mc:Choice Requires="x15">
      <x15ac:absPath xmlns:x15ac="http://schemas.microsoft.com/office/spreadsheetml/2010/11/ac" url="D:\Arif Gürer\Web Sayfası\Ödenekler Hesabı\01 - Genel Çalışmalar\Ödenekler Hesabı\"/>
    </mc:Choice>
  </mc:AlternateContent>
  <xr:revisionPtr revIDLastSave="0" documentId="13_ncr:1_{06BC74F7-01D9-4137-B0C2-FA85B13C4E62}" xr6:coauthVersionLast="47" xr6:coauthVersionMax="47" xr10:uidLastSave="{00000000-0000-0000-0000-000000000000}"/>
  <workbookProtection workbookAlgorithmName="SHA-512" workbookHashValue="tRu0b+nbgKb82XBmMpPffOGc3lmuJy0EDN5sqUnr9QSQyWA6PeWHsJePO0oj34JttWNR4lZj+3Qpij9eEUhaCQ==" workbookSaltValue="rzQxolG3kyB74jRx3StCYQ=="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8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2" i="130" l="1"/>
  <c r="AN24" i="130"/>
  <c r="AN25" i="130"/>
  <c r="AN26" i="130"/>
  <c r="AN27" i="130"/>
  <c r="AN28" i="130"/>
  <c r="AN6" i="130"/>
  <c r="AN7" i="130"/>
  <c r="AN8" i="130"/>
  <c r="AN9" i="130"/>
  <c r="AN10" i="130"/>
  <c r="AN11" i="130"/>
  <c r="AN23" i="130"/>
  <c r="AZ1" i="130"/>
  <c r="BZ16" i="130" s="1"/>
  <c r="BA1" i="130"/>
  <c r="BD1" i="130"/>
  <c r="BR22" i="130"/>
  <c r="DK16" i="130"/>
  <c r="DK17" i="130"/>
  <c r="DK18" i="130"/>
  <c r="DK19" i="130"/>
  <c r="DK20" i="130"/>
  <c r="DK21" i="130"/>
  <c r="DK22" i="130"/>
  <c r="DK23" i="130"/>
  <c r="DK24" i="130"/>
  <c r="DK25" i="130"/>
  <c r="DK26" i="130"/>
  <c r="DK15" i="130"/>
  <c r="CV10" i="130"/>
  <c r="CV11" i="130"/>
  <c r="CV12" i="130"/>
  <c r="CT19" i="130"/>
  <c r="CT20" i="130"/>
  <c r="CT21" i="130"/>
  <c r="CT22" i="130"/>
  <c r="CT23" i="130"/>
  <c r="CT24" i="130"/>
  <c r="CT25" i="130"/>
  <c r="CT26" i="130"/>
  <c r="CV9" i="130"/>
  <c r="AJ26" i="130"/>
  <c r="AL10" i="130"/>
  <c r="AL9" i="130"/>
  <c r="AL8" i="130"/>
  <c r="AK10" i="130"/>
  <c r="AK9" i="130"/>
  <c r="AK8" i="130"/>
  <c r="AL7" i="130"/>
  <c r="AK7" i="130"/>
  <c r="AI9" i="130"/>
  <c r="AI3" i="130"/>
  <c r="AI2" i="130"/>
  <c r="AI1" i="130"/>
  <c r="AJ22" i="130"/>
  <c r="AI21" i="130"/>
  <c r="AI20" i="130"/>
  <c r="AI19" i="130"/>
  <c r="AI18" i="130"/>
  <c r="AI17" i="130"/>
  <c r="AI11" i="130" s="1"/>
  <c r="AI15" i="130"/>
  <c r="AI13" i="130"/>
  <c r="AI12" i="130"/>
  <c r="AJ25" i="130"/>
  <c r="AJ24" i="130"/>
  <c r="AI26" i="130"/>
  <c r="AI25" i="130"/>
  <c r="AI24" i="130"/>
  <c r="CR10" i="130"/>
  <c r="CR11" i="130"/>
  <c r="CR12" i="130"/>
  <c r="CP19" i="130"/>
  <c r="CP20" i="130"/>
  <c r="CP21" i="130"/>
  <c r="CP22" i="130"/>
  <c r="CP23" i="130"/>
  <c r="CP24" i="130"/>
  <c r="CP25" i="130"/>
  <c r="CP26" i="130"/>
  <c r="CR9" i="130"/>
  <c r="CA2" i="130"/>
  <c r="CA3" i="130"/>
  <c r="CA4" i="130"/>
  <c r="CA5" i="130"/>
  <c r="CA6" i="130"/>
  <c r="CO1" i="130"/>
  <c r="CO2" i="130"/>
  <c r="CO3" i="130"/>
  <c r="CO4" i="130"/>
  <c r="CO5" i="130"/>
  <c r="CO6" i="130"/>
  <c r="CA1" i="130"/>
  <c r="BX2" i="130"/>
  <c r="BX3" i="130"/>
  <c r="BX4" i="130"/>
  <c r="BX5" i="130"/>
  <c r="BX6" i="130"/>
  <c r="CL1" i="130"/>
  <c r="CL2" i="130"/>
  <c r="CL3" i="130"/>
  <c r="CL4" i="130"/>
  <c r="CL5" i="130"/>
  <c r="CL6" i="130"/>
  <c r="BX1" i="130"/>
  <c r="CC2" i="130"/>
  <c r="CC3" i="130"/>
  <c r="CC4" i="130"/>
  <c r="CC5" i="130"/>
  <c r="CC6" i="130"/>
  <c r="CC1" i="130"/>
  <c r="BO2" i="130"/>
  <c r="BO3" i="130"/>
  <c r="BO4" i="130"/>
  <c r="BO5" i="130"/>
  <c r="BO6" i="130"/>
  <c r="BO1" i="130"/>
  <c r="AW7" i="130"/>
  <c r="AX15" i="130" s="1"/>
  <c r="AW8" i="130"/>
  <c r="AX16" i="130" s="1"/>
  <c r="BU3" i="130" s="1"/>
  <c r="AW9" i="130"/>
  <c r="AX17" i="130" s="1"/>
  <c r="BU4" i="130" s="1"/>
  <c r="AW10" i="130"/>
  <c r="AX18" i="130" s="1"/>
  <c r="AW11" i="130"/>
  <c r="AX19" i="130" s="1"/>
  <c r="AW12" i="130"/>
  <c r="AX20" i="130" s="1"/>
  <c r="AW13" i="130"/>
  <c r="AX21" i="130" s="1"/>
  <c r="AX12" i="130"/>
  <c r="AX22" i="130" s="1"/>
  <c r="AX13" i="130"/>
  <c r="AX1" i="130" s="1"/>
  <c r="BF8" i="130"/>
  <c r="AX2" i="130" s="1"/>
  <c r="BF9" i="130"/>
  <c r="AX3" i="130" s="1"/>
  <c r="AW6" i="130"/>
  <c r="AX14" i="130" s="1"/>
  <c r="BC12" i="130" s="1"/>
  <c r="B1" i="130"/>
  <c r="AV3" i="130"/>
  <c r="BE23" i="130" s="1"/>
  <c r="AV2" i="130"/>
  <c r="BE22" i="130" s="1"/>
  <c r="AV1" i="130"/>
  <c r="BE21" i="130" s="1"/>
  <c r="AV22" i="130"/>
  <c r="BE20" i="130" s="1"/>
  <c r="AV21" i="130"/>
  <c r="BE19" i="130" s="1"/>
  <c r="AV20" i="130"/>
  <c r="BE18" i="130" s="1"/>
  <c r="AV19" i="130"/>
  <c r="BE17" i="130" s="1"/>
  <c r="AV18" i="130"/>
  <c r="BE16" i="130" s="1"/>
  <c r="AV17" i="130"/>
  <c r="BE15" i="130" s="1"/>
  <c r="AV16" i="130"/>
  <c r="BE14" i="130" s="1"/>
  <c r="AV15" i="130"/>
  <c r="BE13" i="130" s="1"/>
  <c r="AV14" i="130"/>
  <c r="BE12" i="130" s="1"/>
  <c r="AT21" i="130"/>
  <c r="AQ7" i="130" s="1"/>
  <c r="AT22" i="130"/>
  <c r="AQ8" i="130" s="1"/>
  <c r="AT1" i="130"/>
  <c r="AQ9" i="130" s="1"/>
  <c r="AT2" i="130"/>
  <c r="AQ10" i="130" s="1"/>
  <c r="AT3" i="130"/>
  <c r="AQ11" i="130" s="1"/>
  <c r="AT20" i="130"/>
  <c r="AQ6" i="130" s="1"/>
  <c r="AT15" i="130"/>
  <c r="AQ24" i="130" s="1"/>
  <c r="AT16" i="130"/>
  <c r="AQ25" i="130" s="1"/>
  <c r="AT17" i="130"/>
  <c r="AQ26" i="130" s="1"/>
  <c r="AT18" i="130"/>
  <c r="AQ27" i="130" s="1"/>
  <c r="AT19" i="130"/>
  <c r="AQ28" i="130" s="1"/>
  <c r="AT14" i="130"/>
  <c r="AQ23" i="130" s="1"/>
  <c r="BE1" i="130" l="1"/>
  <c r="BG1" i="130" s="1"/>
  <c r="BB1" i="130"/>
  <c r="BC1" i="130" s="1"/>
  <c r="BF1" i="130"/>
  <c r="BS22" i="130" s="1"/>
  <c r="AK19" i="130"/>
  <c r="AX26" i="130"/>
  <c r="BL17" i="130"/>
  <c r="BL18" i="130"/>
  <c r="AX27" i="130"/>
  <c r="BL19" i="130"/>
  <c r="AX25" i="130"/>
  <c r="BD9" i="130"/>
  <c r="BD11" i="130"/>
  <c r="AX24" i="130"/>
  <c r="BD10" i="130"/>
  <c r="AX23" i="130"/>
  <c r="BD8" i="130"/>
  <c r="AK13" i="130"/>
  <c r="AK15" i="130" s="1"/>
  <c r="AL1" i="130"/>
  <c r="AK3" i="130"/>
  <c r="AK2" i="130"/>
  <c r="AI22" i="130"/>
  <c r="AL22" i="130" s="1"/>
  <c r="AK20" i="130"/>
  <c r="AL21" i="130"/>
  <c r="AL12" i="130"/>
  <c r="CQ26" i="130" s="1"/>
  <c r="AK1" i="130"/>
  <c r="AL18" i="130"/>
  <c r="AL19" i="130"/>
  <c r="AL17" i="130"/>
  <c r="AL20" i="130"/>
  <c r="AL13" i="130"/>
  <c r="CU22" i="130" s="1"/>
  <c r="AK12" i="130"/>
  <c r="AI14" i="130"/>
  <c r="AL14" i="130" s="1"/>
  <c r="AK5" i="130"/>
  <c r="AK17" i="130"/>
  <c r="AL3" i="130"/>
  <c r="AK18" i="130"/>
  <c r="AL11" i="130"/>
  <c r="AL2" i="130"/>
  <c r="AK21" i="130"/>
  <c r="AK11" i="130"/>
  <c r="CT27" i="130"/>
  <c r="CT28" i="130" s="1"/>
  <c r="BC21" i="130"/>
  <c r="CI4" i="130"/>
  <c r="BC20" i="130"/>
  <c r="CI3" i="130"/>
  <c r="BU6" i="130"/>
  <c r="BC17" i="130"/>
  <c r="CI2" i="130"/>
  <c r="BC19" i="130"/>
  <c r="BU5" i="130"/>
  <c r="BC16" i="130"/>
  <c r="CI1" i="130"/>
  <c r="BC18" i="130"/>
  <c r="BU2" i="130"/>
  <c r="BC13" i="130"/>
  <c r="BC23" i="130"/>
  <c r="CI6" i="130"/>
  <c r="BC22" i="130"/>
  <c r="CI5" i="130"/>
  <c r="BC15" i="130"/>
  <c r="BC14" i="130"/>
  <c r="CA16" i="130" l="1"/>
  <c r="CW10" i="130"/>
  <c r="CW11" i="130"/>
  <c r="CW12" i="130"/>
  <c r="CU19" i="130"/>
  <c r="AK22" i="130"/>
  <c r="CS22" i="130"/>
  <c r="CS23" i="130"/>
  <c r="CS24" i="130"/>
  <c r="CS25" i="130"/>
  <c r="CS26" i="130"/>
  <c r="CS21" i="130"/>
  <c r="CU20" i="130"/>
  <c r="CW9" i="130"/>
  <c r="CU9" i="130"/>
  <c r="CU10" i="130"/>
  <c r="CU11" i="130"/>
  <c r="CU12" i="130"/>
  <c r="CS19" i="130"/>
  <c r="CS20" i="130"/>
  <c r="CQ22" i="130"/>
  <c r="DE15" i="130"/>
  <c r="DE18" i="130"/>
  <c r="CY10" i="130"/>
  <c r="DE20" i="130"/>
  <c r="DE17" i="130"/>
  <c r="CY11" i="130"/>
  <c r="CY12" i="130"/>
  <c r="CW19" i="130"/>
  <c r="CW20" i="130"/>
  <c r="DE19" i="130"/>
  <c r="DE16" i="130"/>
  <c r="CY9" i="130"/>
  <c r="DC9" i="130"/>
  <c r="DI20" i="130"/>
  <c r="DI17" i="130"/>
  <c r="DA20" i="130"/>
  <c r="DI19" i="130"/>
  <c r="DI16" i="130"/>
  <c r="DC10" i="130"/>
  <c r="DC11" i="130"/>
  <c r="DC12" i="130"/>
  <c r="DI18" i="130"/>
  <c r="DI15" i="130"/>
  <c r="DA19" i="130"/>
  <c r="CQ24" i="130"/>
  <c r="CQ25" i="130"/>
  <c r="DA22" i="130"/>
  <c r="DI26" i="130"/>
  <c r="DI23" i="130"/>
  <c r="DA23" i="130"/>
  <c r="DA24" i="130"/>
  <c r="DA25" i="130"/>
  <c r="DA26" i="130"/>
  <c r="DI25" i="130"/>
  <c r="DI22" i="130"/>
  <c r="DA21" i="130"/>
  <c r="DI24" i="130"/>
  <c r="DI21" i="130"/>
  <c r="DF20" i="130"/>
  <c r="DF17" i="130"/>
  <c r="CZ10" i="130"/>
  <c r="CZ11" i="130"/>
  <c r="CZ12" i="130"/>
  <c r="CX19" i="130"/>
  <c r="DF19" i="130"/>
  <c r="DF16" i="130"/>
  <c r="CX20" i="130"/>
  <c r="CZ9" i="130"/>
  <c r="DF18" i="130"/>
  <c r="DF15" i="130"/>
  <c r="DE24" i="130"/>
  <c r="DE21" i="130"/>
  <c r="CW25" i="130"/>
  <c r="CW26" i="130"/>
  <c r="CW21" i="130"/>
  <c r="DE26" i="130"/>
  <c r="DE23" i="130"/>
  <c r="DE25" i="130"/>
  <c r="DE22" i="130"/>
  <c r="CW24" i="130"/>
  <c r="CW22" i="130"/>
  <c r="CW23" i="130"/>
  <c r="AL6" i="130"/>
  <c r="CY25" i="130"/>
  <c r="CY26" i="130"/>
  <c r="CY21" i="130"/>
  <c r="CY24" i="130"/>
  <c r="CY22" i="130"/>
  <c r="CY23" i="130"/>
  <c r="AK16" i="130"/>
  <c r="DC15" i="130"/>
  <c r="DC16" i="130"/>
  <c r="DC17" i="130"/>
  <c r="DC20" i="130"/>
  <c r="DC18" i="130"/>
  <c r="DC19" i="130"/>
  <c r="CS9" i="130"/>
  <c r="AK4" i="130"/>
  <c r="CQ23" i="130"/>
  <c r="AL4" i="130"/>
  <c r="CU23" i="130"/>
  <c r="CU26" i="130"/>
  <c r="AL23" i="130"/>
  <c r="CS11" i="130"/>
  <c r="CS12" i="130"/>
  <c r="AK23" i="130"/>
  <c r="CU24" i="130"/>
  <c r="CU21" i="130"/>
  <c r="CQ21" i="130"/>
  <c r="CS10" i="130"/>
  <c r="CQ20" i="130"/>
  <c r="AL15" i="130"/>
  <c r="AL5" i="130"/>
  <c r="AK14" i="130"/>
  <c r="CU25" i="130"/>
  <c r="CQ19" i="130"/>
  <c r="DN18" i="130" l="1"/>
  <c r="DN20" i="130"/>
  <c r="DN16" i="130"/>
  <c r="DN21" i="130"/>
  <c r="DN24" i="130"/>
  <c r="DN25" i="130"/>
  <c r="DN23" i="130"/>
  <c r="DN19" i="130"/>
  <c r="DN26" i="130"/>
  <c r="DN17" i="130"/>
  <c r="DN22" i="130"/>
  <c r="DI27" i="130"/>
  <c r="DI28" i="130" s="1"/>
  <c r="DN15" i="130"/>
  <c r="DG16" i="130"/>
  <c r="DG17" i="130"/>
  <c r="DG18" i="130"/>
  <c r="DG15" i="130"/>
  <c r="DG19" i="130"/>
  <c r="DG20" i="130"/>
  <c r="DL20" i="130" s="1"/>
  <c r="AK6" i="130"/>
  <c r="DA10" i="130"/>
  <c r="DA11" i="130"/>
  <c r="DA12" i="130"/>
  <c r="CY19" i="130"/>
  <c r="CY20" i="130"/>
  <c r="DA9" i="130"/>
  <c r="CX25" i="130"/>
  <c r="CX26" i="130"/>
  <c r="CX21" i="130"/>
  <c r="DF26" i="130"/>
  <c r="DF23" i="130"/>
  <c r="DF25" i="130"/>
  <c r="DF22" i="130"/>
  <c r="DF21" i="130"/>
  <c r="DF24" i="130"/>
  <c r="DF27" i="130" s="1"/>
  <c r="DF28" i="130" s="1"/>
  <c r="CX24" i="130"/>
  <c r="CX22" i="130"/>
  <c r="CX23" i="130"/>
  <c r="DJ26" i="130"/>
  <c r="DJ23" i="130"/>
  <c r="DB22" i="130"/>
  <c r="DB23" i="130"/>
  <c r="DB24" i="130"/>
  <c r="DB25" i="130"/>
  <c r="DJ25" i="130"/>
  <c r="DJ22" i="130"/>
  <c r="DO22" i="130" s="1"/>
  <c r="DB26" i="130"/>
  <c r="DB21" i="130"/>
  <c r="DJ24" i="130"/>
  <c r="DJ21" i="130"/>
  <c r="AL16" i="130"/>
  <c r="DC22" i="130"/>
  <c r="DC23" i="130"/>
  <c r="DC24" i="130"/>
  <c r="DC25" i="130"/>
  <c r="DC26" i="130"/>
  <c r="DC21" i="130"/>
  <c r="DA27" i="130"/>
  <c r="DA28" i="130" s="1"/>
  <c r="DE27" i="130"/>
  <c r="DE28" i="130" s="1"/>
  <c r="CU27" i="130"/>
  <c r="CU28" i="130" s="1"/>
  <c r="CQ27" i="130"/>
  <c r="CQ28" i="130" s="1"/>
  <c r="CW27" i="130"/>
  <c r="CW28" i="130" s="1"/>
  <c r="CS27" i="130"/>
  <c r="CS28" i="130" s="1"/>
  <c r="DN27" i="130" l="1"/>
  <c r="DN28" i="130" s="1"/>
  <c r="CX27" i="130"/>
  <c r="CX28" i="130" s="1"/>
  <c r="DL15" i="130"/>
  <c r="DL19" i="130"/>
  <c r="DO23" i="130"/>
  <c r="DL18" i="130"/>
  <c r="DO26" i="130"/>
  <c r="DL17" i="130"/>
  <c r="DO21" i="130"/>
  <c r="DL16" i="130"/>
  <c r="DO24" i="130"/>
  <c r="DO25" i="130"/>
  <c r="DD9" i="130"/>
  <c r="DJ20" i="130"/>
  <c r="DJ17" i="130"/>
  <c r="DB20" i="130"/>
  <c r="DJ19" i="130"/>
  <c r="DJ16" i="130"/>
  <c r="DD10" i="130"/>
  <c r="DD11" i="130"/>
  <c r="DJ18" i="130"/>
  <c r="DJ15" i="130"/>
  <c r="DD12" i="130"/>
  <c r="DB19" i="130"/>
  <c r="CY27" i="130"/>
  <c r="CY28" i="130" s="1"/>
  <c r="DC27" i="130"/>
  <c r="DC28" i="130" s="1"/>
  <c r="DG22" i="130"/>
  <c r="DL22" i="130" s="1"/>
  <c r="DG23" i="130"/>
  <c r="DL23" i="130" s="1"/>
  <c r="DG24" i="130"/>
  <c r="DL24" i="130" s="1"/>
  <c r="DG25" i="130"/>
  <c r="DL25" i="130" s="1"/>
  <c r="DG26" i="130"/>
  <c r="DL26" i="130" s="1"/>
  <c r="DG21" i="130"/>
  <c r="DL21" i="130" s="1"/>
  <c r="DO20" i="130" l="1"/>
  <c r="DL27" i="130"/>
  <c r="DL28" i="130" s="1"/>
  <c r="DB27" i="130"/>
  <c r="DB28" i="130" s="1"/>
  <c r="DO18" i="130"/>
  <c r="DO16" i="130"/>
  <c r="DO19" i="130"/>
  <c r="DO17" i="130"/>
  <c r="DJ27" i="130"/>
  <c r="DJ28" i="130" s="1"/>
  <c r="DO15" i="130"/>
  <c r="DG27" i="130"/>
  <c r="DG28" i="130" s="1"/>
  <c r="H27" i="130"/>
  <c r="CM7" i="130"/>
  <c r="DO27" i="130" l="1"/>
  <c r="DO28" i="130" s="1"/>
  <c r="CP27" i="130"/>
  <c r="CO7" i="130"/>
  <c r="CO8" i="130" l="1"/>
  <c r="W9" i="130"/>
  <c r="V9" i="130" s="1"/>
  <c r="CP28" i="130"/>
  <c r="W10" i="130"/>
  <c r="V10" i="130" s="1"/>
  <c r="AZ11" i="130" l="1"/>
  <c r="AT23" i="130"/>
  <c r="AT24" i="130"/>
  <c r="AT25" i="130"/>
  <c r="AT26" i="130"/>
  <c r="AT27" i="130"/>
  <c r="BH17" i="130"/>
  <c r="BH18" i="130"/>
  <c r="BH19" i="130"/>
  <c r="AZ10" i="130"/>
  <c r="AZ9" i="130"/>
  <c r="AZ8" i="130"/>
  <c r="CQ14" i="130"/>
  <c r="CT10" i="130" s="1"/>
  <c r="CQ15" i="130"/>
  <c r="CT11" i="130" s="1"/>
  <c r="CQ16" i="130"/>
  <c r="CT12" i="130" s="1"/>
  <c r="CQ17" i="130"/>
  <c r="CR19" i="130" s="1"/>
  <c r="CQ18" i="130"/>
  <c r="CR20" i="130" s="1"/>
  <c r="CH22" i="130"/>
  <c r="CR21" i="130" s="1"/>
  <c r="CH23" i="130"/>
  <c r="CR22" i="130" s="1"/>
  <c r="CH24" i="130"/>
  <c r="CR23" i="130" s="1"/>
  <c r="CH25" i="130"/>
  <c r="CR24" i="130" s="1"/>
  <c r="CH26" i="130"/>
  <c r="CR25" i="130" s="1"/>
  <c r="CH27" i="130"/>
  <c r="CR26" i="130" s="1"/>
  <c r="CQ13" i="130"/>
  <c r="CT9" i="130" s="1"/>
  <c r="CR14" i="130"/>
  <c r="CR15" i="130"/>
  <c r="CR16" i="130"/>
  <c r="CR17" i="130"/>
  <c r="CR18" i="130"/>
  <c r="CI22" i="130"/>
  <c r="CI23" i="130"/>
  <c r="CI24" i="130"/>
  <c r="CI25" i="130"/>
  <c r="CI26" i="130"/>
  <c r="CI27" i="130"/>
  <c r="CR13" i="130"/>
  <c r="CJ27" i="130"/>
  <c r="CS14" i="130"/>
  <c r="CS15" i="130"/>
  <c r="CS16" i="130"/>
  <c r="CS17" i="130"/>
  <c r="CS18" i="130"/>
  <c r="CJ22" i="130"/>
  <c r="CJ23" i="130"/>
  <c r="CJ24" i="130"/>
  <c r="CJ25" i="130"/>
  <c r="CJ26" i="130"/>
  <c r="CS13" i="130"/>
  <c r="CZ25" i="130" l="1"/>
  <c r="DD25" i="130"/>
  <c r="DH25" i="130"/>
  <c r="CZ22" i="130"/>
  <c r="DD22" i="130"/>
  <c r="DH22" i="130"/>
  <c r="DD15" i="130"/>
  <c r="DB9" i="130"/>
  <c r="DH15" i="130"/>
  <c r="CZ26" i="130"/>
  <c r="DD26" i="130"/>
  <c r="DH26" i="130"/>
  <c r="CZ24" i="130"/>
  <c r="DD24" i="130"/>
  <c r="DH24" i="130"/>
  <c r="CZ21" i="130"/>
  <c r="DD21" i="130"/>
  <c r="DH21" i="130"/>
  <c r="DD20" i="130"/>
  <c r="CZ20" i="130"/>
  <c r="DH20" i="130"/>
  <c r="CZ23" i="130"/>
  <c r="DD23" i="130"/>
  <c r="DH23" i="130"/>
  <c r="DD19" i="130"/>
  <c r="CZ19" i="130"/>
  <c r="DH19" i="130"/>
  <c r="DD18" i="130"/>
  <c r="DB12" i="130"/>
  <c r="DH18" i="130"/>
  <c r="DD17" i="130"/>
  <c r="DH17" i="130"/>
  <c r="DB11" i="130"/>
  <c r="DD16" i="130"/>
  <c r="DB10" i="130"/>
  <c r="DH16" i="130"/>
  <c r="A15" i="130"/>
  <c r="CX9" i="130"/>
  <c r="A25" i="130"/>
  <c r="CV25" i="130"/>
  <c r="A19" i="130"/>
  <c r="CV19" i="130"/>
  <c r="A26" i="130"/>
  <c r="CV26" i="130"/>
  <c r="A18" i="130"/>
  <c r="CX12" i="130"/>
  <c r="A23" i="130"/>
  <c r="CV23" i="130"/>
  <c r="A22" i="130"/>
  <c r="CV22" i="130"/>
  <c r="A17" i="130"/>
  <c r="CX11" i="130"/>
  <c r="A24" i="130"/>
  <c r="CV24" i="130"/>
  <c r="A21" i="130"/>
  <c r="CV21" i="130"/>
  <c r="A20" i="130"/>
  <c r="CV20" i="130"/>
  <c r="A16" i="130"/>
  <c r="CX10" i="130"/>
  <c r="AU24" i="130"/>
  <c r="AU26" i="130"/>
  <c r="AU27" i="130"/>
  <c r="BI17" i="130"/>
  <c r="BI18" i="130"/>
  <c r="BI19" i="130"/>
  <c r="AU25" i="130"/>
  <c r="BJ8" i="130"/>
  <c r="BL8" i="130"/>
  <c r="BJ9" i="130"/>
  <c r="BL9" i="130"/>
  <c r="BJ10" i="130"/>
  <c r="BL10" i="130"/>
  <c r="BJ11" i="130"/>
  <c r="BL11" i="130"/>
  <c r="BJ12" i="130"/>
  <c r="BL12" i="130"/>
  <c r="BJ7" i="130"/>
  <c r="BL7" i="130"/>
  <c r="BA9" i="130"/>
  <c r="BJ2" i="130"/>
  <c r="BL2" i="130"/>
  <c r="BA10" i="130"/>
  <c r="BJ3" i="130"/>
  <c r="BL3" i="130"/>
  <c r="BA11" i="130"/>
  <c r="BJ4" i="130"/>
  <c r="BL4" i="130"/>
  <c r="AU23" i="130"/>
  <c r="BJ5" i="130"/>
  <c r="BL5" i="130"/>
  <c r="BJ6" i="130"/>
  <c r="BL6" i="130"/>
  <c r="BL1" i="130"/>
  <c r="DM26" i="130" l="1"/>
  <c r="DM16" i="130"/>
  <c r="DM20" i="130"/>
  <c r="DM19" i="130"/>
  <c r="DM24" i="130"/>
  <c r="DM25" i="130"/>
  <c r="DM23" i="130"/>
  <c r="DM18" i="130"/>
  <c r="DM21" i="130"/>
  <c r="DM22" i="130"/>
  <c r="DM17" i="130"/>
  <c r="DM15" i="130"/>
  <c r="CZ27" i="130"/>
  <c r="CZ28" i="130" s="1"/>
  <c r="CR27" i="130"/>
  <c r="CR28" i="130" s="1"/>
  <c r="CV27" i="130"/>
  <c r="CV28" i="130" s="1"/>
  <c r="BA8" i="130"/>
  <c r="DM27" i="130" l="1"/>
  <c r="W11" i="130"/>
  <c r="V11" i="130" s="1"/>
  <c r="DM28" i="130"/>
  <c r="W12" i="130"/>
  <c r="V12" i="130" s="1"/>
  <c r="BU1" i="130"/>
  <c r="BU14" i="130" l="1"/>
  <c r="BT14" i="130"/>
  <c r="BA5" i="130"/>
  <c r="BA4" i="130"/>
  <c r="BA3" i="130"/>
  <c r="BA2" i="130"/>
  <c r="BS13" i="130"/>
  <c r="BS12" i="130"/>
  <c r="BS11" i="130"/>
  <c r="BS10" i="130"/>
  <c r="BS9" i="130"/>
  <c r="BS8" i="130"/>
  <c r="BS7" i="130"/>
  <c r="AZ2" i="130"/>
  <c r="AZ3" i="130"/>
  <c r="AZ4" i="130"/>
  <c r="BB4" i="130" s="1"/>
  <c r="AZ5" i="130"/>
  <c r="BB5" i="130" s="1"/>
  <c r="BR13" i="130"/>
  <c r="BR8" i="130"/>
  <c r="BR9" i="130"/>
  <c r="BR10" i="130"/>
  <c r="BR11" i="130"/>
  <c r="BR12" i="130"/>
  <c r="BR7" i="130"/>
  <c r="BT7" i="130" l="1"/>
  <c r="BB3" i="130"/>
  <c r="BT10" i="130"/>
  <c r="BT13" i="130"/>
  <c r="BT8" i="130"/>
  <c r="BT11" i="130"/>
  <c r="BT12" i="130"/>
  <c r="BB2" i="130"/>
  <c r="BT9" i="130"/>
  <c r="BR2" i="130" l="1"/>
  <c r="BR3" i="130"/>
  <c r="BR4" i="130"/>
  <c r="BR5" i="130"/>
  <c r="BR6" i="130"/>
  <c r="CF1" i="130"/>
  <c r="CF2" i="130"/>
  <c r="CF3" i="130"/>
  <c r="CF4" i="130"/>
  <c r="CF5" i="130"/>
  <c r="CF6" i="130"/>
  <c r="BR1" i="130"/>
  <c r="BJ1" i="130"/>
  <c r="CU14" i="130" l="1"/>
  <c r="CU15" i="130"/>
  <c r="CU16" i="130"/>
  <c r="CU17" i="130"/>
  <c r="CU18" i="130"/>
  <c r="CL22" i="130"/>
  <c r="CL23" i="130"/>
  <c r="CL24" i="130"/>
  <c r="CL25" i="130"/>
  <c r="CL26" i="130"/>
  <c r="CL27" i="130"/>
  <c r="CU13" i="130"/>
  <c r="DU3" i="130"/>
  <c r="DT3" i="130"/>
  <c r="CI10" i="130"/>
  <c r="CJ10" i="130" s="1"/>
  <c r="CI11" i="130"/>
  <c r="CI12" i="130"/>
  <c r="CI13" i="130"/>
  <c r="CJ13" i="130" s="1"/>
  <c r="CI14" i="130"/>
  <c r="CJ14" i="130" s="1"/>
  <c r="CF15" i="130"/>
  <c r="CF16" i="130"/>
  <c r="CG16" i="130" s="1"/>
  <c r="CF17" i="130"/>
  <c r="CG17" i="130" s="1"/>
  <c r="CF18" i="130"/>
  <c r="CF19" i="130"/>
  <c r="CG19" i="130" s="1"/>
  <c r="CF20" i="130"/>
  <c r="CG20" i="130" s="1"/>
  <c r="CI9" i="130"/>
  <c r="BA6" i="130"/>
  <c r="BA7" i="130" s="1"/>
  <c r="AZ6" i="130"/>
  <c r="AZ7" i="130" s="1"/>
  <c r="AO23" i="130" l="1"/>
  <c r="AM23" i="130"/>
  <c r="AO9" i="130"/>
  <c r="AM9" i="130"/>
  <c r="AO11" i="130"/>
  <c r="AM11" i="130"/>
  <c r="AO8" i="130"/>
  <c r="AM8" i="130"/>
  <c r="AO28" i="130"/>
  <c r="AM28" i="130"/>
  <c r="AO27" i="130"/>
  <c r="AM27" i="130"/>
  <c r="AO26" i="130"/>
  <c r="AM26" i="130"/>
  <c r="AO10" i="130"/>
  <c r="AM10" i="130"/>
  <c r="AO7" i="130"/>
  <c r="AM7" i="130"/>
  <c r="AO6" i="130"/>
  <c r="AM6" i="130"/>
  <c r="AO25" i="130"/>
  <c r="AM25" i="130"/>
  <c r="AO24" i="130"/>
  <c r="AM24" i="130"/>
  <c r="CH5" i="130"/>
  <c r="CH6" i="130"/>
  <c r="CH4" i="130"/>
  <c r="CH2" i="130"/>
  <c r="BT6" i="130"/>
  <c r="BT4" i="130"/>
  <c r="BT3" i="130"/>
  <c r="CH3" i="130"/>
  <c r="CH1" i="130"/>
  <c r="BT5" i="130"/>
  <c r="BT2" i="130"/>
  <c r="BZ1" i="130"/>
  <c r="CQ9" i="130"/>
  <c r="CN3" i="130"/>
  <c r="CO23" i="130"/>
  <c r="BZ6" i="130"/>
  <c r="CO20" i="130"/>
  <c r="BZ2" i="130"/>
  <c r="CQ10" i="130"/>
  <c r="CN5" i="130"/>
  <c r="CO25" i="130"/>
  <c r="BZ5" i="130"/>
  <c r="CO19" i="130"/>
  <c r="BZ4" i="130"/>
  <c r="CQ12" i="130"/>
  <c r="CN6" i="130"/>
  <c r="CO26" i="130"/>
  <c r="CN4" i="130"/>
  <c r="CO24" i="130"/>
  <c r="CN2" i="130"/>
  <c r="CO22" i="130"/>
  <c r="CN1" i="130"/>
  <c r="CO21" i="130"/>
  <c r="BZ3" i="130"/>
  <c r="CQ11" i="130"/>
  <c r="BW1" i="130"/>
  <c r="BT1" i="130"/>
  <c r="CK3" i="130"/>
  <c r="CK4" i="130"/>
  <c r="CK2" i="130"/>
  <c r="BW6" i="130"/>
  <c r="BW4" i="130"/>
  <c r="CK6" i="130"/>
  <c r="CK1" i="130"/>
  <c r="BW3" i="130"/>
  <c r="CK5" i="130"/>
  <c r="BW5" i="130"/>
  <c r="BW2" i="130"/>
  <c r="AX9" i="130"/>
  <c r="AU3" i="130"/>
  <c r="AW3" i="130"/>
  <c r="AS3" i="130"/>
  <c r="AR11" i="130" s="1"/>
  <c r="DR15" i="130" s="1"/>
  <c r="BD23" i="130"/>
  <c r="BB23" i="130"/>
  <c r="AX8" i="130"/>
  <c r="AS2" i="130"/>
  <c r="AR10" i="130" s="1"/>
  <c r="DR14" i="130" s="1"/>
  <c r="AU2" i="130"/>
  <c r="AW2" i="130"/>
  <c r="BB22" i="130"/>
  <c r="BD22" i="130"/>
  <c r="AV12" i="130"/>
  <c r="AS20" i="130"/>
  <c r="AR6" i="130" s="1"/>
  <c r="DR10" i="130" s="1"/>
  <c r="AU20" i="130"/>
  <c r="AW20" i="130"/>
  <c r="BD18" i="130"/>
  <c r="BB18" i="130"/>
  <c r="AV10" i="130"/>
  <c r="AW18" i="130"/>
  <c r="AU18" i="130"/>
  <c r="AS18" i="130"/>
  <c r="AR27" i="130" s="1"/>
  <c r="DR8" i="130" s="1"/>
  <c r="BB16" i="130"/>
  <c r="BD16" i="130"/>
  <c r="AV6" i="130"/>
  <c r="AW14" i="130"/>
  <c r="AS14" i="130"/>
  <c r="AU14" i="130"/>
  <c r="BB12" i="130"/>
  <c r="BD12" i="130"/>
  <c r="AX7" i="130"/>
  <c r="AS1" i="130"/>
  <c r="AR9" i="130" s="1"/>
  <c r="DR13" i="130" s="1"/>
  <c r="AU1" i="130"/>
  <c r="AW1" i="130"/>
  <c r="BB21" i="130"/>
  <c r="BD21" i="130"/>
  <c r="AV13" i="130"/>
  <c r="AU21" i="130"/>
  <c r="AW21" i="130"/>
  <c r="AS21" i="130"/>
  <c r="AR7" i="130" s="1"/>
  <c r="DR11" i="130" s="1"/>
  <c r="BD19" i="130"/>
  <c r="BB19" i="130"/>
  <c r="AV9" i="130"/>
  <c r="AW17" i="130"/>
  <c r="AS17" i="130"/>
  <c r="AR26" i="130" s="1"/>
  <c r="DR7" i="130" s="1"/>
  <c r="AU17" i="130"/>
  <c r="BD15" i="130"/>
  <c r="BB15" i="130"/>
  <c r="AV11" i="130"/>
  <c r="AS19" i="130"/>
  <c r="AR28" i="130" s="1"/>
  <c r="DR9" i="130" s="1"/>
  <c r="AU19" i="130"/>
  <c r="AW19" i="130"/>
  <c r="BD17" i="130"/>
  <c r="BB17" i="130"/>
  <c r="AV8" i="130"/>
  <c r="AS16" i="130"/>
  <c r="AR25" i="130" s="1"/>
  <c r="DR6" i="130" s="1"/>
  <c r="AU16" i="130"/>
  <c r="AW16" i="130"/>
  <c r="BB14" i="130"/>
  <c r="BD14" i="130"/>
  <c r="AX6" i="130"/>
  <c r="AS22" i="130"/>
  <c r="AR8" i="130" s="1"/>
  <c r="DR12" i="130" s="1"/>
  <c r="AU22" i="130"/>
  <c r="AW22" i="130"/>
  <c r="BB20" i="130"/>
  <c r="BD20" i="130"/>
  <c r="AV7" i="130"/>
  <c r="AS15" i="130"/>
  <c r="AR24" i="130" s="1"/>
  <c r="DR5" i="130" s="1"/>
  <c r="AU15" i="130"/>
  <c r="AW15" i="130"/>
  <c r="BB13" i="130"/>
  <c r="BD13" i="130"/>
  <c r="BI20" i="130"/>
  <c r="BI21" i="130" s="1"/>
  <c r="CJ11" i="130"/>
  <c r="CF21" i="130"/>
  <c r="CF22" i="130" s="1"/>
  <c r="CJ9" i="130"/>
  <c r="CG18" i="130"/>
  <c r="CG15" i="130"/>
  <c r="CJ12" i="130"/>
  <c r="CO27" i="130" l="1"/>
  <c r="CO28" i="130" s="1"/>
  <c r="CN7" i="130"/>
  <c r="CN8" i="130" s="1"/>
  <c r="AR23" i="130"/>
  <c r="DR4" i="130" s="1"/>
  <c r="AU4" i="130"/>
  <c r="AU5" i="130" s="1"/>
  <c r="AW4" i="130"/>
  <c r="AW5" i="130" s="1"/>
  <c r="E27" i="130"/>
  <c r="D27" i="130"/>
  <c r="CJ7" i="130"/>
  <c r="G27" i="130"/>
  <c r="F27" i="130"/>
  <c r="BR16" i="130"/>
  <c r="BR17" i="130"/>
  <c r="BR18" i="130"/>
  <c r="BR19" i="130"/>
  <c r="BR20" i="130"/>
  <c r="BR21" i="130"/>
  <c r="BR23" i="130"/>
  <c r="BR24" i="130"/>
  <c r="BR25" i="130"/>
  <c r="BR26" i="130"/>
  <c r="BR15" i="130"/>
  <c r="BV8" i="130"/>
  <c r="BV9" i="130"/>
  <c r="BV10" i="130"/>
  <c r="BV11" i="130"/>
  <c r="BV12" i="130"/>
  <c r="BV13" i="130"/>
  <c r="BD2" i="130"/>
  <c r="BD3" i="130"/>
  <c r="BD4" i="130"/>
  <c r="BD5" i="130"/>
  <c r="BV7" i="130"/>
  <c r="BW7" i="130" s="1"/>
  <c r="BZ17" i="130"/>
  <c r="BZ19" i="130"/>
  <c r="BZ20" i="130"/>
  <c r="CC10" i="130"/>
  <c r="BO16" i="130"/>
  <c r="BY7" i="130" l="1"/>
  <c r="BX7" i="130"/>
  <c r="BL20" i="130"/>
  <c r="BL21" i="130" s="1"/>
  <c r="BD6" i="130"/>
  <c r="BD7" i="130" s="1"/>
  <c r="BR27" i="130"/>
  <c r="BR28" i="130" s="1"/>
  <c r="BJ13" i="130"/>
  <c r="BJ14" i="130" s="1"/>
  <c r="BW11" i="130"/>
  <c r="BE2" i="130"/>
  <c r="BE4" i="130"/>
  <c r="BE5" i="130"/>
  <c r="BZ18" i="130"/>
  <c r="BZ15" i="130"/>
  <c r="CC14" i="130"/>
  <c r="CC13" i="130"/>
  <c r="CC12" i="130"/>
  <c r="CC11" i="130"/>
  <c r="CC9" i="130"/>
  <c r="BE3" i="130"/>
  <c r="BW12" i="130"/>
  <c r="BW13" i="130"/>
  <c r="BW10" i="130"/>
  <c r="BW9" i="130"/>
  <c r="BW8" i="130"/>
  <c r="BG2" i="130" l="1"/>
  <c r="BF2" i="130"/>
  <c r="BG4" i="130"/>
  <c r="BF4" i="130"/>
  <c r="BY11" i="130"/>
  <c r="BX11" i="130"/>
  <c r="BY13" i="130"/>
  <c r="BX13" i="130"/>
  <c r="BY10" i="130"/>
  <c r="BX10" i="130"/>
  <c r="BG5" i="130"/>
  <c r="BF5" i="130"/>
  <c r="BY12" i="130"/>
  <c r="BX12" i="130"/>
  <c r="BY8" i="130"/>
  <c r="BX8" i="130"/>
  <c r="BY9" i="130"/>
  <c r="BX9" i="130"/>
  <c r="BG3" i="130"/>
  <c r="BF3" i="130"/>
  <c r="BE6" i="130"/>
  <c r="BE7" i="130" s="1"/>
  <c r="BZ21" i="130"/>
  <c r="BZ22" i="130" s="1"/>
  <c r="BC4" i="130"/>
  <c r="BU13" i="130"/>
  <c r="BC3" i="130"/>
  <c r="BC2" i="130"/>
  <c r="BC5" i="130"/>
  <c r="AM12" i="130" l="1"/>
  <c r="AM13" i="130" s="1"/>
  <c r="AN12" i="130"/>
  <c r="AN13" i="130" s="1"/>
  <c r="BU12" i="130" l="1"/>
  <c r="BU11" i="130"/>
  <c r="BU10" i="130"/>
  <c r="BU9" i="130"/>
  <c r="BU8" i="130"/>
  <c r="BU7" i="130"/>
  <c r="BB6" i="130" l="1"/>
  <c r="BB7" i="130" s="1"/>
  <c r="CG21" i="130"/>
  <c r="CG22" i="130" s="1"/>
  <c r="BC6" i="130"/>
  <c r="BC7" i="130" s="1"/>
  <c r="BG6" i="130" l="1"/>
  <c r="BG7" i="130" s="1"/>
  <c r="BS15" i="130"/>
  <c r="CD9" i="130"/>
  <c r="BT15" i="130" l="1"/>
  <c r="AN14" i="130"/>
  <c r="AM15" i="130" l="1"/>
  <c r="AO14" i="130"/>
  <c r="BA14" i="130" s="1"/>
  <c r="AZ14" i="130" s="1"/>
  <c r="AP14" i="130"/>
  <c r="AQ14" i="130" l="1"/>
  <c r="AN15" i="130"/>
  <c r="AM16" i="130" s="1"/>
  <c r="AO15" i="130" l="1"/>
  <c r="BA15" i="130" s="1"/>
  <c r="AZ15" i="130" s="1"/>
  <c r="AP15" i="130"/>
  <c r="AQ15" i="130" l="1"/>
  <c r="AN16" i="130"/>
  <c r="AM17" i="130" s="1"/>
  <c r="AO16" i="130" l="1"/>
  <c r="BA16" i="130" s="1"/>
  <c r="AZ16" i="130" s="1"/>
  <c r="AP16" i="130"/>
  <c r="AQ16" i="130" l="1"/>
  <c r="AN17" i="130"/>
  <c r="AM18" i="130" s="1"/>
  <c r="AO17" i="130" l="1"/>
  <c r="BA17" i="130" s="1"/>
  <c r="AZ17" i="130" s="1"/>
  <c r="AP17" i="130"/>
  <c r="AQ17" i="130" l="1"/>
  <c r="AN18" i="130"/>
  <c r="AM19" i="130" s="1"/>
  <c r="AO18" i="130" l="1"/>
  <c r="BA18" i="130" s="1"/>
  <c r="AZ18" i="130" s="1"/>
  <c r="AP18" i="130"/>
  <c r="AQ18" i="130" l="1"/>
  <c r="AN19" i="130"/>
  <c r="AM20" i="130" s="1"/>
  <c r="AP19" i="130" l="1"/>
  <c r="AO19" i="130"/>
  <c r="BA19" i="130" s="1"/>
  <c r="AZ19" i="130" s="1"/>
  <c r="AQ19" i="130" l="1"/>
  <c r="AN20" i="130"/>
  <c r="AM21" i="130" s="1"/>
  <c r="AP20" i="130" l="1"/>
  <c r="AO20" i="130"/>
  <c r="BA20" i="130" s="1"/>
  <c r="AZ20" i="130" s="1"/>
  <c r="AQ20" i="130" l="1"/>
  <c r="AN21" i="130"/>
  <c r="AM22" i="130" s="1"/>
  <c r="AO21" i="130" l="1"/>
  <c r="BA21" i="130" s="1"/>
  <c r="AZ21" i="130" s="1"/>
  <c r="AP21" i="130"/>
  <c r="AQ21" i="130" l="1"/>
  <c r="AN22" i="130"/>
  <c r="AM1" i="130" s="1"/>
  <c r="AO22" i="130" l="1"/>
  <c r="BA22" i="130" s="1"/>
  <c r="AZ22" i="130" s="1"/>
  <c r="AP22" i="130"/>
  <c r="AQ22" i="130" l="1"/>
  <c r="AN1" i="130"/>
  <c r="AM2" i="130" s="1"/>
  <c r="AP1" i="130" l="1"/>
  <c r="AO1" i="130"/>
  <c r="BA23" i="130" s="1"/>
  <c r="AZ23" i="130" s="1"/>
  <c r="AQ1" i="130" l="1"/>
  <c r="AN2" i="130"/>
  <c r="AM3" i="130" s="1"/>
  <c r="AP2" i="130" l="1"/>
  <c r="AO2" i="130"/>
  <c r="BA24" i="130" s="1"/>
  <c r="AZ24" i="130" s="1"/>
  <c r="AQ2" i="130" l="1"/>
  <c r="AN3" i="130"/>
  <c r="AO3" i="130" l="1"/>
  <c r="BA25" i="130" s="1"/>
  <c r="AZ25" i="130" s="1"/>
  <c r="AP3" i="130"/>
  <c r="AP4" i="130" s="1"/>
  <c r="AO4" i="130" l="1"/>
  <c r="AQ3" i="130"/>
  <c r="AQ4" i="130" s="1"/>
  <c r="BO19" i="130" l="1"/>
  <c r="BO18" i="130"/>
  <c r="BO17" i="130"/>
  <c r="BQ16" i="130" l="1"/>
  <c r="BQ17" i="130" s="1"/>
  <c r="BQ18" i="130" s="1"/>
  <c r="BQ19" i="130" s="1"/>
  <c r="BS20" i="130" l="1"/>
  <c r="CD14" i="130"/>
  <c r="BS18" i="130"/>
  <c r="CD12" i="130"/>
  <c r="BS16" i="130"/>
  <c r="CD10" i="130"/>
  <c r="BT16" i="130" l="1"/>
  <c r="BU16" i="130" s="1"/>
  <c r="BS17" i="130"/>
  <c r="BT18" i="130" s="1"/>
  <c r="BU18" i="130" s="1"/>
  <c r="CD11" i="130"/>
  <c r="BS19" i="130"/>
  <c r="CD13" i="130"/>
  <c r="BT20" i="130"/>
  <c r="BU20" i="130" s="1"/>
  <c r="BT19" i="130"/>
  <c r="BU19" i="130" s="1"/>
  <c r="BT17" i="130" l="1"/>
  <c r="BU17" i="130" s="1"/>
  <c r="BS21" i="130"/>
  <c r="BT22" i="130" s="1"/>
  <c r="BU22" i="130" s="1"/>
  <c r="CA15" i="130"/>
  <c r="BT21" i="130"/>
  <c r="BU21" i="130" s="1"/>
  <c r="BV22" i="130" l="1"/>
  <c r="BW16" i="130" s="1"/>
  <c r="BY16" i="130" s="1"/>
  <c r="BS25" i="130"/>
  <c r="CA19" i="130"/>
  <c r="BS23" i="130"/>
  <c r="CA17" i="130"/>
  <c r="BS24" i="130"/>
  <c r="CA18" i="130"/>
  <c r="CA20" i="130"/>
  <c r="BX16" i="130" l="1"/>
  <c r="BT25" i="130"/>
  <c r="BU25" i="130" s="1"/>
  <c r="BT24" i="130"/>
  <c r="BU24" i="130" s="1"/>
  <c r="CA21" i="130"/>
  <c r="CA22" i="130" s="1"/>
  <c r="BF6" i="130"/>
  <c r="BF7" i="130" s="1"/>
  <c r="BT23" i="130"/>
  <c r="BU23" i="130" s="1"/>
  <c r="BS26" i="130"/>
  <c r="BS27" i="130" l="1"/>
  <c r="BS28" i="130" s="1"/>
  <c r="BT26" i="130"/>
  <c r="BU26" i="130" s="1"/>
  <c r="BV26" i="130" s="1"/>
  <c r="BW20" i="130" s="1"/>
  <c r="BX20" i="130" s="1"/>
  <c r="BU15" i="130"/>
  <c r="BV15" i="130" s="1"/>
  <c r="BZ9" i="130" s="1"/>
  <c r="CA9" i="130" s="1"/>
  <c r="BV17" i="130"/>
  <c r="BZ11" i="130" s="1"/>
  <c r="CA11" i="130" s="1"/>
  <c r="BV18" i="130"/>
  <c r="BZ12" i="130" s="1"/>
  <c r="CA12" i="130" s="1"/>
  <c r="BV19" i="130"/>
  <c r="BZ13" i="130" s="1"/>
  <c r="CA13" i="130" s="1"/>
  <c r="BV20" i="130"/>
  <c r="BZ14" i="130" s="1"/>
  <c r="CA14" i="130" s="1"/>
  <c r="BV21" i="130"/>
  <c r="BW15" i="130" s="1"/>
  <c r="BX15" i="130" s="1"/>
  <c r="BV23" i="130"/>
  <c r="BW17" i="130" s="1"/>
  <c r="BX17" i="130" s="1"/>
  <c r="BV24" i="130"/>
  <c r="BW18" i="130" s="1"/>
  <c r="BX18" i="130" s="1"/>
  <c r="BV25" i="130"/>
  <c r="BW19" i="130" s="1"/>
  <c r="BX19" i="130" s="1"/>
  <c r="BY17" i="130" l="1"/>
  <c r="CB13" i="130"/>
  <c r="BY18" i="130"/>
  <c r="BY15" i="130"/>
  <c r="CB11" i="130"/>
  <c r="CB9" i="130"/>
  <c r="BY19" i="130"/>
  <c r="CB14" i="130"/>
  <c r="CB12" i="130"/>
  <c r="BY20" i="130"/>
  <c r="BV16" i="130"/>
  <c r="BZ10" i="130" s="1"/>
  <c r="CA10" i="130" s="1"/>
  <c r="CJ28" i="130" l="1"/>
  <c r="CJ29" i="130" s="1"/>
  <c r="CB10" i="130"/>
  <c r="BX21" i="130" l="1"/>
  <c r="BX22" i="130" s="1"/>
  <c r="AS4" i="130" l="1"/>
  <c r="AS5" i="130" s="1"/>
  <c r="BD24" i="130" l="1"/>
  <c r="BD25" i="130" s="1"/>
  <c r="BB24" i="130"/>
  <c r="BB25" i="130" s="1"/>
  <c r="CH7" i="130"/>
  <c r="AZ26" i="130"/>
  <c r="AZ27" i="130" s="1"/>
  <c r="CH8" i="130" l="1"/>
  <c r="DR16" i="130" l="1"/>
  <c r="DR17" i="130" s="1"/>
  <c r="AX10" i="130" l="1"/>
  <c r="AX11" i="130" s="1"/>
  <c r="CC7" i="130"/>
  <c r="CC8" i="130" s="1"/>
  <c r="CK7" i="130"/>
  <c r="CK8" i="130" s="1"/>
  <c r="W6" i="130" l="1"/>
  <c r="V6" i="130" s="1"/>
  <c r="AR12" i="130"/>
  <c r="AR13" i="130" s="1"/>
  <c r="AQ12" i="130"/>
  <c r="AQ13" i="130" s="1"/>
  <c r="W14" i="130" l="1"/>
  <c r="V14" i="130" s="1"/>
  <c r="CF7" i="130" l="1"/>
  <c r="CF8" i="130" s="1"/>
  <c r="AT4" i="130" l="1"/>
  <c r="AT5" i="130" s="1"/>
  <c r="AV4" i="130"/>
  <c r="AV5" i="130" s="1"/>
  <c r="AX4" i="130" l="1"/>
  <c r="AX5" i="130" s="1"/>
  <c r="BA26" i="130"/>
  <c r="BA27" i="130" l="1"/>
  <c r="W1" i="130" s="1"/>
  <c r="V1" i="130" s="1"/>
  <c r="BF10" i="130"/>
  <c r="BF11" i="130" s="1"/>
  <c r="W2" i="130" s="1"/>
  <c r="V2" i="130" s="1"/>
  <c r="BC24" i="130"/>
  <c r="BC25" i="130" s="1"/>
  <c r="W3" i="130" s="1"/>
  <c r="V3" i="130" s="1"/>
  <c r="BE24" i="130"/>
  <c r="BE25" i="130" l="1"/>
  <c r="W4" i="130" s="1"/>
  <c r="V4" i="130" s="1"/>
  <c r="BH20" i="130"/>
  <c r="BH21" i="130" s="1"/>
  <c r="W5" i="130" s="1"/>
  <c r="V5" i="130" s="1"/>
  <c r="BL13" i="130"/>
  <c r="BL14" i="130" s="1"/>
  <c r="CI7" i="130"/>
  <c r="CI8" i="130" s="1"/>
  <c r="W7" i="130" l="1"/>
  <c r="V7" i="130" s="1"/>
  <c r="CL7" i="130"/>
  <c r="CL8" i="130" l="1"/>
  <c r="W8" i="130" s="1"/>
  <c r="V8" i="130" s="1"/>
  <c r="CT13" i="130"/>
  <c r="CT14" i="130"/>
  <c r="CT15" i="130"/>
  <c r="CT16" i="130"/>
  <c r="CT17" i="130"/>
  <c r="CT18" i="130"/>
  <c r="CK22" i="130"/>
  <c r="CK23" i="130"/>
  <c r="CK24" i="130"/>
  <c r="CK25" i="130"/>
  <c r="CK26" i="130"/>
  <c r="CK27" i="130"/>
  <c r="CI28" i="130"/>
  <c r="CI29" i="130" s="1"/>
  <c r="CK28" i="130" l="1"/>
  <c r="CK29" i="130" s="1"/>
  <c r="CV13" i="130"/>
  <c r="CW13" i="130"/>
  <c r="CV14" i="130"/>
  <c r="CW14" i="130"/>
  <c r="CV15" i="130"/>
  <c r="CW15" i="130"/>
  <c r="CV16" i="130"/>
  <c r="CW16" i="130"/>
  <c r="CV17" i="130"/>
  <c r="CW17" i="130"/>
  <c r="CV18" i="130"/>
  <c r="CW18" i="130"/>
  <c r="CM22" i="130"/>
  <c r="CN22" i="130"/>
  <c r="CM23" i="130"/>
  <c r="CN23" i="130"/>
  <c r="CM24" i="130"/>
  <c r="CN24" i="130"/>
  <c r="CM25" i="130"/>
  <c r="CN25" i="130"/>
  <c r="CM26" i="130"/>
  <c r="CN26" i="130"/>
  <c r="CM27" i="130"/>
  <c r="CN27" i="130"/>
  <c r="W19" i="130" l="1"/>
  <c r="V19" i="130" s="1"/>
  <c r="AO12" i="130"/>
  <c r="AO13" i="130" l="1"/>
  <c r="W13" i="130" s="1"/>
  <c r="V13" i="130" s="1"/>
  <c r="DD27" i="130" l="1"/>
  <c r="DD28" i="130" s="1"/>
  <c r="DH27" i="130"/>
  <c r="DH28" i="130" s="1"/>
  <c r="BH1" i="130" l="1"/>
  <c r="BI1" i="130"/>
  <c r="BK1" i="130"/>
  <c r="BN1" i="130"/>
  <c r="BP1" i="130"/>
  <c r="BQ1" i="130"/>
  <c r="CB1" i="130"/>
  <c r="CD1" i="130"/>
  <c r="CE1" i="130"/>
  <c r="CP1" i="130"/>
  <c r="CQ1" i="130"/>
  <c r="CR1" i="130"/>
  <c r="CS1" i="130"/>
  <c r="CT1" i="130"/>
  <c r="CU1" i="130"/>
  <c r="BH2" i="130"/>
  <c r="BI2" i="130"/>
  <c r="BK2" i="130"/>
  <c r="BN2" i="130"/>
  <c r="BP2" i="130"/>
  <c r="BQ2" i="130"/>
  <c r="CB2" i="130"/>
  <c r="CD2" i="130"/>
  <c r="CE2" i="130"/>
  <c r="CP2" i="130"/>
  <c r="CQ2" i="130"/>
  <c r="CR2" i="130"/>
  <c r="CS2" i="130"/>
  <c r="CT2" i="130"/>
  <c r="CU2" i="130"/>
  <c r="BH3" i="130"/>
  <c r="BI3" i="130"/>
  <c r="BK3" i="130"/>
  <c r="BN3" i="130"/>
  <c r="BP3" i="130"/>
  <c r="BQ3" i="130"/>
  <c r="CB3" i="130"/>
  <c r="CD3" i="130"/>
  <c r="CE3" i="130"/>
  <c r="CP3" i="130"/>
  <c r="CQ3" i="130"/>
  <c r="CR3" i="130"/>
  <c r="CS3" i="130"/>
  <c r="CT3" i="130"/>
  <c r="CU3" i="130"/>
  <c r="BH4" i="130"/>
  <c r="BI4" i="130"/>
  <c r="BK4" i="130"/>
  <c r="BN4" i="130"/>
  <c r="BP4" i="130"/>
  <c r="BQ4" i="130"/>
  <c r="CB4" i="130"/>
  <c r="CD4" i="130"/>
  <c r="CE4" i="130"/>
  <c r="CP4" i="130"/>
  <c r="CQ4" i="130"/>
  <c r="CR4" i="130"/>
  <c r="CS4" i="130"/>
  <c r="CT4" i="130"/>
  <c r="CU4" i="130"/>
  <c r="DP4" i="130"/>
  <c r="DQ4" i="130"/>
  <c r="DS4" i="130"/>
  <c r="DT4" i="130"/>
  <c r="DU4" i="130"/>
  <c r="DV4" i="130"/>
  <c r="BH5" i="130"/>
  <c r="BI5" i="130"/>
  <c r="BK5" i="130"/>
  <c r="BN5" i="130"/>
  <c r="BP5" i="130"/>
  <c r="BQ5" i="130"/>
  <c r="CB5" i="130"/>
  <c r="CD5" i="130"/>
  <c r="CE5" i="130"/>
  <c r="CP5" i="130"/>
  <c r="CQ5" i="130"/>
  <c r="CR5" i="130"/>
  <c r="CS5" i="130"/>
  <c r="CT5" i="130"/>
  <c r="CU5" i="130"/>
  <c r="DP5" i="130"/>
  <c r="DQ5" i="130"/>
  <c r="DS5" i="130"/>
  <c r="DT5" i="130"/>
  <c r="DU5" i="130"/>
  <c r="DV5" i="130"/>
  <c r="AS6" i="130"/>
  <c r="AT6" i="130"/>
  <c r="AU6" i="130"/>
  <c r="BH6" i="130"/>
  <c r="BI6" i="130"/>
  <c r="BK6" i="130"/>
  <c r="BN6" i="130"/>
  <c r="BP6" i="130"/>
  <c r="BQ6" i="130"/>
  <c r="CB6" i="130"/>
  <c r="CD6" i="130"/>
  <c r="CE6" i="130"/>
  <c r="CP6" i="130"/>
  <c r="CQ6" i="130"/>
  <c r="CR6" i="130"/>
  <c r="CS6" i="130"/>
  <c r="CT6" i="130"/>
  <c r="CU6" i="130"/>
  <c r="DP6" i="130"/>
  <c r="DQ6" i="130"/>
  <c r="DS6" i="130"/>
  <c r="DT6" i="130"/>
  <c r="DU6" i="130"/>
  <c r="DV6" i="130"/>
  <c r="AS7" i="130"/>
  <c r="AT7" i="130"/>
  <c r="AU7" i="130"/>
  <c r="BH7" i="130"/>
  <c r="BI7" i="130"/>
  <c r="BK7" i="130"/>
  <c r="BN7" i="130"/>
  <c r="BO7" i="130"/>
  <c r="BP7" i="130"/>
  <c r="CB7" i="130"/>
  <c r="CD7" i="130"/>
  <c r="CE7" i="130"/>
  <c r="CP7" i="130"/>
  <c r="CQ7" i="130"/>
  <c r="CR7" i="130"/>
  <c r="CS7" i="130"/>
  <c r="CT7" i="130"/>
  <c r="CU7" i="130"/>
  <c r="DP7" i="130"/>
  <c r="DQ7" i="130"/>
  <c r="DS7" i="130"/>
  <c r="DT7" i="130"/>
  <c r="DU7" i="130"/>
  <c r="DV7" i="130"/>
  <c r="AS8" i="130"/>
  <c r="AT8" i="130"/>
  <c r="AU8" i="130"/>
  <c r="AY8" i="130"/>
  <c r="BB8" i="130"/>
  <c r="BC8" i="130"/>
  <c r="BE8" i="130"/>
  <c r="BH8" i="130"/>
  <c r="BI8" i="130"/>
  <c r="BK8" i="130"/>
  <c r="BN8" i="130"/>
  <c r="BO8" i="130"/>
  <c r="BP8" i="130"/>
  <c r="CB8" i="130"/>
  <c r="CD8" i="130"/>
  <c r="CE8" i="130"/>
  <c r="CP8" i="130"/>
  <c r="CQ8" i="130"/>
  <c r="CR8" i="130"/>
  <c r="CS8" i="130"/>
  <c r="CT8" i="130"/>
  <c r="CU8" i="130"/>
  <c r="DP8" i="130"/>
  <c r="DQ8" i="130"/>
  <c r="DS8" i="130"/>
  <c r="DT8" i="130"/>
  <c r="DU8" i="130"/>
  <c r="DV8" i="130"/>
  <c r="AS9" i="130"/>
  <c r="AT9" i="130"/>
  <c r="AU9" i="130"/>
  <c r="AY9" i="130"/>
  <c r="BB9" i="130"/>
  <c r="BC9" i="130"/>
  <c r="BE9" i="130"/>
  <c r="BH9" i="130"/>
  <c r="BI9" i="130"/>
  <c r="BK9" i="130"/>
  <c r="BN9" i="130"/>
  <c r="BO9" i="130"/>
  <c r="BP9" i="130"/>
  <c r="CF9" i="130"/>
  <c r="CG9" i="130"/>
  <c r="CH9" i="130"/>
  <c r="CK9" i="130"/>
  <c r="CL9" i="130"/>
  <c r="CM9" i="130"/>
  <c r="CN9" i="130"/>
  <c r="CO9" i="130"/>
  <c r="CP9" i="130"/>
  <c r="DP9" i="130"/>
  <c r="DQ9" i="130"/>
  <c r="DS9" i="130"/>
  <c r="DT9" i="130"/>
  <c r="DU9" i="130"/>
  <c r="DV9" i="130"/>
  <c r="AS10" i="130"/>
  <c r="AT10" i="130"/>
  <c r="AU10" i="130"/>
  <c r="AY10" i="130"/>
  <c r="BB10" i="130"/>
  <c r="BC10" i="130"/>
  <c r="BE10" i="130"/>
  <c r="BH10" i="130"/>
  <c r="BI10" i="130"/>
  <c r="BK10" i="130"/>
  <c r="BN10" i="130"/>
  <c r="BO10" i="130"/>
  <c r="BP10" i="130"/>
  <c r="CF10" i="130"/>
  <c r="CG10" i="130"/>
  <c r="CH10" i="130"/>
  <c r="CK10" i="130"/>
  <c r="CL10" i="130"/>
  <c r="CM10" i="130"/>
  <c r="CN10" i="130"/>
  <c r="CO10" i="130"/>
  <c r="CP10" i="130"/>
  <c r="DP10" i="130"/>
  <c r="DQ10" i="130"/>
  <c r="DS10" i="130"/>
  <c r="DT10" i="130"/>
  <c r="DU10" i="130"/>
  <c r="DV10" i="130"/>
  <c r="AS11" i="130"/>
  <c r="AT11" i="130"/>
  <c r="AU11" i="130"/>
  <c r="AY11" i="130"/>
  <c r="BB11" i="130"/>
  <c r="BC11" i="130"/>
  <c r="BE11" i="130"/>
  <c r="BH11" i="130"/>
  <c r="BI11" i="130"/>
  <c r="BK11" i="130"/>
  <c r="BN11" i="130"/>
  <c r="BO11" i="130"/>
  <c r="BP11" i="130"/>
  <c r="CF11" i="130"/>
  <c r="CG11" i="130"/>
  <c r="CH11" i="130"/>
  <c r="CK11" i="130"/>
  <c r="CL11" i="130"/>
  <c r="CM11" i="130"/>
  <c r="CN11" i="130"/>
  <c r="CO11" i="130"/>
  <c r="CP11" i="130"/>
  <c r="DP11" i="130"/>
  <c r="DQ11" i="130"/>
  <c r="DS11" i="130"/>
  <c r="DT11" i="130"/>
  <c r="DU11" i="130"/>
  <c r="DV11" i="130"/>
  <c r="AS12" i="130"/>
  <c r="AT12" i="130"/>
  <c r="AU12" i="130"/>
  <c r="BH12" i="130"/>
  <c r="BI12" i="130"/>
  <c r="BK12" i="130"/>
  <c r="BM12" i="130"/>
  <c r="BN12" i="130"/>
  <c r="BO12" i="130"/>
  <c r="BP12" i="130"/>
  <c r="CF12" i="130"/>
  <c r="CG12" i="130"/>
  <c r="CH12" i="130"/>
  <c r="CK12" i="130"/>
  <c r="CL12" i="130"/>
  <c r="CM12" i="130"/>
  <c r="CN12" i="130"/>
  <c r="CO12" i="130"/>
  <c r="CP12" i="130"/>
  <c r="DP12" i="130"/>
  <c r="DQ12" i="130"/>
  <c r="DS12" i="130"/>
  <c r="DT12" i="130"/>
  <c r="DU12" i="130"/>
  <c r="DV12" i="130"/>
  <c r="AS13" i="130"/>
  <c r="AT13" i="130"/>
  <c r="AU13" i="130"/>
  <c r="BH13" i="130"/>
  <c r="BI13" i="130"/>
  <c r="BK13" i="130"/>
  <c r="BM13" i="130"/>
  <c r="CF13" i="130"/>
  <c r="CG13" i="130"/>
  <c r="CH13" i="130"/>
  <c r="CK13" i="130"/>
  <c r="CL13" i="130"/>
  <c r="CM13" i="130"/>
  <c r="CN13" i="130"/>
  <c r="CO13" i="130"/>
  <c r="CP13" i="130"/>
  <c r="DP13" i="130"/>
  <c r="DQ13" i="130"/>
  <c r="DS13" i="130"/>
  <c r="DT13" i="130"/>
  <c r="DU13" i="130"/>
  <c r="DV13" i="130"/>
  <c r="BH14" i="130"/>
  <c r="BI14" i="130"/>
  <c r="BK14" i="130"/>
  <c r="BM14" i="130"/>
  <c r="CF14" i="130"/>
  <c r="CG14" i="130"/>
  <c r="CH14" i="130"/>
  <c r="CK14" i="130"/>
  <c r="CL14" i="130"/>
  <c r="CM14" i="130"/>
  <c r="CN14" i="130"/>
  <c r="CO14" i="130"/>
  <c r="CP14" i="130"/>
  <c r="DP14" i="130"/>
  <c r="DQ14" i="130"/>
  <c r="DS14" i="130"/>
  <c r="DT14" i="130"/>
  <c r="DU14" i="130"/>
  <c r="DV14" i="130"/>
  <c r="R15" i="130"/>
  <c r="S15" i="130"/>
  <c r="T15" i="130"/>
  <c r="V15" i="130"/>
  <c r="W15" i="130"/>
  <c r="BM15" i="130"/>
  <c r="CC15" i="130"/>
  <c r="CD15" i="130"/>
  <c r="CE15" i="130"/>
  <c r="CH15" i="130"/>
  <c r="CI15" i="130"/>
  <c r="CJ15" i="130"/>
  <c r="CK15" i="130"/>
  <c r="CL15" i="130"/>
  <c r="DP15" i="130"/>
  <c r="DQ15" i="130"/>
  <c r="DS15" i="130"/>
  <c r="DT15" i="130"/>
  <c r="DU15" i="130"/>
  <c r="DV15" i="130"/>
  <c r="R16" i="130"/>
  <c r="S16" i="130"/>
  <c r="T16" i="130"/>
  <c r="V16" i="130"/>
  <c r="W16" i="130"/>
  <c r="BM16" i="130"/>
  <c r="CC16" i="130"/>
  <c r="CD16" i="130"/>
  <c r="CE16" i="130"/>
  <c r="CH16" i="130"/>
  <c r="CI16" i="130"/>
  <c r="CJ16" i="130"/>
  <c r="CK16" i="130"/>
  <c r="CL16" i="130"/>
  <c r="DP16" i="130"/>
  <c r="DQ16" i="130"/>
  <c r="DS16" i="130"/>
  <c r="R17" i="130"/>
  <c r="S17" i="130"/>
  <c r="T17" i="130"/>
  <c r="V17" i="130"/>
  <c r="W17" i="130"/>
  <c r="BG17" i="130"/>
  <c r="BJ17" i="130"/>
  <c r="BK17" i="130"/>
  <c r="BM17" i="130"/>
  <c r="CC17" i="130"/>
  <c r="CD17" i="130"/>
  <c r="CE17" i="130"/>
  <c r="CH17" i="130"/>
  <c r="CI17" i="130"/>
  <c r="CJ17" i="130"/>
  <c r="CK17" i="130"/>
  <c r="CL17" i="130"/>
  <c r="DP17" i="130"/>
  <c r="DQ17" i="130"/>
  <c r="DS17" i="130"/>
  <c r="R18" i="130"/>
  <c r="S18" i="130"/>
  <c r="T18" i="130"/>
  <c r="V18" i="130"/>
  <c r="W18" i="130"/>
  <c r="BG18" i="130"/>
  <c r="BJ18" i="130"/>
  <c r="BK18" i="130"/>
  <c r="BM18" i="130"/>
  <c r="CC18" i="130"/>
  <c r="CD18" i="130"/>
  <c r="CE18" i="130"/>
  <c r="CH18" i="130"/>
  <c r="CI18" i="130"/>
  <c r="CJ18" i="130"/>
  <c r="CK18" i="130"/>
  <c r="CL18" i="130"/>
  <c r="R19" i="130"/>
  <c r="S19" i="130"/>
  <c r="T19" i="130"/>
  <c r="BG19" i="130"/>
  <c r="BJ19" i="130"/>
  <c r="BK19" i="130"/>
  <c r="BM19" i="130"/>
  <c r="CC19" i="130"/>
  <c r="CD19" i="130"/>
  <c r="CE19" i="130"/>
  <c r="CH19" i="130"/>
  <c r="CI19" i="130"/>
  <c r="CJ19" i="130"/>
  <c r="CK19" i="130"/>
  <c r="CL19" i="130"/>
  <c r="R20" i="130"/>
  <c r="S20" i="130"/>
  <c r="T20" i="130"/>
  <c r="V20" i="130"/>
  <c r="W20" i="130"/>
  <c r="BG20" i="130"/>
  <c r="BJ20" i="130"/>
  <c r="BK20" i="130"/>
  <c r="BM20" i="130"/>
  <c r="CC20" i="130"/>
  <c r="CD20" i="130"/>
  <c r="CE20" i="130"/>
  <c r="CH20" i="130"/>
  <c r="CI20" i="130"/>
  <c r="CJ20" i="130"/>
  <c r="CK20" i="130"/>
  <c r="CL20" i="130"/>
  <c r="R21" i="130"/>
  <c r="S21" i="130"/>
  <c r="T21" i="130"/>
  <c r="V21" i="130"/>
  <c r="W21" i="130"/>
  <c r="BG21" i="130"/>
  <c r="BJ21" i="130"/>
  <c r="BK21" i="130"/>
  <c r="BM21" i="130"/>
  <c r="CC21" i="130"/>
  <c r="CD21" i="130"/>
  <c r="CE21" i="130"/>
  <c r="CH21" i="130"/>
  <c r="CI21" i="130"/>
  <c r="CJ21" i="130"/>
  <c r="CK21" i="130"/>
  <c r="CL21" i="130"/>
  <c r="R22" i="130"/>
  <c r="S22" i="130"/>
  <c r="T22" i="130"/>
  <c r="V22" i="130"/>
  <c r="W22" i="130"/>
  <c r="CC22" i="130"/>
  <c r="CD22" i="130"/>
  <c r="CE22" i="130"/>
  <c r="R23" i="130"/>
  <c r="S23" i="130"/>
  <c r="T23" i="130"/>
  <c r="AS23" i="130"/>
  <c r="AV23" i="130"/>
  <c r="AW23" i="130"/>
  <c r="BW23" i="130"/>
  <c r="BX23" i="130"/>
  <c r="BY23" i="130"/>
  <c r="BZ23" i="130"/>
  <c r="CA23" i="130"/>
  <c r="CB23" i="130"/>
  <c r="CC23" i="130"/>
  <c r="CD23" i="130"/>
  <c r="CE23" i="130"/>
  <c r="CF23" i="130"/>
  <c r="R24" i="130"/>
  <c r="S24" i="130"/>
  <c r="T24" i="130"/>
  <c r="AS24" i="130"/>
  <c r="AV24" i="130"/>
  <c r="AW24" i="130"/>
  <c r="BW24" i="130"/>
  <c r="BX24" i="130"/>
  <c r="BY24" i="130"/>
  <c r="BZ24" i="130"/>
  <c r="CA24" i="130"/>
  <c r="R25" i="130"/>
  <c r="S25" i="130"/>
  <c r="T25" i="130"/>
  <c r="AS25" i="130"/>
  <c r="AV25" i="130"/>
  <c r="AW25" i="130"/>
  <c r="BW25" i="130"/>
  <c r="BX25" i="130"/>
  <c r="BY25" i="130"/>
  <c r="BZ25" i="130"/>
  <c r="CA25" i="130"/>
  <c r="R26" i="130"/>
  <c r="S26" i="130"/>
  <c r="T26" i="130"/>
  <c r="AS26" i="130"/>
  <c r="AV26" i="130"/>
  <c r="AW26" i="130"/>
  <c r="BW26" i="130"/>
  <c r="BX26" i="130"/>
  <c r="BY26" i="130"/>
  <c r="BZ26" i="130"/>
  <c r="CA26" i="130"/>
  <c r="R27" i="130"/>
  <c r="S27" i="130"/>
  <c r="T27" i="130"/>
  <c r="AS27" i="130"/>
  <c r="AV27" i="130"/>
  <c r="AW27" i="130"/>
  <c r="BW27" i="130"/>
  <c r="BX27" i="130"/>
  <c r="BY27" i="130"/>
  <c r="BZ27" i="130"/>
  <c r="CA27" i="130"/>
  <c r="R28" i="130"/>
  <c r="S28" i="130"/>
  <c r="T28" i="130"/>
  <c r="BW28" i="130"/>
  <c r="BX28" i="130"/>
  <c r="BY28" i="130"/>
  <c r="BZ28" i="130"/>
  <c r="CA28" i="130"/>
</calcChain>
</file>

<file path=xl/sharedStrings.xml><?xml version="1.0" encoding="utf-8"?>
<sst xmlns="http://schemas.openxmlformats.org/spreadsheetml/2006/main" count="797" uniqueCount="121">
  <si>
    <t>-</t>
  </si>
  <si>
    <t>Yok</t>
  </si>
  <si>
    <t>Temizlik Yardımı</t>
  </si>
  <si>
    <t>Doğal Afet Yardımı</t>
  </si>
  <si>
    <t>Kıdem Yardımı</t>
  </si>
  <si>
    <t>Resmi Tatillerde Çalışma</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</si>
  <si>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</si>
  <si>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</si>
  <si>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</si>
  <si>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</si>
  <si>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</si>
  <si>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</si>
  <si>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</si>
  <si>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</si>
  <si>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</si>
  <si>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</si>
  <si>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</si>
  <si>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</si>
  <si>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</si>
  <si>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</si>
  <si>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</si>
  <si>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</si>
  <si>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</si>
  <si>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</si>
  <si>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</si>
  <si>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</si>
  <si>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</si>
  <si>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</si>
  <si>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</si>
  <si>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</si>
  <si>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</si>
  <si>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</si>
  <si>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</si>
  <si>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</si>
  <si>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</si>
  <si>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</si>
  <si>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</si>
  <si>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</si>
  <si>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Nakdi Yardımlar</t>
  </si>
  <si>
    <t>Sendika Üyelik Aidatı Kesintisi</t>
  </si>
  <si>
    <t>Ücretli Sendikal İzin ve Sendika Temsilci Sayısı</t>
  </si>
  <si>
    <t>İş Arama İzni</t>
  </si>
  <si>
    <t>Ücretli Yıllık İzin</t>
  </si>
  <si>
    <t>Kazançlar</t>
  </si>
  <si>
    <t>Kesintiler</t>
  </si>
  <si>
    <t>Cenaze İzni</t>
  </si>
  <si>
    <t>Evlilik İzni</t>
  </si>
  <si>
    <t>Mazeret İzni</t>
  </si>
  <si>
    <t>Yol İzni</t>
  </si>
  <si>
    <t>Fazla Çalışma (Gündüz / Gece)</t>
  </si>
  <si>
    <t>Yıllık Toplam</t>
  </si>
  <si>
    <t>Yıllık Ortalama</t>
  </si>
  <si>
    <t xml:space="preserve">   Kıdem Yardımı</t>
  </si>
  <si>
    <t xml:space="preserve">   Fazla Çalışma
   (Gündüz / Gece)</t>
  </si>
  <si>
    <t xml:space="preserve">   Yemek Yardımı</t>
  </si>
  <si>
    <t xml:space="preserve">   Nakdi Yardımlar
   Sürekliliği Olmayan Yardımlar</t>
  </si>
  <si>
    <t xml:space="preserve">   Kesintiler / Özel
   BES Kesintisi</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</si>
  <si>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</si>
  <si>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</si>
  <si>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</si>
  <si>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</si>
  <si>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</si>
  <si>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</si>
  <si>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</si>
  <si>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</si>
  <si>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</si>
  <si>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</si>
  <si>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</si>
  <si>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</si>
  <si>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</si>
  <si>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</si>
  <si>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</si>
  <si>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t>
  </si>
  <si>
    <t>a) Gemiadamı, dilerse, işveren veya işveren vekilinden ücretli izne ilişkin olarak 7 güne kadar ücretsiz yol izni de isteyebilir.
(854 sayılı Deniz İş Kanunu / Madde 40)</t>
  </si>
  <si>
    <t>Doğum Yardımı (İşveren)</t>
  </si>
  <si>
    <t>İdari Sorumluluk Primi</t>
  </si>
  <si>
    <t>Uzakyol Kaptan</t>
  </si>
  <si>
    <t>Uzakyol Baş Mühendis</t>
  </si>
  <si>
    <t>3000 KW Baş Makinist</t>
  </si>
  <si>
    <t>Kaptan</t>
  </si>
  <si>
    <t>Baş Makinist</t>
  </si>
  <si>
    <t>1S-Güverte Personeli</t>
  </si>
  <si>
    <t>1S-Makine Personeli</t>
  </si>
  <si>
    <t>2S-Güverte Personeli</t>
  </si>
  <si>
    <t>2S-Makine Personeli</t>
  </si>
  <si>
    <t xml:space="preserve">   Resmi Tatillerde Çalışma
   (Gün Hesabı)</t>
  </si>
  <si>
    <t xml:space="preserve">   İdari Sorumluluk Primi
   Uzakyol Kaptan, Uzakyol Başmühendis, Kaptan, Baş Makinist
   (Her Vardiya)</t>
  </si>
  <si>
    <t xml:space="preserve">   Aile Yardımı
   657 sayılı Kanun / Madde 202
   Eş İçin</t>
  </si>
  <si>
    <t xml:space="preserve">   Aile Yardımı
   657 sayılı Kanun / Madde 202
   Çocuk İçin / 6 Yaş Öncesi</t>
  </si>
  <si>
    <t xml:space="preserve">   Aile Yardımı
   657 sayılı Kanun / Madde 202
   Çocuk İçin / 6 Yaş Sonrası</t>
  </si>
  <si>
    <t xml:space="preserve">   Aile Yardımı
   657 sayılı Kanun / Madde 202
   Engelli Çocuk İçin / 6 Yaş Öncesi</t>
  </si>
  <si>
    <t xml:space="preserve">   Aile Yardımı
   657 sayılı Kanun / Madde 202
   Engelli Çocuk İçin / 6 Yaş Sonrası</t>
  </si>
  <si>
    <t>Bayram Yardımı (Kurban)</t>
  </si>
  <si>
    <t>Bayram Yardımı (Ramazan)</t>
  </si>
  <si>
    <t>Eğitim Yardımı (Çocuk-Zorunlu Anaokulu)</t>
  </si>
  <si>
    <t>Eğitim Yardımı (Çocuk-Engelli)</t>
  </si>
  <si>
    <t>Sünnet Yardımı</t>
  </si>
  <si>
    <t>Yakacak Yardımı</t>
  </si>
  <si>
    <t>Aile Yardımı (Eş İçin)</t>
  </si>
  <si>
    <t>Aile Yardımı (Çocuk İçin)</t>
  </si>
  <si>
    <t>a) İşçinin eşinin doğum yapması hâlinde 5 takvim günü ücretli sosyal izin verilir.</t>
  </si>
  <si>
    <t>a) İşçinin eşinin veya çocuğunun vefatı hâlinde 6 iş günü ücretli sosyal izin verilir.
b) İşçinin annesinin, babasının veya kardeşinin vefatı hâlinde 5 iş günü ücretli sosyal izin verilir.
c) İşçinin eşinin annesinin, babasının veya kardeşinin vefatı hâlinde 2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1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</si>
  <si>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a) İşçinin ikamet ettiği konutun doğal afet nedeniyle hasara uğraması hâlinde 15 iş günü ücretli sosyal izin verilir.</t>
  </si>
  <si>
    <t>a) İşçinin evlenmesi hâlinde 7 iş günü ücretli sosyal izin verilir.
b) İşçinin çocuğunun evlenmesi hâlinde 5 iş günü ücretli sosyal izin verilir.
c) İşçinin evliliğinde, evlilik izninin hangi şekilde kullanılacağı işçinin talebi doğrultusunda değerlendirilir.</t>
  </si>
  <si>
    <t>a) Bildirim süreleri içinde işveren, işçiye yeni bir iş bulması için gerekli olan iş arama iznini iş saatleri içinde ve ücret kesintisi yapmadan vermeye mecburdur. İş arama izninin süresi günde 3 saatten az olamaz ve işçi isterse iş arama izin saatlerini birleştirerek toplu kullanabilir.</t>
  </si>
  <si>
    <t>Kadınlar Günü İzni</t>
  </si>
  <si>
    <t>Kan Bağışı İzni</t>
  </si>
  <si>
    <t>a) Kadın işçilere her yıl 8 Mart Dünya Kadınlar günü için 1 iş günü ücretli sosyal izin verilir.</t>
  </si>
  <si>
    <t>a) İşverenin işçiyi kan bağışı için çağırdığı gün işçi ücretli sosyal izinli sayılır.</t>
  </si>
  <si>
    <t>a) İşçilere, gerekli ve geçerli mazeretleri hâlinde işverenin takdirine bağlı olarak yılda 7 iş günü ücretli sosyal izin verilir.
b) İşçilere, gerekli ve geçerli mazeretleri hâlinde işverenin takdirine bağlı olarak yılda 3 aya kadar ücretsiz sosyal izin verilebilir.</t>
  </si>
  <si>
    <t>Sünnet İzni</t>
  </si>
  <si>
    <t>a) İşçinin çocuğunun sünnet olması hâlinde 5 iş günü ücretli sosyal izin verilir.</t>
  </si>
  <si>
    <t>a) Yönetim Kurulu ve Baştemsilci İzni İşyeri Mevcudu Haftalık İzin süresi:
Yönetim Kurulu üyelerine haftalık 22 saat, 
Denetim ve Disiplin Kurulu üyelerine haftalık 6 saat,
Baştemsilcilere haftalık 15 saat ücretli sendikal izin verilir.
İşyeri disiplin kurulu üyeleri disiplin kurulu toplantısına çağrıldıkları günler ücretli izinli sayılırlar.
(10. Dönem Toplu İş Sözleşmesi / Madde 22)
b) Temsilci İzni:
Temsilcilere;
Kara personeli temsilcilerine haftalık 7,5 saat,
Gemi personeli temsilcilerine haftalık 8 saat ücretli sendikal izin verilir.
İzin zaruretine göre bu izinler en fazla 2'ye bölünerek kullandırılır.
(10. Dönem Toplu İş Sözleşmesi / Madde 22)
c) İşyerinde işçi sayısı 50’ye kadar ise yıllık en fazla 35 iş günü ücretli izin verilir.
İşyerinde işçi sayısı 51 ile 100 arasında ise yıllık en fazla 45 iş günü ücretli izin verilir.
İşyerinde işçi sayısı 101 ile 200 arasında ise yıllık en fazla 65 iş günü ücretli izin verilir.
İşyerinde işçi sayısı 201 ile 500 arasında ise yıllık en fazla 85 iş günü ücretli izin verilir.
İşyerinde işçi sayısı 501 ile 1000 arasında ise yıllık en fazla 105 iş günü ücretli izin verilir.
İşyerinde işçi sayısı 1000 işçiden fazla ise yıllık en fazla işçi sayısının % 10'u kadar iş günü ücretli sendikal izin verilir.
(10. Dönem Toplu İş Sözleşmesi / Madde 22)
ç) Sendikal faaliyetler için sendikanın yazılı talebi üzerine ve işverenin hizmetlerini aksatmamak suretiyle, işçilere ayrı ayrı olmadan çalışan kişi sayısı karşılığına gelen gün kadar yıllık ücretli sendikal izin kullandırılır.
d) Toplu iş sözleşmesi yapmak üzere yetkisi kesinleşen sendika; 
işyerinde işçi sayısı 50’ye kadar ise 1,
51 ile 100 arasında ise en çok 2,
101 ile 500 arasında ise en çok 3,
501 ile 1000 arasında ise en çok 4,
1001 ile 2000 arasında ise en çok 6,
2000’den fazla ise en çok 8 işyeri sendika temsilcisini işyerinde çalışan üyeleri arasından atayarak 15 gün içinde kimliklerini işverene bildirir. Bunlardan biri baş temsilci olarak görevlendirilebilir. Temsilcilerin görevi, sendikanın yetkisi süresince devam eder.
(6356 sayılı Sendikalar ve Toplu İş Sözleşmesi Kanunu / Madde 27)</t>
  </si>
  <si>
    <r>
      <t xml:space="preserve">   Sonraki Ayın 7'sinde
   Fazla Çalışma (Gündüz / Gece)
   Resmi Tatillerde Çalışma
   Yemek Yardımı
   </t>
    </r>
    <r>
      <rPr>
        <b/>
        <sz val="16"/>
        <rFont val="Calibri"/>
        <family val="2"/>
        <charset val="162"/>
        <scheme val="minor"/>
      </rPr>
      <t>Net</t>
    </r>
  </si>
  <si>
    <r>
      <t xml:space="preserve">a) Kadın işçilerin </t>
    </r>
    <r>
      <rPr>
        <b/>
        <sz val="16"/>
        <color theme="0" tint="-0.14999847407452621"/>
        <rFont val="Calibri"/>
        <family val="2"/>
        <charset val="162"/>
        <scheme val="minor"/>
      </rPr>
      <t>doğumdan önce 8 ve doğumdan sonra 8 hafta</t>
    </r>
    <r>
      <rPr>
        <sz val="16"/>
        <color theme="0" tint="-0.14999847407452621"/>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</si>
  <si>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tint="-0.14999847407452621"/>
        <rFont val="Calibri"/>
        <family val="2"/>
        <charset val="162"/>
        <scheme val="minor"/>
      </rPr>
      <t>bir yıl içinde toptan veya bölümler hâlinde 10 güne kadar</t>
    </r>
    <r>
      <rPr>
        <sz val="16"/>
        <color theme="0" tint="-0.14999847407452621"/>
        <rFont val="Calibri"/>
        <family val="2"/>
        <charset val="162"/>
        <scheme val="minor"/>
      </rPr>
      <t xml:space="preserve"> ücretli izin verilir.
(4857 sayılı İş Kanunu / Ek Madde 2)</t>
    </r>
  </si>
  <si>
    <r>
      <t xml:space="preserve">a) İşçiye; evlat edinmesi hâlinde </t>
    </r>
    <r>
      <rPr>
        <b/>
        <sz val="16"/>
        <color theme="0" tint="-0.14999847407452621"/>
        <rFont val="Calibri"/>
        <family val="2"/>
        <charset val="162"/>
        <scheme val="minor"/>
      </rPr>
      <t>3 gün</t>
    </r>
    <r>
      <rPr>
        <sz val="16"/>
        <color theme="0" tint="-0.14999847407452621"/>
        <rFont val="Calibri"/>
        <family val="2"/>
        <charset val="162"/>
        <scheme val="minor"/>
      </rPr>
      <t xml:space="preserve"> ücretli izin verilir.
(4857 sayılı İş Kanunu / Ek Madde 2)</t>
    </r>
  </si>
  <si>
    <r>
      <t xml:space="preserve">a) Kadın işçilere bir yaşından küçük çocuklarını emzirmeleri için </t>
    </r>
    <r>
      <rPr>
        <b/>
        <sz val="16"/>
        <color theme="0" tint="-0.14999847407452621"/>
        <rFont val="Calibri"/>
        <family val="2"/>
        <charset val="162"/>
        <scheme val="minor"/>
      </rPr>
      <t>günde toplam 1,5 saat</t>
    </r>
    <r>
      <rPr>
        <sz val="16"/>
        <color theme="0" tint="-0.14999847407452621"/>
        <rFont val="Calibri"/>
        <family val="2"/>
        <charset val="162"/>
        <scheme val="minor"/>
      </rPr>
      <t xml:space="preserve"> süt izni verilir.
(4857 sayılı İş Kanunu / Madde 74)</t>
    </r>
  </si>
  <si>
    <t xml:space="preserve">   Ulaşım Yardımı
   (Kontör)</t>
  </si>
  <si>
    <t>Dünya Engelliler Günü İzni</t>
  </si>
  <si>
    <t>a) Engelli kadrosundaki işçilere her yıl 3 Aralık Dünya Engelliler Günü için 1 iş günü ücretli sosyal izin verilir.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</si>
</sst>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000000"/>
    <numFmt numFmtId="172" formatCode="0\ &quot;Çocuk&quot;"/>
    <numFmt numFmtId="173" formatCode="0.0"/>
  </numFmts>
  <fonts count="14"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16"/>
      <color rgb="FFFF0000"/>
      <name val="Calibri"/>
      <family val="2"/>
      <charset val="162"/>
      <scheme val="minor"/>
    </font>
    <font>
      <sz val="20"/>
      <name val="Calibri"/>
      <family val="2"/>
      <charset val="162"/>
      <scheme val="minor"/>
    </font>
    <font>
      <sz val="20"/>
      <color rgb="FFFF0000"/>
      <name val="Calibri"/>
      <family val="2"/>
      <charset val="162"/>
      <scheme val="minor"/>
    </font>
    <font>
      <sz val="16"/>
      <color theme="0" tint="-0.14999847407452621"/>
      <name val="Calibri"/>
      <family val="2"/>
      <charset val="162"/>
      <scheme val="minor"/>
    </font>
    <font>
      <b/>
      <sz val="16"/>
      <color theme="0" tint="-0.14999847407452621"/>
      <name val="Calibri"/>
      <family val="2"/>
      <charset val="162"/>
      <scheme val="minor"/>
    </font>
    <font>
      <sz val="16"/>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85">
    <xf numFmtId="0" fontId="0" fillId="0" borderId="0" xfId="0"/>
    <xf numFmtId="0" fontId="11" fillId="2" borderId="0" xfId="2"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2" fontId="13" fillId="0" borderId="0" xfId="0" applyNumberFormat="1" applyFont="1" applyFill="1" applyBorder="1" applyAlignment="1" applyProtection="1">
      <alignment horizontal="right" vertical="center" wrapText="1" indent="1"/>
      <protection hidden="1"/>
    </xf>
    <xf numFmtId="166" fontId="13" fillId="0" borderId="0" xfId="0" applyNumberFormat="1" applyFont="1" applyFill="1" applyBorder="1" applyAlignment="1" applyProtection="1">
      <alignment horizontal="center" vertical="center"/>
      <protection hidden="1"/>
    </xf>
    <xf numFmtId="169" fontId="13" fillId="0" borderId="0" xfId="2"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protection hidden="1"/>
    </xf>
    <xf numFmtId="164" fontId="13" fillId="0" borderId="0" xfId="0" applyNumberFormat="1" applyFont="1" applyFill="1" applyBorder="1" applyAlignment="1" applyProtection="1">
      <alignment horizontal="center" vertical="center"/>
      <protection hidden="1"/>
    </xf>
    <xf numFmtId="165" fontId="13" fillId="0" borderId="0" xfId="0"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wrapText="1"/>
      <protection hidden="1"/>
    </xf>
    <xf numFmtId="165" fontId="13" fillId="0" borderId="0" xfId="2"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wrapText="1"/>
      <protection hidden="1"/>
    </xf>
    <xf numFmtId="0" fontId="5" fillId="0" borderId="0" xfId="2" applyFont="1" applyFill="1" applyAlignment="1" applyProtection="1">
      <alignment horizontal="center" vertical="center"/>
      <protection hidden="1"/>
    </xf>
    <xf numFmtId="0" fontId="5" fillId="0" borderId="0" xfId="2" applyFont="1" applyAlignment="1" applyProtection="1">
      <alignment horizontal="center" vertical="center"/>
      <protection hidden="1"/>
    </xf>
    <xf numFmtId="0" fontId="11" fillId="2" borderId="0" xfId="0" applyFont="1" applyFill="1" applyBorder="1" applyAlignment="1" applyProtection="1">
      <alignment horizontal="right" vertical="center" wrapText="1" indent="1"/>
      <protection hidden="1"/>
    </xf>
    <xf numFmtId="49" fontId="11" fillId="2" borderId="0" xfId="0" applyNumberFormat="1" applyFont="1" applyFill="1" applyBorder="1" applyAlignment="1" applyProtection="1">
      <alignment horizontal="center" vertical="center" wrapText="1"/>
      <protection hidden="1"/>
    </xf>
    <xf numFmtId="2" fontId="13" fillId="0" borderId="0" xfId="2" applyNumberFormat="1" applyFont="1" applyFill="1" applyBorder="1" applyAlignment="1" applyProtection="1">
      <alignment horizontal="center" vertical="center" wrapText="1"/>
      <protection hidden="1"/>
    </xf>
    <xf numFmtId="0" fontId="13" fillId="0" borderId="0" xfId="3" applyFont="1" applyFill="1" applyBorder="1" applyAlignment="1" applyProtection="1">
      <alignment horizontal="center" vertical="center"/>
      <protection hidden="1"/>
    </xf>
    <xf numFmtId="2" fontId="13" fillId="0" borderId="0" xfId="3" applyNumberFormat="1" applyFont="1" applyFill="1" applyBorder="1" applyAlignment="1" applyProtection="1">
      <alignment horizontal="center" vertical="center"/>
      <protection hidden="1"/>
    </xf>
    <xf numFmtId="49" fontId="11" fillId="2" borderId="0" xfId="2" applyNumberFormat="1" applyFont="1" applyFill="1" applyBorder="1" applyAlignment="1" applyProtection="1">
      <alignment horizontal="center" vertical="center" wrapText="1"/>
      <protection hidden="1"/>
    </xf>
    <xf numFmtId="168" fontId="13" fillId="0" borderId="0" xfId="2" applyNumberFormat="1" applyFont="1" applyFill="1" applyBorder="1" applyAlignment="1" applyProtection="1">
      <alignment horizontal="center" vertical="center"/>
      <protection hidden="1"/>
    </xf>
    <xf numFmtId="2" fontId="13" fillId="0" borderId="0" xfId="2" applyNumberFormat="1" applyFont="1" applyFill="1" applyBorder="1" applyAlignment="1" applyProtection="1">
      <alignment horizontal="center" vertical="center"/>
      <protection hidden="1"/>
    </xf>
    <xf numFmtId="166" fontId="13" fillId="0" borderId="0" xfId="3" applyNumberFormat="1" applyFont="1" applyFill="1" applyBorder="1" applyAlignment="1" applyProtection="1">
      <alignment horizontal="center" vertical="center"/>
      <protection hidden="1"/>
    </xf>
    <xf numFmtId="167" fontId="13" fillId="0" borderId="0" xfId="2" applyNumberFormat="1" applyFont="1" applyFill="1" applyBorder="1" applyAlignment="1" applyProtection="1">
      <alignment horizontal="center" vertical="center"/>
      <protection hidden="1"/>
    </xf>
    <xf numFmtId="0" fontId="11" fillId="2" borderId="0" xfId="2" applyFont="1" applyFill="1" applyBorder="1" applyAlignment="1" applyProtection="1">
      <alignment horizontal="right" vertical="center" wrapText="1" indent="1"/>
      <protection hidden="1"/>
    </xf>
    <xf numFmtId="3" fontId="13" fillId="0" borderId="0" xfId="2" applyNumberFormat="1" applyFont="1" applyFill="1" applyBorder="1" applyAlignment="1" applyProtection="1">
      <alignment horizontal="center" vertical="center"/>
      <protection hidden="1"/>
    </xf>
    <xf numFmtId="164" fontId="13" fillId="0" borderId="0" xfId="2" applyNumberFormat="1" applyFont="1" applyFill="1" applyBorder="1" applyAlignment="1" applyProtection="1">
      <alignment horizontal="center" vertical="center"/>
      <protection hidden="1"/>
    </xf>
    <xf numFmtId="168" fontId="5" fillId="2" borderId="1" xfId="2" applyNumberFormat="1" applyFont="1" applyFill="1" applyBorder="1" applyAlignment="1" applyProtection="1">
      <alignment horizontal="center" vertical="center"/>
      <protection hidden="1"/>
    </xf>
    <xf numFmtId="2" fontId="6" fillId="2" borderId="9" xfId="0" applyNumberFormat="1" applyFont="1" applyFill="1" applyBorder="1" applyAlignment="1" applyProtection="1">
      <alignment horizontal="center" vertical="center"/>
      <protection hidden="1"/>
    </xf>
    <xf numFmtId="166" fontId="6" fillId="4" borderId="1" xfId="2" applyNumberFormat="1" applyFont="1" applyFill="1" applyBorder="1" applyAlignment="1" applyProtection="1">
      <alignment horizontal="center" vertical="center"/>
      <protection hidden="1"/>
    </xf>
    <xf numFmtId="169" fontId="13" fillId="0" borderId="0" xfId="4" applyNumberFormat="1" applyFont="1" applyFill="1" applyBorder="1" applyAlignment="1" applyProtection="1">
      <alignment horizontal="center" vertical="center"/>
      <protection hidden="1"/>
    </xf>
    <xf numFmtId="172" fontId="13" fillId="0" borderId="0" xfId="2" applyNumberFormat="1" applyFont="1" applyFill="1" applyBorder="1" applyAlignment="1" applyProtection="1">
      <alignment horizontal="center" vertical="center"/>
      <protection hidden="1"/>
    </xf>
    <xf numFmtId="166" fontId="11" fillId="2" borderId="0" xfId="2" applyNumberFormat="1" applyFont="1" applyFill="1" applyBorder="1" applyAlignment="1" applyProtection="1">
      <alignment horizontal="center" vertical="center"/>
      <protection hidden="1"/>
    </xf>
    <xf numFmtId="2" fontId="11" fillId="2" borderId="0" xfId="2" applyNumberFormat="1" applyFont="1" applyFill="1" applyBorder="1" applyAlignment="1" applyProtection="1">
      <alignment horizontal="right" vertical="center" wrapText="1" indent="1"/>
      <protection hidden="1"/>
    </xf>
    <xf numFmtId="2" fontId="11" fillId="2" borderId="0" xfId="2" applyNumberFormat="1" applyFont="1" applyFill="1" applyBorder="1" applyAlignment="1" applyProtection="1">
      <alignment horizontal="center" vertical="center" wrapText="1"/>
      <protection hidden="1"/>
    </xf>
    <xf numFmtId="166" fontId="13" fillId="0" borderId="0" xfId="4"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wrapText="1"/>
      <protection hidden="1"/>
    </xf>
    <xf numFmtId="0" fontId="11" fillId="2" borderId="0" xfId="2" applyFont="1" applyFill="1" applyBorder="1" applyAlignment="1" applyProtection="1">
      <alignment horizontal="center" vertical="center"/>
      <protection hidden="1"/>
    </xf>
    <xf numFmtId="171" fontId="13" fillId="0" borderId="0" xfId="2" applyNumberFormat="1"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173" fontId="5" fillId="2" borderId="1" xfId="2" applyNumberFormat="1" applyFont="1" applyFill="1" applyBorder="1" applyAlignment="1" applyProtection="1">
      <alignment horizontal="center" vertical="center"/>
      <protection hidden="1"/>
    </xf>
    <xf numFmtId="3" fontId="5" fillId="2" borderId="1" xfId="2" applyNumberFormat="1" applyFont="1" applyFill="1" applyBorder="1" applyAlignment="1" applyProtection="1">
      <alignment horizontal="center" vertical="center"/>
      <protection hidden="1"/>
    </xf>
    <xf numFmtId="4" fontId="5" fillId="2" borderId="10" xfId="2" applyNumberFormat="1" applyFont="1" applyFill="1" applyBorder="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166" fontId="6"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0" fontId="5" fillId="0" borderId="0" xfId="2" applyFont="1" applyFill="1" applyBorder="1" applyAlignment="1" applyProtection="1">
      <alignment horizontal="center" vertical="center"/>
      <protection hidden="1"/>
    </xf>
    <xf numFmtId="49" fontId="13" fillId="0" borderId="0" xfId="3" applyNumberFormat="1" applyFont="1" applyFill="1" applyBorder="1" applyAlignment="1" applyProtection="1">
      <alignment horizontal="center" vertical="center"/>
      <protection hidden="1"/>
    </xf>
    <xf numFmtId="0" fontId="5" fillId="0" borderId="0" xfId="2" applyFont="1" applyAlignment="1" applyProtection="1">
      <alignment horizontal="right" vertical="center" indent="1"/>
      <protection hidden="1"/>
    </xf>
    <xf numFmtId="0" fontId="11" fillId="2" borderId="11" xfId="2" applyFont="1" applyFill="1" applyBorder="1" applyAlignment="1" applyProtection="1">
      <alignment horizontal="center" vertical="center"/>
      <protection hidden="1"/>
    </xf>
    <xf numFmtId="0" fontId="11" fillId="2" borderId="12" xfId="2" applyFont="1" applyFill="1" applyBorder="1" applyAlignment="1" applyProtection="1">
      <alignment horizontal="center" vertical="center"/>
      <protection hidden="1"/>
    </xf>
    <xf numFmtId="0" fontId="11" fillId="2" borderId="13" xfId="2" applyFont="1" applyFill="1" applyBorder="1" applyAlignment="1" applyProtection="1">
      <alignment horizontal="center" vertical="center"/>
      <protection hidden="1"/>
    </xf>
    <xf numFmtId="1" fontId="5" fillId="3" borderId="1" xfId="2" applyNumberFormat="1" applyFont="1" applyFill="1" applyBorder="1" applyAlignment="1" applyProtection="1">
      <alignment horizontal="center" vertical="center"/>
      <protection locked="0" hidden="1"/>
    </xf>
    <xf numFmtId="173" fontId="5" fillId="3" borderId="1" xfId="3" applyNumberFormat="1" applyFont="1" applyFill="1" applyBorder="1" applyAlignment="1" applyProtection="1">
      <alignment horizontal="center" vertical="center"/>
      <protection locked="0" hidden="1"/>
    </xf>
    <xf numFmtId="3" fontId="5" fillId="3" borderId="1" xfId="2" applyNumberFormat="1" applyFont="1" applyFill="1" applyBorder="1" applyAlignment="1" applyProtection="1">
      <alignment horizontal="center" vertical="center"/>
      <protection locked="0" hidden="1"/>
    </xf>
    <xf numFmtId="2" fontId="5" fillId="3" borderId="10" xfId="2"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protection locked="0" hidden="1"/>
    </xf>
    <xf numFmtId="166" fontId="8" fillId="4" borderId="1" xfId="2" applyNumberFormat="1" applyFont="1" applyFill="1" applyBorder="1" applyAlignment="1" applyProtection="1">
      <alignment horizontal="center" vertical="center"/>
      <protection hidden="1"/>
    </xf>
    <xf numFmtId="166" fontId="8" fillId="2" borderId="1" xfId="2" applyNumberFormat="1" applyFont="1" applyFill="1" applyBorder="1" applyAlignment="1" applyProtection="1">
      <alignment horizontal="center" vertical="center"/>
      <protection hidden="1"/>
    </xf>
    <xf numFmtId="2" fontId="5" fillId="2" borderId="1" xfId="2" applyNumberFormat="1" applyFont="1" applyFill="1" applyBorder="1" applyAlignment="1" applyProtection="1">
      <alignment horizontal="center" textRotation="90" wrapText="1"/>
      <protection hidden="1"/>
    </xf>
    <xf numFmtId="2" fontId="9" fillId="3" borderId="1" xfId="2" applyNumberFormat="1" applyFont="1" applyFill="1" applyBorder="1" applyAlignment="1" applyProtection="1">
      <alignment horizontal="center" vertical="center" textRotation="90" wrapText="1"/>
      <protection locked="0" hidden="1"/>
    </xf>
    <xf numFmtId="170" fontId="10" fillId="2" borderId="9" xfId="2" applyNumberFormat="1" applyFont="1" applyFill="1" applyBorder="1" applyAlignment="1" applyProtection="1">
      <alignment horizontal="center" vertical="center" textRotation="90" wrapText="1"/>
      <protection hidden="1"/>
    </xf>
    <xf numFmtId="2" fontId="5" fillId="2" borderId="1" xfId="0" applyNumberFormat="1" applyFont="1" applyFill="1" applyBorder="1" applyAlignment="1" applyProtection="1">
      <alignment horizontal="center" textRotation="90" wrapText="1"/>
      <protection hidden="1"/>
    </xf>
    <xf numFmtId="2" fontId="5" fillId="2" borderId="10" xfId="2" applyNumberFormat="1" applyFont="1" applyFill="1" applyBorder="1" applyAlignment="1" applyProtection="1">
      <alignment horizontal="center" textRotation="90" wrapText="1"/>
      <protection hidden="1"/>
    </xf>
    <xf numFmtId="2" fontId="6" fillId="2" borderId="1" xfId="2" applyNumberFormat="1" applyFont="1" applyFill="1" applyBorder="1" applyAlignment="1" applyProtection="1">
      <alignment horizontal="right" vertical="center" wrapText="1" indent="1"/>
      <protection hidden="1"/>
    </xf>
    <xf numFmtId="2" fontId="6" fillId="2" borderId="9" xfId="2" applyNumberFormat="1" applyFont="1" applyFill="1" applyBorder="1" applyAlignment="1" applyProtection="1">
      <alignment horizontal="right" vertical="center" wrapText="1" indent="1"/>
      <protection hidden="1"/>
    </xf>
    <xf numFmtId="0" fontId="5" fillId="2" borderId="9" xfId="2"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textRotation="90" wrapText="1"/>
      <protection locked="0"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2" fontId="7" fillId="2" borderId="1" xfId="2" applyNumberFormat="1" applyFont="1" applyFill="1" applyBorder="1" applyAlignment="1" applyProtection="1">
      <alignment horizontal="center" textRotation="90" wrapText="1"/>
      <protection hidden="1"/>
    </xf>
    <xf numFmtId="0" fontId="5" fillId="3" borderId="1" xfId="2" applyFont="1" applyFill="1" applyBorder="1" applyAlignment="1" applyProtection="1">
      <alignment horizontal="center" vertical="center" textRotation="90" wrapText="1"/>
      <protection locked="0" hidden="1"/>
    </xf>
    <xf numFmtId="0" fontId="11" fillId="2" borderId="0" xfId="0" applyFont="1" applyFill="1" applyBorder="1" applyAlignment="1" applyProtection="1">
      <alignment horizontal="right" vertical="center" wrapText="1" indent="1"/>
      <protection locked="0"/>
    </xf>
    <xf numFmtId="49" fontId="11" fillId="2" borderId="0" xfId="0" applyNumberFormat="1" applyFont="1" applyFill="1" applyBorder="1" applyAlignment="1" applyProtection="1">
      <alignment horizontal="center" vertical="center" wrapText="1"/>
      <protection locked="0"/>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1"/>
            <c:invertIfNegative val="0"/>
            <c:bubble3D val="0"/>
            <c:spPr>
              <a:solidFill>
                <a:schemeClr val="tx1"/>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chemeClr val="tx1"/>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rgbClr val="C00000"/>
              </a:solidFill>
              <a:ln>
                <a:noFill/>
              </a:ln>
              <a:effectLst/>
            </c:spPr>
            <c:extLst>
              <c:ext xmlns:c16="http://schemas.microsoft.com/office/drawing/2014/chart" uri="{C3380CC4-5D6E-409C-BE32-E72D297353CC}">
                <c16:uniqueId val="{00000035-F3B8-4BDD-B2F7-EEE8C13D3BDA}"/>
              </c:ext>
            </c:extLst>
          </c:dPt>
          <c:dPt>
            <c:idx val="19"/>
            <c:invertIfNegative val="0"/>
            <c:bubble3D val="0"/>
            <c:spPr>
              <a:solidFill>
                <a:schemeClr val="bg1">
                  <a:lumMod val="50000"/>
                </a:schemeClr>
              </a:solidFill>
              <a:ln>
                <a:noFill/>
              </a:ln>
              <a:effectLst/>
            </c:spPr>
            <c:extLst>
              <c:ext xmlns:c16="http://schemas.microsoft.com/office/drawing/2014/chart" uri="{C3380CC4-5D6E-409C-BE32-E72D297353CC}">
                <c16:uniqueId val="{00000037-DD45-4467-8CDA-28A1E27E9411}"/>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Tablo'!$U$1:$U$20</c:f>
              <c:strCache>
                <c:ptCount val="20"/>
                <c:pt idx="0">
                  <c:v>Normal Çalışma</c:v>
                </c:pt>
                <c:pt idx="1">
                  <c:v>Kıdem Yardımı</c:v>
                </c:pt>
                <c:pt idx="2">
                  <c:v>Fazla Çalışma (Gündüz / Gece)</c:v>
                </c:pt>
                <c:pt idx="3">
                  <c:v>Resmi Tatillerde Çalışma</c:v>
                </c:pt>
                <c:pt idx="4">
                  <c:v>Yemek Yardımı</c:v>
                </c:pt>
                <c:pt idx="5">
                  <c:v>Ulaşım Yardımı</c:v>
                </c:pt>
                <c:pt idx="6">
                  <c:v>İkramiye Yardımı</c:v>
                </c:pt>
                <c:pt idx="7">
                  <c:v>Sosyal Yardım</c:v>
                </c:pt>
                <c:pt idx="8">
                  <c:v>Yakacak Yardımı</c:v>
                </c:pt>
                <c:pt idx="9">
                  <c:v>İdari Sorumluluk Primi</c:v>
                </c:pt>
                <c:pt idx="10">
                  <c:v>Aile Yardımı (Eş İçin)</c:v>
                </c:pt>
                <c:pt idx="11">
                  <c:v>Aile Yardımı (Çocuk İçin)</c:v>
                </c:pt>
                <c:pt idx="12">
                  <c:v>Nakdi Yardımlar</c:v>
                </c:pt>
                <c:pt idx="13">
                  <c:v>Sendika Üyelik Aidatı Kesintisi</c:v>
                </c:pt>
                <c:pt idx="14">
                  <c:v>BES Kesintisi</c:v>
                </c:pt>
                <c:pt idx="15">
                  <c:v>Damga Vergisi Kesintisi</c:v>
                </c:pt>
                <c:pt idx="16">
                  <c:v>SGK Prim Kesintisi</c:v>
                </c:pt>
                <c:pt idx="17">
                  <c:v>SGK İşsizlik Primi Kesintisi</c:v>
                </c:pt>
                <c:pt idx="18">
                  <c:v>Gelir Vergisi Kesintisi</c:v>
                </c:pt>
                <c:pt idx="19">
                  <c:v>İşveren Maliyeti</c:v>
                </c:pt>
              </c:strCache>
            </c:strRef>
          </c:cat>
          <c:val>
            <c:numRef>
              <c:f>'Özet Tablo'!$V$1:$V$20</c:f>
              <c:numCache>
                <c:formatCode>#,##0.00\ "₺"</c:formatCode>
                <c:ptCount val="20"/>
                <c:pt idx="0">
                  <c:v>122208.18000000001</c:v>
                </c:pt>
                <c:pt idx="1">
                  <c:v>0</c:v>
                </c:pt>
                <c:pt idx="2">
                  <c:v>0</c:v>
                </c:pt>
                <c:pt idx="3">
                  <c:v>4739.4800000000005</c:v>
                </c:pt>
                <c:pt idx="4">
                  <c:v>14374</c:v>
                </c:pt>
                <c:pt idx="5">
                  <c:v>6988.8</c:v>
                </c:pt>
                <c:pt idx="6">
                  <c:v>37584.519999999997</c:v>
                </c:pt>
                <c:pt idx="7">
                  <c:v>6627.8399999999992</c:v>
                </c:pt>
                <c:pt idx="8">
                  <c:v>3313.9199999999996</c:v>
                </c:pt>
                <c:pt idx="9">
                  <c:v>0</c:v>
                </c:pt>
                <c:pt idx="10">
                  <c:v>0</c:v>
                </c:pt>
                <c:pt idx="11">
                  <c:v>0</c:v>
                </c:pt>
                <c:pt idx="12">
                  <c:v>276.16000000000003</c:v>
                </c:pt>
                <c:pt idx="13">
                  <c:v>3613.5720000000006</c:v>
                </c:pt>
                <c:pt idx="14">
                  <c:v>0</c:v>
                </c:pt>
                <c:pt idx="15">
                  <c:v>1752.5732604901536</c:v>
                </c:pt>
                <c:pt idx="16">
                  <c:v>30837.413308382285</c:v>
                </c:pt>
                <c:pt idx="17">
                  <c:v>2202.6723791701629</c:v>
                </c:pt>
                <c:pt idx="18">
                  <c:v>0</c:v>
                </c:pt>
                <c:pt idx="19">
                  <c:v>269004.98662332399</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Tablo'!$U$21:$U$22</c:f>
              <c:strCache>
                <c:ptCount val="2"/>
                <c:pt idx="0">
                  <c:v>Kazançlar</c:v>
                </c:pt>
                <c:pt idx="1">
                  <c:v>Kesintiler</c:v>
                </c:pt>
              </c:strCache>
            </c:strRef>
          </c:cat>
          <c:val>
            <c:numRef>
              <c:f>'Özet Tablo'!$V$21:$V$22</c:f>
              <c:numCache>
                <c:formatCode>#,##0.00\ "₺"</c:formatCode>
                <c:ptCount val="2"/>
                <c:pt idx="0">
                  <c:v>185510.53696897373</c:v>
                </c:pt>
                <c:pt idx="1">
                  <c:v>45395.030948042579</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24</xdr:col>
      <xdr:colOff>53463</xdr:colOff>
      <xdr:row>0</xdr:row>
      <xdr:rowOff>70921</xdr:rowOff>
    </xdr:from>
    <xdr:to>
      <xdr:col>24</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4966692</xdr:colOff>
      <xdr:row>8</xdr:row>
      <xdr:rowOff>125886</xdr:rowOff>
    </xdr:from>
    <xdr:to>
      <xdr:col>24</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XCI363"/>
  <sheetViews>
    <sheetView tabSelected="1" showWhiteSpace="0" zoomScale="40" zoomScaleNormal="40" zoomScaleSheetLayoutView="40" zoomScalePageLayoutView="55" workbookViewId="0">
      <pane xSplit="2" topLeftCell="C1" activePane="topRight" state="frozen"/>
      <selection pane="topRight" sqref="A1:A14"/>
    </sheetView>
  </sheetViews>
  <sheetFormatPr defaultColWidth="0" defaultRowHeight="0" customHeight="1" zeroHeight="1" x14ac:dyDescent="0.25"/>
  <cols>
    <col min="1" max="17" width="12.7109375" style="16" customWidth="1"/>
    <col min="18" max="20" width="20.7109375" style="16" customWidth="1"/>
    <col min="21" max="23" width="0.140625" style="49" customWidth="1"/>
    <col min="24" max="24" width="5.7109375" style="15" customWidth="1"/>
    <col min="25" max="25" width="110.7109375" style="16" customWidth="1"/>
    <col min="26" max="27" width="110.7109375" style="40" hidden="1" customWidth="1"/>
    <col min="28" max="29" width="5.7109375" style="15" customWidth="1"/>
    <col min="30" max="30" width="80.7109375" style="15" customWidth="1"/>
    <col min="31" max="31" width="5.7109375" style="15" customWidth="1"/>
    <col min="32" max="128" width="5.7109375" style="7" hidden="1" customWidth="1"/>
    <col min="129" max="131" width="20.7109375" style="7" hidden="1" customWidth="1"/>
    <col min="132" max="132" width="1.7109375" style="16" customWidth="1"/>
    <col min="133" max="469" width="0" style="16" hidden="1" customWidth="1"/>
    <col min="470" max="16384" width="5.7109375" style="16" hidden="1"/>
  </cols>
  <sheetData>
    <row r="1" spans="1:16311" ht="39.950000000000003" customHeight="1" x14ac:dyDescent="0.25">
      <c r="A1" s="64" t="s">
        <v>76</v>
      </c>
      <c r="B1" s="65">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C1" s="63" t="s">
        <v>52</v>
      </c>
      <c r="D1" s="63" t="s">
        <v>53</v>
      </c>
      <c r="E1" s="66" t="s">
        <v>85</v>
      </c>
      <c r="F1" s="63" t="s">
        <v>54</v>
      </c>
      <c r="G1" s="63" t="s">
        <v>118</v>
      </c>
      <c r="H1" s="63" t="s">
        <v>86</v>
      </c>
      <c r="I1" s="67" t="s">
        <v>87</v>
      </c>
      <c r="J1" s="63" t="s">
        <v>88</v>
      </c>
      <c r="K1" s="63" t="s">
        <v>89</v>
      </c>
      <c r="L1" s="63" t="s">
        <v>90</v>
      </c>
      <c r="M1" s="63" t="s">
        <v>91</v>
      </c>
      <c r="N1" s="63" t="s">
        <v>55</v>
      </c>
      <c r="O1" s="63" t="s">
        <v>55</v>
      </c>
      <c r="P1" s="63" t="s">
        <v>55</v>
      </c>
      <c r="Q1" s="63" t="s">
        <v>56</v>
      </c>
      <c r="R1" s="63" t="s">
        <v>69</v>
      </c>
      <c r="S1" s="63" t="s">
        <v>113</v>
      </c>
      <c r="T1" s="81" t="s">
        <v>67</v>
      </c>
      <c r="U1" s="1" t="s">
        <v>32</v>
      </c>
      <c r="V1" s="2">
        <f t="shared" ref="V1:V4" si="0">IF(W1&gt;0,W1,W1*-1)</f>
        <v>122208.18000000001</v>
      </c>
      <c r="W1" s="2">
        <f>COUNTIF(X1,"Ocak")*(BA14)
+COUNTIF(X1,"Şubat")*(BA15)
+COUNTIF(X1,"Mart")*(BA16)
+COUNTIF(X1,"Nisan")*(BA17)
+COUNTIF(X1,"Mayıs")*(BA18)
+COUNTIF(X1,"Haziran")*(BA19)
+COUNTIF(X1,"Temmuz")*(BA20)
+COUNTIF(X1,"Ağustos")*(BA21)
+COUNTIF(X1,"Eylül")*(BA22)
+COUNTIF(X1,"Ekim")*(BA23)
+COUNTIF(X1,"Kasım")*(BA24)
+COUNTIF(X1,"Aralık")*(BA25)
+COUNTIF(X1,"Yıllık Toplam")*(BA26)
+COUNTIF(X1,"Yıllık Ortalama")*(BA27)</f>
        <v>122208.18000000001</v>
      </c>
      <c r="X1" s="82" t="s">
        <v>50</v>
      </c>
      <c r="Y1" s="70"/>
      <c r="Z1" s="3" t="s">
        <v>25</v>
      </c>
      <c r="AA1" s="3" t="s">
        <v>70</v>
      </c>
      <c r="AB1" s="71" t="s">
        <v>42</v>
      </c>
      <c r="AC1" s="75"/>
      <c r="AD1" s="76"/>
      <c r="AE1" s="77"/>
      <c r="AF1" s="4" t="s">
        <v>76</v>
      </c>
      <c r="AG1" s="5">
        <v>306.98</v>
      </c>
      <c r="AH1" s="5">
        <v>362.2</v>
      </c>
      <c r="AI1" s="6">
        <f>(10%)</f>
        <v>0.1</v>
      </c>
      <c r="AJ1" s="7" t="s">
        <v>0</v>
      </c>
      <c r="AK1" s="8">
        <f>($AK$7*$AI$1)</f>
        <v>500.40000000000003</v>
      </c>
      <c r="AL1" s="8">
        <f>($AL$7*$AI$1)</f>
        <v>647.1</v>
      </c>
      <c r="AM1" s="9">
        <f>(AN22+1)</f>
        <v>44835</v>
      </c>
      <c r="AN1" s="9">
        <f>EOMONTH(AM1,0)</f>
        <v>44865</v>
      </c>
      <c r="AO1" s="10">
        <f>DAY(AN1)</f>
        <v>31</v>
      </c>
      <c r="AP1" s="10">
        <f>NETWORKDAYS.INTL(AM1,AN1,11)</f>
        <v>26</v>
      </c>
      <c r="AQ1" s="10">
        <f>(AO1-AP1)</f>
        <v>5</v>
      </c>
      <c r="AR1" s="11" t="s">
        <v>0</v>
      </c>
      <c r="AS1" s="12">
        <f>(AT1/CL25)</f>
        <v>429.95690934343133</v>
      </c>
      <c r="AT1"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U1" s="12">
        <f>(AV1/CL25)</f>
        <v>429.95690934343133</v>
      </c>
      <c r="AV1"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W1" s="12">
        <f>(AX1/CL25)</f>
        <v>429.95690934343133</v>
      </c>
      <c r="AX1" s="12">
        <f>COUNTIF($A$1,"Uzakyol Kaptan")*($AH$1+AX13)
+COUNTIF($A$1,"Uzakyol Baş Mühendis")*($AH$2+AX13)
+COUNTIF($A$1,"3000 KW Baş Makinist")*($AH$3+AX13)
+COUNTIF($A$1,"Kaptan")*($AH$4+AX13)
+COUNTIF($A$1,"Baş Makinist")*($AH$5+AX13)
+COUNTIF($A$1,"1S-Güverte Personeli")*($AH$6+AX13)
+COUNTIF($A$1,"1S-Makine Personeli")*($AH$7+AX13)
+COUNTIF($A$1,"2S-Güverte Personeli")*($AH$8+AX13)
+COUNTIF($A$1,"2S-Makine Personeli")*($AH$9+AX13)</f>
        <v>362.2</v>
      </c>
      <c r="AY1" s="8" t="s">
        <v>0</v>
      </c>
      <c r="AZ1" s="8">
        <f>(6471)</f>
        <v>6471</v>
      </c>
      <c r="BA1" s="8">
        <f>(6471)</f>
        <v>6471</v>
      </c>
      <c r="BB1" s="8">
        <f>(AZ1-BA1)</f>
        <v>0</v>
      </c>
      <c r="BC1" s="8">
        <f>(BB1*0.00759*-1)</f>
        <v>0</v>
      </c>
      <c r="BD1" s="8">
        <f>(0)</f>
        <v>0</v>
      </c>
      <c r="BE1" s="8">
        <f>(AZ1-BD1)</f>
        <v>6471</v>
      </c>
      <c r="BF1" s="8">
        <f>(BE1*0.14*-1)</f>
        <v>-905.94</v>
      </c>
      <c r="BG1" s="8">
        <f>(BE1*0.01*-1)</f>
        <v>-64.710000000000008</v>
      </c>
      <c r="BH1" s="8">
        <f ca="1">(BE8*0.14*-1)</f>
        <v>-108.30820000000003</v>
      </c>
      <c r="BI1" s="8">
        <f ca="1">(BE8*0.01*-1)</f>
        <v>-7.7363000000000008</v>
      </c>
      <c r="BJ1" s="8">
        <f>(0)</f>
        <v>0</v>
      </c>
      <c r="BK1" s="8">
        <f ca="1">(BB8+BH1+BI1-BJ1)</f>
        <v>917.84550000000002</v>
      </c>
      <c r="BL1" s="8">
        <f>(0)</f>
        <v>0</v>
      </c>
      <c r="BN1" s="8">
        <f ca="1">ROUND((BO1+BP1),2)</f>
        <v>492.54</v>
      </c>
      <c r="BO1" s="8">
        <f t="shared" ref="BO1:BO6" si="1">(4.7*G15)</f>
        <v>488.8</v>
      </c>
      <c r="BP1" s="8">
        <f ca="1">(BN1*0.00759)</f>
        <v>3.7383786000000003</v>
      </c>
      <c r="BQ1" s="8">
        <f ca="1">ROUND((BO1+BP1),2)</f>
        <v>492.54</v>
      </c>
      <c r="BR1" s="8">
        <f>(0)</f>
        <v>0</v>
      </c>
      <c r="BS1" s="13">
        <v>0</v>
      </c>
      <c r="BT1" s="8">
        <f t="shared" ref="BT1:BT6" si="2">(BU1/CU13)</f>
        <v>0</v>
      </c>
      <c r="BU1" s="8">
        <f t="shared" ref="BU1:BU6" si="3">(AX14*BS1)</f>
        <v>0</v>
      </c>
      <c r="BV1" s="13">
        <v>30</v>
      </c>
      <c r="BW1" s="8">
        <f t="shared" ref="BW1:BW6" si="4">(BX1/CU13)</f>
        <v>655.64273928372177</v>
      </c>
      <c r="BX1" s="8">
        <f>(552.32/30*BV1)</f>
        <v>552.32000000000005</v>
      </c>
      <c r="BY1" s="13">
        <v>30</v>
      </c>
      <c r="BZ1" s="8">
        <f t="shared" ref="BZ1:BZ6" si="5">(CA1/CU13)</f>
        <v>327.82136964186088</v>
      </c>
      <c r="CA1" s="8">
        <f>(276.16/30*BY1)</f>
        <v>276.16000000000003</v>
      </c>
      <c r="CB1" s="8">
        <f t="shared" ref="CB1:CB6" ca="1" si="6">ROUND((CC1+CD1),2)</f>
        <v>681.17</v>
      </c>
      <c r="CC1" s="8">
        <f t="shared" ref="CC1:CC6" si="7">(6.5*G21)</f>
        <v>676</v>
      </c>
      <c r="CD1" s="8">
        <f t="shared" ref="CD1:CD6" ca="1" si="8">(CB1*0.00759)</f>
        <v>5.1700802999999995</v>
      </c>
      <c r="CE1" s="8">
        <f t="shared" ref="CE1:CE6" ca="1" si="9">ROUND((CC1+CD1),2)</f>
        <v>681.17</v>
      </c>
      <c r="CF1" s="8">
        <f>(0)</f>
        <v>0</v>
      </c>
      <c r="CG1" s="13">
        <v>0</v>
      </c>
      <c r="CH1" s="8">
        <f t="shared" ref="CH1:CH6" si="10">(CI1/CL22)</f>
        <v>0</v>
      </c>
      <c r="CI1" s="8">
        <f>(AX20*CG1)</f>
        <v>0</v>
      </c>
      <c r="CJ1" s="13">
        <v>30</v>
      </c>
      <c r="CK1" s="8">
        <f t="shared" ref="CK1:CK6" si="11">(CL1/CL22)</f>
        <v>655.64273928372177</v>
      </c>
      <c r="CL1" s="8">
        <f t="shared" ref="CL1:CL6" si="12">(552.32/30*CJ1)</f>
        <v>552.32000000000005</v>
      </c>
      <c r="CM1" s="13">
        <v>30</v>
      </c>
      <c r="CN1" s="8">
        <f t="shared" ref="CN1:CN6" si="13">(CO1/CL22)</f>
        <v>327.82136964186088</v>
      </c>
      <c r="CO1" s="8">
        <f t="shared" ref="CO1:CO6" si="14">(276.16/30*CM1)</f>
        <v>276.16000000000003</v>
      </c>
      <c r="CP1" s="8">
        <f t="shared" ref="CP1:CP6" ca="1" si="15">(CD15-CF15)</f>
        <v>12308.618940360822</v>
      </c>
      <c r="CQ1" s="8">
        <f t="shared" ref="CQ1:CQ6" ca="1" si="16">(CP1*0.00759*-1)</f>
        <v>-93.42241775733865</v>
      </c>
      <c r="CR1" s="8">
        <f t="shared" ref="CR1:CR6" ca="1" si="17">(CE15)</f>
        <v>-142.53730775733865</v>
      </c>
      <c r="CS1" s="8">
        <f ca="1">(AX25+CE1+CS21+DN21+AN6)</f>
        <v>1017.6099999999999</v>
      </c>
      <c r="CT1" s="8">
        <f t="shared" ref="CT1:CT6" ca="1" si="18">(CD15-CS1)</f>
        <v>17762.008940360822</v>
      </c>
      <c r="CU1" s="8">
        <f ca="1">IF(CT1&gt;=BR13*7.5,BR13*7.5,CT1)</f>
        <v>17762.008940360822</v>
      </c>
      <c r="DW1" s="14" t="s">
        <v>1</v>
      </c>
      <c r="DX1" s="14" t="s">
        <v>71</v>
      </c>
      <c r="EB1" s="52"/>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row>
    <row r="2" spans="1:16311" ht="39.950000000000003" customHeight="1" x14ac:dyDescent="0.25">
      <c r="A2" s="64"/>
      <c r="B2" s="65"/>
      <c r="C2" s="63"/>
      <c r="D2" s="63"/>
      <c r="E2" s="66"/>
      <c r="F2" s="63"/>
      <c r="G2" s="63"/>
      <c r="H2" s="63"/>
      <c r="I2" s="67"/>
      <c r="J2" s="63"/>
      <c r="K2" s="63"/>
      <c r="L2" s="63"/>
      <c r="M2" s="63"/>
      <c r="N2" s="63"/>
      <c r="O2" s="63"/>
      <c r="P2" s="63"/>
      <c r="Q2" s="63"/>
      <c r="R2" s="63"/>
      <c r="S2" s="63"/>
      <c r="T2" s="81"/>
      <c r="U2" s="1" t="s">
        <v>4</v>
      </c>
      <c r="V2" s="2">
        <f t="shared" si="0"/>
        <v>0</v>
      </c>
      <c r="W2" s="2">
        <f>COUNTIF(X1,"Ocak")*(AW6)
+COUNTIF(X1,"Şubat")*(AW7)
+COUNTIF(X1,"Mart")*(AW8)
+COUNTIF(X1,"Nisan")*(AW9)
+COUNTIF(X1,"Mayıs")*(AW10)
+COUNTIF(X1,"Haziran")*(AW11)
+COUNTIF(X1,"Temmuz")*(AW12)
+COUNTIF(X1,"Ağustos")*(AW13)
+COUNTIF(X1,"Eylül")*(AX12)
+COUNTIF(X1,"Ekim")*(AX13)
+COUNTIF(X1,"Kasım")*(BF8)
+COUNTIF(X1,"Aralık")*(BF9)
+COUNTIF(X1,"Yıllık Toplam")*(BF10)
+COUNTIF(X1,"Yıllık Ortalama")*(BF11)</f>
        <v>0</v>
      </c>
      <c r="X2" s="82"/>
      <c r="Y2" s="70"/>
      <c r="Z2" s="17" t="s">
        <v>24</v>
      </c>
      <c r="AA2" s="18" t="s">
        <v>114</v>
      </c>
      <c r="AB2" s="71"/>
      <c r="AC2" s="72"/>
      <c r="AD2" s="74" t="str">
        <f>IF($AB$1="Analık Hâli İzni",$AA$1,
IF($AB$1="Annelik İzni",$AA$2,
IF($AB$1="Babalık İzni",$AA$3,
IF($AB$1="Cenaze İzni",$AA$4,
IF($AB$1="Doğal Afet İzni",$AA$5,
IF($AB$1="Dünya Engelliler Gübü İzni",$AA$6,
IF($AB$1="Engelli Çocuk İzni",$AA$7,
IF($AB$1="Evlat Edinme İzni",$AA$8,
IF($AB$1="Evlilik İzni",$AA$9,
IF($AB$1="İş Arama İzni",$AA$10,
IF($AB$1="Kadınlar Günü İzni",$AA$11,
IF($AB$1="Kan Bağışı İzni",$AA$12,
IF($AB$1="Mazeret İzni",$AA$13,
IF($AB$1="Sünnet İzni",$AA$14,
IF($AB$1="Süt İzni",$AA$15,
IF($AB$1="Ücretli Sendikal İzin ve Sendika Temsilci Sayısı",$AA$16,
IF($AB$1="Ücretli Yıllık İzin",$AA$17,
IF($AB$1="Yol İzni",$AA$18))))))))))))))))))</f>
        <v>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v>
      </c>
      <c r="AE2" s="73"/>
      <c r="AF2" s="4" t="s">
        <v>77</v>
      </c>
      <c r="AG2" s="5">
        <v>306.98</v>
      </c>
      <c r="AH2" s="5">
        <v>362.2</v>
      </c>
      <c r="AI2" s="6">
        <f>(2%)</f>
        <v>0.02</v>
      </c>
      <c r="AJ2" s="7" t="s">
        <v>0</v>
      </c>
      <c r="AK2" s="8">
        <f>($AK$7*$AI$2)</f>
        <v>100.08</v>
      </c>
      <c r="AL2" s="8">
        <f>($AL$7*$AI$2)</f>
        <v>129.42000000000002</v>
      </c>
      <c r="AM2" s="9">
        <f>(AN1+1)</f>
        <v>44866</v>
      </c>
      <c r="AN2" s="9">
        <f>EOMONTH(AM2,0)</f>
        <v>44895</v>
      </c>
      <c r="AO2" s="10">
        <f>DAY(AN2)</f>
        <v>30</v>
      </c>
      <c r="AP2" s="10">
        <f>NETWORKDAYS.INTL(AM2,AN2,11)</f>
        <v>26</v>
      </c>
      <c r="AQ2" s="10">
        <f>(AO2-AP2)</f>
        <v>4</v>
      </c>
      <c r="AR2" s="11" t="s">
        <v>0</v>
      </c>
      <c r="AS2" s="12">
        <f>(AT2/CL26)</f>
        <v>429.95690934343133</v>
      </c>
      <c r="AT2"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U2" s="12">
        <f>(AV2/CL26)</f>
        <v>429.95690934343133</v>
      </c>
      <c r="AV2"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W2" s="12">
        <f>(AX2/CL26)</f>
        <v>429.95690934343133</v>
      </c>
      <c r="AX2" s="12">
        <f>COUNTIF($A$1,"Uzakyol Kaptan")*($AH$1+BF8)
+COUNTIF($A$1,"Uzakyol Baş Mühendis")*($AH$2+BF8)
+COUNTIF($A$1,"3000 KW Baş Makinist")*($AH$3+BF8)
+COUNTIF($A$1,"Kaptan")*($AH$4+BF8)
+COUNTIF($A$1,"Baş Makinist")*($AH$5+BF8)
+COUNTIF($A$1,"1S-Güverte Personeli")*($AH$6+BF8)
+COUNTIF($A$1,"1S-Makine Personeli")*($AH$7+BF8)
+COUNTIF($A$1,"2S-Güverte Personeli")*($AH$8+BF8)
+COUNTIF($A$1,"2S-Makine Personeli")*($AH$9+BF8)</f>
        <v>362.2</v>
      </c>
      <c r="AY2" s="8" t="s">
        <v>0</v>
      </c>
      <c r="AZ2" s="8">
        <f>(6471)</f>
        <v>6471</v>
      </c>
      <c r="BA2" s="8">
        <f>(6471)</f>
        <v>6471</v>
      </c>
      <c r="BB2" s="8">
        <f>(AZ2-BA2)</f>
        <v>0</v>
      </c>
      <c r="BC2" s="8">
        <f>(BB2*0.00759*-1)</f>
        <v>0</v>
      </c>
      <c r="BD2" s="8">
        <f>(0)</f>
        <v>0</v>
      </c>
      <c r="BE2" s="8">
        <f>(AZ2-BD2)</f>
        <v>6471</v>
      </c>
      <c r="BF2" s="8">
        <f>(BE2*0.14*-1)</f>
        <v>-905.94</v>
      </c>
      <c r="BG2" s="8">
        <f>(BE2*0.01*-1)</f>
        <v>-64.710000000000008</v>
      </c>
      <c r="BH2" s="8">
        <f ca="1">(BE9*0.14*-1)</f>
        <v>-99.976800000000011</v>
      </c>
      <c r="BI2" s="8">
        <f ca="1">(BE9*0.01*-1)</f>
        <v>-7.1412000000000004</v>
      </c>
      <c r="BJ2" s="8">
        <f>(0)</f>
        <v>0</v>
      </c>
      <c r="BK2" s="8">
        <f ca="1">(BB9+BH2+BI2-BJ2)</f>
        <v>847.24199999999996</v>
      </c>
      <c r="BL2" s="8">
        <f>(0)</f>
        <v>0</v>
      </c>
      <c r="BN2" s="8">
        <f t="shared" ref="BN2:BN6" ca="1" si="19">ROUND((BO2+BP2),2)</f>
        <v>492.54</v>
      </c>
      <c r="BO2" s="8">
        <f t="shared" si="1"/>
        <v>488.8</v>
      </c>
      <c r="BP2" s="8">
        <f t="shared" ref="BP2:BP6" ca="1" si="20">(BN2*0.00759)</f>
        <v>3.7383786000000003</v>
      </c>
      <c r="BQ2" s="8">
        <f t="shared" ref="BQ2:BQ6" ca="1" si="21">ROUND((BO2+BP2),2)</f>
        <v>492.54</v>
      </c>
      <c r="BR2" s="8">
        <f>(0)</f>
        <v>0</v>
      </c>
      <c r="BS2" s="13">
        <v>18</v>
      </c>
      <c r="BT2" s="8">
        <f t="shared" si="2"/>
        <v>6559.3238446837058</v>
      </c>
      <c r="BU2" s="8">
        <f t="shared" si="3"/>
        <v>5525.64</v>
      </c>
      <c r="BV2" s="13">
        <v>30</v>
      </c>
      <c r="BW2" s="8">
        <f t="shared" si="4"/>
        <v>655.64273928372177</v>
      </c>
      <c r="BX2" s="8">
        <f t="shared" ref="BX2:BX6" si="22">(552.32/30*BV2)</f>
        <v>552.32000000000005</v>
      </c>
      <c r="BY2" s="13">
        <v>30</v>
      </c>
      <c r="BZ2" s="8">
        <f t="shared" si="5"/>
        <v>327.82136964186088</v>
      </c>
      <c r="CA2" s="8">
        <f t="shared" ref="CA2:CA6" si="23">(276.16/30*BY2)</f>
        <v>276.16000000000003</v>
      </c>
      <c r="CB2" s="8">
        <f t="shared" ca="1" si="6"/>
        <v>681.17</v>
      </c>
      <c r="CC2" s="8">
        <f t="shared" si="7"/>
        <v>676</v>
      </c>
      <c r="CD2" s="8">
        <f t="shared" ca="1" si="8"/>
        <v>5.1700802999999995</v>
      </c>
      <c r="CE2" s="8">
        <f t="shared" ca="1" si="9"/>
        <v>681.17</v>
      </c>
      <c r="CF2" s="8">
        <f>(0)</f>
        <v>0</v>
      </c>
      <c r="CG2" s="13">
        <v>18</v>
      </c>
      <c r="CH2" s="8">
        <f t="shared" si="10"/>
        <v>7739.2243681817636</v>
      </c>
      <c r="CI2" s="8">
        <f>(AX21*CG2)</f>
        <v>6519.5999999999995</v>
      </c>
      <c r="CJ2" s="13">
        <v>30</v>
      </c>
      <c r="CK2" s="8">
        <f t="shared" si="11"/>
        <v>655.64273928372177</v>
      </c>
      <c r="CL2" s="8">
        <f t="shared" si="12"/>
        <v>552.32000000000005</v>
      </c>
      <c r="CM2" s="13">
        <v>30</v>
      </c>
      <c r="CN2" s="8">
        <f t="shared" si="13"/>
        <v>327.82136964186088</v>
      </c>
      <c r="CO2" s="8">
        <f t="shared" si="14"/>
        <v>276.16000000000003</v>
      </c>
      <c r="CP2" s="8">
        <f t="shared" ca="1" si="15"/>
        <v>18167.711661797148</v>
      </c>
      <c r="CQ2" s="8">
        <f t="shared" ca="1" si="16"/>
        <v>-137.89293151304037</v>
      </c>
      <c r="CR2" s="8">
        <f t="shared" ca="1" si="17"/>
        <v>-187.00782151304037</v>
      </c>
      <c r="CS2" s="8">
        <f ca="1">(AX26+CE2+CS22+DN22+AN7)</f>
        <v>1030.55</v>
      </c>
      <c r="CT2" s="8">
        <f t="shared" ca="1" si="18"/>
        <v>23608.161661797149</v>
      </c>
      <c r="CU2" s="8">
        <f ca="1">IF(CT2&gt;=AZ1*7.5,AZ1*7.5,CT2)</f>
        <v>23608.161661797149</v>
      </c>
      <c r="DW2" s="19" t="s">
        <v>92</v>
      </c>
      <c r="DX2" s="8">
        <v>414.24</v>
      </c>
      <c r="DY2" s="7">
        <v>0</v>
      </c>
      <c r="DZ2" s="20">
        <v>0</v>
      </c>
      <c r="EA2" s="21">
        <v>0</v>
      </c>
      <c r="EB2" s="53"/>
    </row>
    <row r="3" spans="1:16311" ht="39.950000000000003" customHeight="1" x14ac:dyDescent="0.25">
      <c r="A3" s="64"/>
      <c r="B3" s="65"/>
      <c r="C3" s="63"/>
      <c r="D3" s="63"/>
      <c r="E3" s="66"/>
      <c r="F3" s="63"/>
      <c r="G3" s="63"/>
      <c r="H3" s="63"/>
      <c r="I3" s="67"/>
      <c r="J3" s="63"/>
      <c r="K3" s="63"/>
      <c r="L3" s="63"/>
      <c r="M3" s="63"/>
      <c r="N3" s="63"/>
      <c r="O3" s="63"/>
      <c r="P3" s="63"/>
      <c r="Q3" s="63"/>
      <c r="R3" s="63"/>
      <c r="S3" s="63"/>
      <c r="T3" s="81"/>
      <c r="U3" s="1" t="s">
        <v>49</v>
      </c>
      <c r="V3" s="2">
        <f t="shared" si="0"/>
        <v>0</v>
      </c>
      <c r="W3" s="2">
        <f>COUNTIF(X1,"Ocak")*(BC12)
+COUNTIF(X1,"Şubat")*(BC13)
+COUNTIF(X1,"Mart")*(BC14)
+COUNTIF(X1,"Nisan")*(BC15)
+COUNTIF(X1,"Mayıs")*(BC16)
+COUNTIF(X1,"Haziran")*(BC17)
+COUNTIF(X1,"Temmuz")*(BC18)
+COUNTIF(X1,"Ağustos")*(BC19)
+COUNTIF(X1,"Eylül")*(BC20)
+COUNTIF(X1,"Ekim")*(BC21)
+COUNTIF(X1,"Kasım")*(BC22)
+COUNTIF(X1,"Aralık")*(BC23)
+COUNTIF(X1,"Yıllık Toplam")*(BC24)
+COUNTIF(X1,"Yıllık Ortalama")*(BC25)</f>
        <v>0</v>
      </c>
      <c r="X3" s="82"/>
      <c r="Y3" s="70"/>
      <c r="Z3" s="17" t="s">
        <v>26</v>
      </c>
      <c r="AA3" s="22" t="s">
        <v>100</v>
      </c>
      <c r="AB3" s="71"/>
      <c r="AC3" s="72"/>
      <c r="AD3" s="74"/>
      <c r="AE3" s="73"/>
      <c r="AF3" s="4" t="s">
        <v>78</v>
      </c>
      <c r="AG3" s="5">
        <v>234.81</v>
      </c>
      <c r="AH3" s="5">
        <v>277</v>
      </c>
      <c r="AI3" s="6">
        <f>(1%)</f>
        <v>0.01</v>
      </c>
      <c r="AJ3" s="7" t="s">
        <v>0</v>
      </c>
      <c r="AK3" s="8">
        <f>($AK$7*$AI$3)</f>
        <v>50.04</v>
      </c>
      <c r="AL3" s="8">
        <f>($AL$7*$AI$3)</f>
        <v>64.710000000000008</v>
      </c>
      <c r="AM3" s="9">
        <f>(AN2+1)</f>
        <v>44896</v>
      </c>
      <c r="AN3" s="9">
        <f>EOMONTH(AM3,0)</f>
        <v>44926</v>
      </c>
      <c r="AO3" s="10">
        <f>DAY(AN3)</f>
        <v>31</v>
      </c>
      <c r="AP3" s="10">
        <f>NETWORKDAYS.INTL(AM3,AN3,11)</f>
        <v>27</v>
      </c>
      <c r="AQ3" s="10">
        <f>(AO3-AP3)</f>
        <v>4</v>
      </c>
      <c r="AR3" s="11" t="s">
        <v>0</v>
      </c>
      <c r="AS3" s="12">
        <f>(AT3/CL27)</f>
        <v>429.95690934343133</v>
      </c>
      <c r="AT3"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U3" s="12">
        <f>(AV3/CL27)</f>
        <v>429.95690934343133</v>
      </c>
      <c r="AV3"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W3" s="12">
        <f>(AX3/CL27)</f>
        <v>429.95690934343133</v>
      </c>
      <c r="AX3" s="12">
        <f>COUNTIF($A$1,"Uzakyol Kaptan")*($AH$1+BF9)
+COUNTIF($A$1,"Uzakyol Baş Mühendis")*($AH$2+BF9)
+COUNTIF($A$1,"3000 KW Baş Makinist")*($AH$3+BF9)
+COUNTIF($A$1,"Kaptan")*($AH$4+BF9)
+COUNTIF($A$1,"Baş Makinist")*($AH$5+BF9)
+COUNTIF($A$1,"1S-Güverte Personeli")*($AH$6+BF9)
+COUNTIF($A$1,"1S-Makine Personeli")*($AH$7+BF9)
+COUNTIF($A$1,"2S-Güverte Personeli")*($AH$8+BF9)
+COUNTIF($A$1,"2S-Makine Personeli")*($AH$9+BF9)</f>
        <v>362.2</v>
      </c>
      <c r="AY3" s="8" t="s">
        <v>0</v>
      </c>
      <c r="AZ3" s="8">
        <f>(6471)</f>
        <v>6471</v>
      </c>
      <c r="BA3" s="8">
        <f>(6471)</f>
        <v>6471</v>
      </c>
      <c r="BB3" s="8">
        <f>(AZ3-BA3)</f>
        <v>0</v>
      </c>
      <c r="BC3" s="8">
        <f>(BB3*0.00759*-1)</f>
        <v>0</v>
      </c>
      <c r="BD3" s="8">
        <f>(0)</f>
        <v>0</v>
      </c>
      <c r="BE3" s="8">
        <f>(AZ3-BD3)</f>
        <v>6471</v>
      </c>
      <c r="BF3" s="8">
        <f>(BE3*0.14*-1)</f>
        <v>-905.94</v>
      </c>
      <c r="BG3" s="8">
        <f>(BE3*0.01*-1)</f>
        <v>-64.710000000000008</v>
      </c>
      <c r="BH3" s="8">
        <f ca="1">(BE10*0.14*-1)</f>
        <v>-170.80700000000002</v>
      </c>
      <c r="BI3" s="8">
        <f ca="1">(BE10*0.01*-1)</f>
        <v>-12.2005</v>
      </c>
      <c r="BJ3" s="8">
        <f>(0)</f>
        <v>0</v>
      </c>
      <c r="BK3" s="8">
        <f ca="1">(BB10+BH3+BI3-BJ3)</f>
        <v>1307.3125</v>
      </c>
      <c r="BL3" s="8">
        <f>(0)</f>
        <v>0</v>
      </c>
      <c r="BN3" s="8">
        <f t="shared" ca="1" si="19"/>
        <v>492.54</v>
      </c>
      <c r="BO3" s="8">
        <f t="shared" si="1"/>
        <v>488.8</v>
      </c>
      <c r="BP3" s="8">
        <f t="shared" ca="1" si="20"/>
        <v>3.7383786000000003</v>
      </c>
      <c r="BQ3" s="8">
        <f t="shared" ca="1" si="21"/>
        <v>492.54</v>
      </c>
      <c r="BR3" s="8">
        <f>(0)</f>
        <v>0</v>
      </c>
      <c r="BS3" s="13">
        <v>0</v>
      </c>
      <c r="BT3" s="8">
        <f t="shared" si="2"/>
        <v>0</v>
      </c>
      <c r="BU3" s="8">
        <f t="shared" si="3"/>
        <v>0</v>
      </c>
      <c r="BV3" s="13">
        <v>30</v>
      </c>
      <c r="BW3" s="8">
        <f t="shared" si="4"/>
        <v>655.64273928372177</v>
      </c>
      <c r="BX3" s="8">
        <f t="shared" si="22"/>
        <v>552.32000000000005</v>
      </c>
      <c r="BY3" s="13">
        <v>30</v>
      </c>
      <c r="BZ3" s="8">
        <f t="shared" si="5"/>
        <v>327.82136964186088</v>
      </c>
      <c r="CA3" s="8">
        <f t="shared" si="23"/>
        <v>276.16000000000003</v>
      </c>
      <c r="CB3" s="8">
        <f t="shared" ca="1" si="6"/>
        <v>681.17</v>
      </c>
      <c r="CC3" s="8">
        <f t="shared" si="7"/>
        <v>676</v>
      </c>
      <c r="CD3" s="8">
        <f t="shared" ca="1" si="8"/>
        <v>5.1700802999999995</v>
      </c>
      <c r="CE3" s="8">
        <f t="shared" ca="1" si="9"/>
        <v>681.17</v>
      </c>
      <c r="CF3" s="8">
        <f>(0)</f>
        <v>0</v>
      </c>
      <c r="CG3" s="13">
        <v>0</v>
      </c>
      <c r="CH3" s="8">
        <f t="shared" si="10"/>
        <v>0</v>
      </c>
      <c r="CI3" s="8">
        <f>(AX22*CG3)</f>
        <v>0</v>
      </c>
      <c r="CJ3" s="13">
        <v>30</v>
      </c>
      <c r="CK3" s="8">
        <f t="shared" si="11"/>
        <v>655.64273928372177</v>
      </c>
      <c r="CL3" s="8">
        <f t="shared" si="12"/>
        <v>552.32000000000005</v>
      </c>
      <c r="CM3" s="13">
        <v>30</v>
      </c>
      <c r="CN3" s="8">
        <f t="shared" si="13"/>
        <v>327.82136964186088</v>
      </c>
      <c r="CO3" s="8">
        <f t="shared" si="14"/>
        <v>276.16000000000003</v>
      </c>
      <c r="CP3" s="8">
        <f t="shared" ca="1" si="15"/>
        <v>9513.8990296285228</v>
      </c>
      <c r="CQ3" s="8">
        <f t="shared" ca="1" si="16"/>
        <v>-72.210493634880493</v>
      </c>
      <c r="CR3" s="8">
        <f t="shared" ca="1" si="17"/>
        <v>-121.3253836348805</v>
      </c>
      <c r="CS3" s="8">
        <f ca="1">(AX27+CE3+CS23+DN23+AN8)</f>
        <v>1017.6099999999999</v>
      </c>
      <c r="CT3" s="8">
        <f t="shared" ca="1" si="18"/>
        <v>14967.289029628522</v>
      </c>
      <c r="CU3" s="8">
        <f ca="1">IF(CT3&gt;=AZ2*7.5,AZ2*7.5,CT3)</f>
        <v>14967.289029628522</v>
      </c>
      <c r="DT3" s="8">
        <f>(0)</f>
        <v>0</v>
      </c>
      <c r="DU3" s="23">
        <f>(0%)</f>
        <v>0</v>
      </c>
      <c r="DW3" s="19" t="s">
        <v>93</v>
      </c>
      <c r="DX3" s="8">
        <v>414.24</v>
      </c>
      <c r="DY3" s="7">
        <v>1</v>
      </c>
      <c r="DZ3" s="20">
        <v>0.5</v>
      </c>
      <c r="EA3" s="21">
        <v>0.03</v>
      </c>
      <c r="EB3" s="53"/>
    </row>
    <row r="4" spans="1:16311" ht="39.950000000000003" customHeight="1" x14ac:dyDescent="0.25">
      <c r="A4" s="64"/>
      <c r="B4" s="65"/>
      <c r="C4" s="63"/>
      <c r="D4" s="63"/>
      <c r="E4" s="66"/>
      <c r="F4" s="63"/>
      <c r="G4" s="63"/>
      <c r="H4" s="63"/>
      <c r="I4" s="67"/>
      <c r="J4" s="63"/>
      <c r="K4" s="63"/>
      <c r="L4" s="63"/>
      <c r="M4" s="63"/>
      <c r="N4" s="63"/>
      <c r="O4" s="63"/>
      <c r="P4" s="63"/>
      <c r="Q4" s="63"/>
      <c r="R4" s="63"/>
      <c r="S4" s="63"/>
      <c r="T4" s="81"/>
      <c r="U4" s="1" t="s">
        <v>5</v>
      </c>
      <c r="V4" s="2">
        <f t="shared" si="0"/>
        <v>4739.4800000000005</v>
      </c>
      <c r="W4" s="2">
        <f>COUNTIF(X1,"Ocak")*(BE12)
+COUNTIF(X1,"Şubat")*(BE13)
+COUNTIF(X1,"Mart")*(BE14)
+COUNTIF(X1,"Nisan")*(BE15)
+COUNTIF(X1,"Mayıs")*(BE16)
+COUNTIF(X1,"Haziran")*(BE17)
+COUNTIF(X1,"Temmuz")*(BE18)
+COUNTIF(X1,"Ağustos")*(BE19)
+COUNTIF(X1,"Eylül")*(BE20)
+COUNTIF(X1,"Ekim")*(BE21)
+COUNTIF(X1,"Kasım")*(BE22)
+COUNTIF(X1,"Aralık")*(BE23)
+COUNTIF(X1,"Yıllık Toplam")*(BE24)
+COUNTIF(X1,"Yıllık Ortalama")*(BE25)</f>
        <v>4739.4800000000005</v>
      </c>
      <c r="X4" s="82"/>
      <c r="Y4" s="70"/>
      <c r="Z4" s="17" t="s">
        <v>45</v>
      </c>
      <c r="AA4" s="2" t="s">
        <v>101</v>
      </c>
      <c r="AB4" s="71"/>
      <c r="AC4" s="72"/>
      <c r="AD4" s="74"/>
      <c r="AE4" s="73"/>
      <c r="AF4" s="4" t="s">
        <v>79</v>
      </c>
      <c r="AG4" s="5">
        <v>234.81</v>
      </c>
      <c r="AH4" s="5">
        <v>277</v>
      </c>
      <c r="AI4" s="7" t="s">
        <v>0</v>
      </c>
      <c r="AJ4" s="7" t="s">
        <v>0</v>
      </c>
      <c r="AK4" s="8">
        <f>($AK$12)</f>
        <v>535.16648499999997</v>
      </c>
      <c r="AL4" s="8">
        <f>($AL$12)</f>
        <v>758.27961899999991</v>
      </c>
      <c r="AM4" s="11" t="s">
        <v>0</v>
      </c>
      <c r="AN4" s="11" t="s">
        <v>0</v>
      </c>
      <c r="AO4" s="13">
        <f>(AO14+AO15+AO16+AO17+AO18+AO19+AO20+AO21+AO22+AO1+AO2+AO3)</f>
        <v>365</v>
      </c>
      <c r="AP4" s="13">
        <f>(AP14+AP15+AP16+AP17+AP18+AP19+AP20+AP21+AP22+AP1+AP2+AP3)</f>
        <v>313</v>
      </c>
      <c r="AQ4" s="13">
        <f>(AQ14+AQ15+AQ16+AQ17+AQ18+AQ19+AQ20+AQ21+AQ22+AQ1+AQ2+AQ3)</f>
        <v>52</v>
      </c>
      <c r="AR4" s="11" t="s">
        <v>0</v>
      </c>
      <c r="AS4" s="8">
        <f t="shared" ref="AS4:AX4" si="24">(AS14+AS15+AS16+AS17+AS18+AS19+AS20+AS21+AS22+AS1+AS2+AS3)</f>
        <v>4766.1827376218225</v>
      </c>
      <c r="AT4" s="8">
        <f t="shared" si="24"/>
        <v>4015.079999999999</v>
      </c>
      <c r="AU4" s="8">
        <f t="shared" si="24"/>
        <v>4766.1827376218225</v>
      </c>
      <c r="AV4" s="8">
        <f t="shared" si="24"/>
        <v>4015.079999999999</v>
      </c>
      <c r="AW4" s="8">
        <f t="shared" si="24"/>
        <v>4766.1827376218225</v>
      </c>
      <c r="AX4" s="8">
        <f t="shared" si="24"/>
        <v>4015.079999999999</v>
      </c>
      <c r="AY4" s="8" t="s">
        <v>0</v>
      </c>
      <c r="AZ4" s="8">
        <f>(6471)</f>
        <v>6471</v>
      </c>
      <c r="BA4" s="8">
        <f>(6471)</f>
        <v>6471</v>
      </c>
      <c r="BB4" s="8">
        <f>(AZ4-BA4)</f>
        <v>0</v>
      </c>
      <c r="BC4" s="8">
        <f>(BB4*0.00759*-1)</f>
        <v>0</v>
      </c>
      <c r="BD4" s="8">
        <f>(0)</f>
        <v>0</v>
      </c>
      <c r="BE4" s="8">
        <f>(AZ4-BD4)</f>
        <v>6471</v>
      </c>
      <c r="BF4" s="8">
        <f>(BE4*0.14*-1)</f>
        <v>-905.94</v>
      </c>
      <c r="BG4" s="8">
        <f>(BE4*0.01*-1)</f>
        <v>-64.710000000000008</v>
      </c>
      <c r="BH4" s="8">
        <f ca="1">(BE11*0.14*-1)</f>
        <v>-164.4804</v>
      </c>
      <c r="BI4" s="8">
        <f ca="1">(BE11*0.01*-1)</f>
        <v>-11.7486</v>
      </c>
      <c r="BJ4" s="8">
        <f>(0)</f>
        <v>0</v>
      </c>
      <c r="BK4" s="8">
        <f ca="1">(BB11+BH4+BI4-BJ4)</f>
        <v>1258.8910000000001</v>
      </c>
      <c r="BL4" s="8">
        <f>(0)</f>
        <v>0</v>
      </c>
      <c r="BN4" s="8">
        <f t="shared" ca="1" si="19"/>
        <v>492.54</v>
      </c>
      <c r="BO4" s="8">
        <f t="shared" si="1"/>
        <v>488.8</v>
      </c>
      <c r="BP4" s="8">
        <f t="shared" ca="1" si="20"/>
        <v>3.7383786000000003</v>
      </c>
      <c r="BQ4" s="8">
        <f t="shared" ca="1" si="21"/>
        <v>492.54</v>
      </c>
      <c r="BR4" s="8">
        <f>(0)</f>
        <v>0</v>
      </c>
      <c r="BS4" s="13">
        <v>18</v>
      </c>
      <c r="BT4" s="8">
        <f t="shared" si="2"/>
        <v>6559.3238446837058</v>
      </c>
      <c r="BU4" s="8">
        <f t="shared" si="3"/>
        <v>5525.64</v>
      </c>
      <c r="BV4" s="13">
        <v>30</v>
      </c>
      <c r="BW4" s="8">
        <f t="shared" si="4"/>
        <v>655.64273928372177</v>
      </c>
      <c r="BX4" s="8">
        <f t="shared" si="22"/>
        <v>552.32000000000005</v>
      </c>
      <c r="BY4" s="13">
        <v>30</v>
      </c>
      <c r="BZ4" s="8">
        <f t="shared" si="5"/>
        <v>327.82136964186088</v>
      </c>
      <c r="CA4" s="8">
        <f t="shared" si="23"/>
        <v>276.16000000000003</v>
      </c>
      <c r="CB4" s="8">
        <f t="shared" ca="1" si="6"/>
        <v>681.17</v>
      </c>
      <c r="CC4" s="8">
        <f t="shared" si="7"/>
        <v>676</v>
      </c>
      <c r="CD4" s="8">
        <f t="shared" ca="1" si="8"/>
        <v>5.1700802999999995</v>
      </c>
      <c r="CE4" s="8">
        <f t="shared" ca="1" si="9"/>
        <v>681.17</v>
      </c>
      <c r="CF4" s="8">
        <f>(0)</f>
        <v>0</v>
      </c>
      <c r="CG4" s="13">
        <v>18</v>
      </c>
      <c r="CH4" s="8">
        <f t="shared" si="10"/>
        <v>7739.2243681817636</v>
      </c>
      <c r="CI4" s="8">
        <f>(AX1*CG4)</f>
        <v>6519.5999999999995</v>
      </c>
      <c r="CJ4" s="13">
        <v>30</v>
      </c>
      <c r="CK4" s="8">
        <f t="shared" si="11"/>
        <v>655.64273928372177</v>
      </c>
      <c r="CL4" s="8">
        <f t="shared" si="12"/>
        <v>552.32000000000005</v>
      </c>
      <c r="CM4" s="13">
        <v>30</v>
      </c>
      <c r="CN4" s="8">
        <f t="shared" si="13"/>
        <v>327.82136964186088</v>
      </c>
      <c r="CO4" s="8">
        <f t="shared" si="14"/>
        <v>276.16000000000003</v>
      </c>
      <c r="CP4" s="8">
        <f t="shared" ca="1" si="15"/>
        <v>18328.015671168861</v>
      </c>
      <c r="CQ4" s="8">
        <f t="shared" ca="1" si="16"/>
        <v>-139.10963894417168</v>
      </c>
      <c r="CR4" s="8">
        <f t="shared" ca="1" si="17"/>
        <v>-188.22452894417168</v>
      </c>
      <c r="CS4" s="8">
        <f ca="1">(BL17+CE4+CS24+DN24+AN9)</f>
        <v>1017.6099999999999</v>
      </c>
      <c r="CT4" s="8">
        <f t="shared" ca="1" si="18"/>
        <v>23781.405671168861</v>
      </c>
      <c r="CU4" s="8">
        <f ca="1">IF(CT4&gt;=AZ3*7.5,AZ3*7.5,CT4)</f>
        <v>23781.405671168861</v>
      </c>
      <c r="DP4" s="8">
        <f t="shared" ref="DP4:DP9" ca="1" si="25">(CP9*0.14*-1)</f>
        <v>-1924.4312320791646</v>
      </c>
      <c r="DQ4" s="8">
        <f t="shared" ref="DQ4:DQ9" ca="1" si="26">(CP9*0.01*-1)</f>
        <v>-137.45937371994032</v>
      </c>
      <c r="DR4" s="8">
        <f>(BJ1+BR1+CV9+DO15+AN23+AR23)</f>
        <v>276.28200000000004</v>
      </c>
      <c r="DS4" s="8">
        <f t="shared" ref="DS4:DS9" ca="1" si="27">(CG9+DP4+DQ4-DR4)</f>
        <v>12160.564766194926</v>
      </c>
      <c r="DT4" s="8">
        <f ca="1">SUM($DS$4:DS4)</f>
        <v>12160.564766194926</v>
      </c>
      <c r="DU4" s="23">
        <f t="shared" ref="DU4:DU15" ca="1" si="28">IF(DT4&lt;=$BP$15,$BN$15,
IF(DT4&gt;$BP$17,
IF(DT4&gt;$BP$18,$BN$19,$BN$18),
IF(DT4&lt;$BP$16,$BN$16,$BN$17)))</f>
        <v>0.15</v>
      </c>
      <c r="DV4" s="24">
        <f ca="1">IF(DU4-DU3=0,0,1)</f>
        <v>1</v>
      </c>
      <c r="DW4" s="19" t="s">
        <v>57</v>
      </c>
      <c r="DX4" s="8">
        <v>1933.12</v>
      </c>
      <c r="DY4" s="7">
        <v>2</v>
      </c>
      <c r="DZ4" s="20">
        <v>1</v>
      </c>
      <c r="EA4" s="21">
        <v>0.04</v>
      </c>
      <c r="EB4" s="53"/>
    </row>
    <row r="5" spans="1:16311" ht="39.950000000000003" customHeight="1" x14ac:dyDescent="0.25">
      <c r="A5" s="64"/>
      <c r="B5" s="65"/>
      <c r="C5" s="63"/>
      <c r="D5" s="63"/>
      <c r="E5" s="66"/>
      <c r="F5" s="63"/>
      <c r="G5" s="63"/>
      <c r="H5" s="63"/>
      <c r="I5" s="67"/>
      <c r="J5" s="63"/>
      <c r="K5" s="63"/>
      <c r="L5" s="63"/>
      <c r="M5" s="63"/>
      <c r="N5" s="63"/>
      <c r="O5" s="63"/>
      <c r="P5" s="63"/>
      <c r="Q5" s="63"/>
      <c r="R5" s="63"/>
      <c r="S5" s="63"/>
      <c r="T5" s="81"/>
      <c r="U5" s="1" t="s">
        <v>8</v>
      </c>
      <c r="V5" s="2">
        <f t="shared" ref="V5:V8" si="29">IF(W5&gt;0,W5,W5*-1)</f>
        <v>14374</v>
      </c>
      <c r="W5" s="2">
        <f>COUNTIF(X1,"Ocak")*(AZ8)
+COUNTIF(X1,"Şubat")*(AZ9)
+COUNTIF(X1,"Mart")*(AZ10)
+COUNTIF(X1,"Nisan")*(AZ11)
+COUNTIF(X1,"Mayıs")*(AT23)
+COUNTIF(X1,"Haziran")*(AT24)
+COUNTIF(X1,"Temmuz")*(AT25)
+COUNTIF(X1,"Ağustos")*(AT26)
+COUNTIF(X1,"Eylül")*(AT27)
+COUNTIF(X1,"Ekim")*(BH17)
+COUNTIF(X1,"Kasım")*(BH18)
+COUNTIF(X1,"Aralık")*(BH19)
+COUNTIF(X1,"Yıllık Toplam")*(BH20)
+COUNTIF(X1,"Yıllık Ortalama")*(BH21)</f>
        <v>14374</v>
      </c>
      <c r="X5" s="82"/>
      <c r="Y5" s="70"/>
      <c r="Z5" s="17" t="s">
        <v>30</v>
      </c>
      <c r="AA5" s="22" t="s">
        <v>102</v>
      </c>
      <c r="AB5" s="71"/>
      <c r="AC5" s="72"/>
      <c r="AD5" s="74"/>
      <c r="AE5" s="73"/>
      <c r="AF5" s="4" t="s">
        <v>80</v>
      </c>
      <c r="AG5" s="5">
        <v>234.81</v>
      </c>
      <c r="AH5" s="5">
        <v>277</v>
      </c>
      <c r="AI5" s="7" t="s">
        <v>0</v>
      </c>
      <c r="AJ5" s="7" t="s">
        <v>0</v>
      </c>
      <c r="AK5" s="8">
        <f>($AK$13)</f>
        <v>117.7225</v>
      </c>
      <c r="AL5" s="8">
        <f>($AL$13)</f>
        <v>166.8015</v>
      </c>
      <c r="AM5" s="11" t="s">
        <v>0</v>
      </c>
      <c r="AN5" s="11" t="s">
        <v>0</v>
      </c>
      <c r="AO5" s="11" t="s">
        <v>0</v>
      </c>
      <c r="AP5" s="11" t="s">
        <v>0</v>
      </c>
      <c r="AQ5" s="11" t="s">
        <v>0</v>
      </c>
      <c r="AR5" s="11" t="s">
        <v>0</v>
      </c>
      <c r="AS5" s="8">
        <f>(AS4/12)</f>
        <v>397.18189480181854</v>
      </c>
      <c r="AT5" s="8">
        <f t="shared" ref="AT5:AX5" si="30">(AT4/12)</f>
        <v>334.58999999999992</v>
      </c>
      <c r="AU5" s="8">
        <f t="shared" si="30"/>
        <v>397.18189480181854</v>
      </c>
      <c r="AV5" s="8">
        <f t="shared" si="30"/>
        <v>334.58999999999992</v>
      </c>
      <c r="AW5" s="8">
        <f t="shared" si="30"/>
        <v>397.18189480181854</v>
      </c>
      <c r="AX5" s="8">
        <f t="shared" si="30"/>
        <v>334.58999999999992</v>
      </c>
      <c r="AY5" s="8" t="s">
        <v>0</v>
      </c>
      <c r="AZ5" s="8">
        <f>(6471)</f>
        <v>6471</v>
      </c>
      <c r="BA5" s="8">
        <f>(6471)</f>
        <v>6471</v>
      </c>
      <c r="BB5" s="8">
        <f>(AZ5-BA5)</f>
        <v>0</v>
      </c>
      <c r="BC5" s="8">
        <f>(BB5*0.00759*-1)</f>
        <v>0</v>
      </c>
      <c r="BD5" s="8">
        <f>(0)</f>
        <v>0</v>
      </c>
      <c r="BE5" s="8">
        <f>(AZ5-BD5)</f>
        <v>6471</v>
      </c>
      <c r="BF5" s="8">
        <f>(BE5*0.14*-1)</f>
        <v>-905.94</v>
      </c>
      <c r="BG5" s="8">
        <f>(BE5*0.01*-1)</f>
        <v>-64.710000000000008</v>
      </c>
      <c r="BH5" s="8">
        <f t="shared" ref="BH5:BH12" ca="1" si="31">(BM12*0.14*-1)</f>
        <v>-164.4804</v>
      </c>
      <c r="BI5" s="8">
        <f t="shared" ref="BI5:BI12" ca="1" si="32">(BM12*0.01*-1)</f>
        <v>-11.7486</v>
      </c>
      <c r="BJ5" s="8">
        <f>(0)</f>
        <v>0</v>
      </c>
      <c r="BK5" s="8">
        <f ca="1">(AV23+BH5+BI5-BJ5)</f>
        <v>1258.8910000000001</v>
      </c>
      <c r="BL5" s="8">
        <f>(0)</f>
        <v>0</v>
      </c>
      <c r="BN5" s="8">
        <f t="shared" ca="1" si="19"/>
        <v>492.54</v>
      </c>
      <c r="BO5" s="8">
        <f t="shared" si="1"/>
        <v>488.8</v>
      </c>
      <c r="BP5" s="8">
        <f t="shared" ca="1" si="20"/>
        <v>3.7383786000000003</v>
      </c>
      <c r="BQ5" s="8">
        <f t="shared" ca="1" si="21"/>
        <v>492.54</v>
      </c>
      <c r="BR5" s="8">
        <f>(0)</f>
        <v>0</v>
      </c>
      <c r="BS5" s="13">
        <v>0</v>
      </c>
      <c r="BT5" s="8">
        <f t="shared" si="2"/>
        <v>0</v>
      </c>
      <c r="BU5" s="8">
        <f t="shared" si="3"/>
        <v>0</v>
      </c>
      <c r="BV5" s="13">
        <v>30</v>
      </c>
      <c r="BW5" s="8">
        <f t="shared" si="4"/>
        <v>655.64273928372177</v>
      </c>
      <c r="BX5" s="8">
        <f t="shared" si="22"/>
        <v>552.32000000000005</v>
      </c>
      <c r="BY5" s="13">
        <v>30</v>
      </c>
      <c r="BZ5" s="8">
        <f t="shared" si="5"/>
        <v>327.82136964186088</v>
      </c>
      <c r="CA5" s="8">
        <f t="shared" si="23"/>
        <v>276.16000000000003</v>
      </c>
      <c r="CB5" s="8">
        <f t="shared" ca="1" si="6"/>
        <v>681.17</v>
      </c>
      <c r="CC5" s="8">
        <f t="shared" si="7"/>
        <v>676</v>
      </c>
      <c r="CD5" s="8">
        <f t="shared" ca="1" si="8"/>
        <v>5.1700802999999995</v>
      </c>
      <c r="CE5" s="8">
        <f t="shared" ca="1" si="9"/>
        <v>681.17</v>
      </c>
      <c r="CF5" s="8">
        <f>(0)</f>
        <v>0</v>
      </c>
      <c r="CG5" s="13">
        <v>0</v>
      </c>
      <c r="CH5" s="8">
        <f t="shared" si="10"/>
        <v>0</v>
      </c>
      <c r="CI5" s="8">
        <f>(AX2*CG5)</f>
        <v>0</v>
      </c>
      <c r="CJ5" s="13">
        <v>30</v>
      </c>
      <c r="CK5" s="8">
        <f t="shared" si="11"/>
        <v>655.64273928372177</v>
      </c>
      <c r="CL5" s="8">
        <f t="shared" si="12"/>
        <v>552.32000000000005</v>
      </c>
      <c r="CM5" s="13">
        <v>30</v>
      </c>
      <c r="CN5" s="8">
        <f t="shared" si="13"/>
        <v>327.82136964186088</v>
      </c>
      <c r="CO5" s="8">
        <f t="shared" si="14"/>
        <v>276.16000000000003</v>
      </c>
      <c r="CP5" s="8">
        <f t="shared" ca="1" si="15"/>
        <v>9513.8990296285228</v>
      </c>
      <c r="CQ5" s="8">
        <f t="shared" ca="1" si="16"/>
        <v>-72.210493634880493</v>
      </c>
      <c r="CR5" s="8">
        <f t="shared" ca="1" si="17"/>
        <v>-121.3253836348805</v>
      </c>
      <c r="CS5" s="8">
        <f ca="1">(BL18+CE5+CS25+DN25+AN10)</f>
        <v>1017.6099999999999</v>
      </c>
      <c r="CT5" s="8">
        <f t="shared" ca="1" si="18"/>
        <v>14967.289029628522</v>
      </c>
      <c r="CU5" s="8">
        <f ca="1">IF(CT5&gt;=AZ4*7.5,AZ4*7.5,CT5)</f>
        <v>14967.289029628522</v>
      </c>
      <c r="DP5" s="8">
        <f t="shared" ca="1" si="25"/>
        <v>-2584.4423070613079</v>
      </c>
      <c r="DQ5" s="8">
        <f t="shared" ca="1" si="26"/>
        <v>-184.60302193295055</v>
      </c>
      <c r="DR5" s="8">
        <f>(BJ2+BR2+CV10+DO16+AN24+AR24)</f>
        <v>276.28200000000004</v>
      </c>
      <c r="DS5" s="8">
        <f t="shared" ca="1" si="27"/>
        <v>16147.754864300794</v>
      </c>
      <c r="DT5" s="8">
        <f ca="1">SUM($DS$4:DS5)</f>
        <v>28308.31963049572</v>
      </c>
      <c r="DU5" s="23">
        <f t="shared" ca="1" si="28"/>
        <v>0.15</v>
      </c>
      <c r="DV5" s="24">
        <f t="shared" ref="DV5:DV15" ca="1" si="33">IF(DU5-DU4=0,0,1)</f>
        <v>0</v>
      </c>
      <c r="DW5" s="19" t="s">
        <v>58</v>
      </c>
      <c r="DX5" s="8">
        <v>3106.8</v>
      </c>
      <c r="DY5" s="7">
        <v>3</v>
      </c>
      <c r="DZ5" s="20">
        <v>1.5</v>
      </c>
      <c r="EA5" s="21">
        <v>0.05</v>
      </c>
      <c r="EB5" s="53"/>
    </row>
    <row r="6" spans="1:16311" ht="39.950000000000003" customHeight="1" x14ac:dyDescent="0.25">
      <c r="A6" s="64"/>
      <c r="B6" s="65"/>
      <c r="C6" s="63"/>
      <c r="D6" s="63"/>
      <c r="E6" s="66"/>
      <c r="F6" s="63"/>
      <c r="G6" s="63"/>
      <c r="H6" s="63"/>
      <c r="I6" s="67"/>
      <c r="J6" s="63"/>
      <c r="K6" s="63"/>
      <c r="L6" s="63"/>
      <c r="M6" s="63"/>
      <c r="N6" s="63"/>
      <c r="O6" s="63"/>
      <c r="P6" s="63"/>
      <c r="Q6" s="63"/>
      <c r="R6" s="63"/>
      <c r="S6" s="63"/>
      <c r="T6" s="81"/>
      <c r="U6" s="1" t="s">
        <v>31</v>
      </c>
      <c r="V6" s="2">
        <f t="shared" si="29"/>
        <v>6988.8</v>
      </c>
      <c r="W6" s="2">
        <f>COUNTIF(X1,"Ocak")*(BO1)
+COUNTIF(X1,"Şubat")*(BO2)
+COUNTIF(X1,"Mart")*(BO3)
+COUNTIF(X1,"Nisan")*(BO4)
+COUNTIF(X1,"Mayıs")*(BO5)
+COUNTIF(X1,"Haziran")*(BO6)
+COUNTIF(X1,"Temmuz")*(CC1)
+COUNTIF(X1,"Ağustos")*(CC2)
+COUNTIF(X1,"Eylül")*(CC3)
+COUNTIF(X1,"Ekim")*(CC4)
+COUNTIF(X1,"Kasım")*(CC5)
+COUNTIF(X1,"Aralık")*(CC6)
+COUNTIF(X1,"Yıllık Toplam")*(CC7)
+COUNTIF(X1,"Yıllık Ortalama")*(CC8)</f>
        <v>6988.8</v>
      </c>
      <c r="X6" s="82"/>
      <c r="Y6" s="70"/>
      <c r="Z6" s="83" t="s">
        <v>119</v>
      </c>
      <c r="AA6" s="84" t="s">
        <v>120</v>
      </c>
      <c r="AB6" s="71"/>
      <c r="AC6" s="72"/>
      <c r="AD6" s="74"/>
      <c r="AE6" s="73"/>
      <c r="AF6" s="4" t="s">
        <v>81</v>
      </c>
      <c r="AG6" s="5">
        <v>178.12</v>
      </c>
      <c r="AH6" s="5">
        <v>210.2</v>
      </c>
      <c r="AI6" s="7" t="s">
        <v>0</v>
      </c>
      <c r="AJ6" s="7" t="s">
        <v>0</v>
      </c>
      <c r="AK6" s="8">
        <f>($AK$14)</f>
        <v>58.861249999999998</v>
      </c>
      <c r="AL6" s="8">
        <f>($AL$14)</f>
        <v>83.400750000000002</v>
      </c>
      <c r="AM6" s="25">
        <f t="shared" ref="AM6:AM11" si="34">COUNTIF(N21,"Yok")*(0)
+COUNTIF(N21,"Bayram Yardımı (Kurban)")*($DX$2/CL22)
+COUNTIF(N21,"Bayram Yardımı (Ramazan)")*($DX$3/CL22)
+COUNTIF(N21,"Cenaze Yardımı (Anne-Baba)")*($DX$4)
+COUNTIF(N21,"Cenaze Yardımı (Eş-Çocuk)")*($DX$5)
+COUNTIF(N21,"Cenaze Yardımı (İşçi-İş Kazası Sonucu)")*($DX$6)
+COUNTIF(N21,"Cenaze Yardımı (İşçi-Tabii Sebepler Sonucu)")*($DX$7)
+COUNTIF(N21,"Doğal Afet Yardımı")*($DX$8+$DX$8*0.00759)
+COUNTIF(N21,"Doğum Yardımı (İşveren)")*($DX$9+$DX$9*0.00759)
+COUNTIF(N21,"Eğitim Yardımı (Çocuk-Zorunlu Anaokulu)")*($DX$10)
+COUNTIF(N21,"Eğitim Yardımı (Çocuk-İlköğretim)")*($DX$11)
+COUNTIF(N21,"Eğitim Yardımı (Çocuk-Ortaöğretim)")*($DX$12)
+COUNTIF(N21,"Eğitim Yardımı (Çocuk-Lise)")*($DX$13)
+COUNTIF(N21,"Eğitim Yardımı (Çocuk-Yükseköğretim)")*($DX$14)
+COUNTIF(N21,"Eğitim Yardımı (Çocuk-Engelli)")*($DX$15)
+COUNTIF(N21,"Eğitim Yardımı (İşçi-Lise)")*($DX$16)
+COUNTIF(N21,"Eğitim Yardımı (İşçi-Yükseköğretim)")*($DX$17)
+COUNTIF(N21,"Evlilik Yardımı")*($DX$18)
+COUNTIF(N21,"İş Kazası veya Meslek Hastalığı Tazminatı")*($DX$19+$DX$19*0.00759)
+COUNTIF(N21,"Sünnet Yardımı")*($DX$20)
+COUNTIF(N21,"Temizlik Yardımı")*($DX$21/CL22)
+COUNTIF(O21,"Yok")*(0)
+COUNTIF(O21,"Bayram Yardımı (Kurban)")*($DX$2/CL22)
+COUNTIF(O21,"Bayram Yardımı (Ramazan)")*($DX$3/CL22)
+COUNTIF(O21,"Cenaze Yardımı (Anne-Baba)")*($DX$4)
+COUNTIF(O21,"Cenaze Yardımı (Eş-Çocuk)")*($DX$5)
+COUNTIF(O21,"Cenaze Yardımı (İşçi-İş Kazası Sonucu)")*($DX$6)
+COUNTIF(O21,"Cenaze Yardımı (İşçi-Tabii Sebepler Sonucu)")*($DX$7)
+COUNTIF(O21,"Doğal Afet Yardımı")*($DX$8+$DX$8*0.00759)
+COUNTIF(O21,"Doğum Yardımı (İşveren)")*($DX$9+$DX$9*0.00759)
+COUNTIF(O21,"Eğitim Yardımı (Çocuk-Zorunlu Anaokulu)")*($DX$10)
+COUNTIF(O21,"Eğitim Yardımı (Çocuk-İlköğretim)")*($DX$11)
+COUNTIF(O21,"Eğitim Yardımı (Çocuk-Ortaöğretim)")*($DX$12)
+COUNTIF(O21,"Eğitim Yardımı (Çocuk-Lise)")*($DX$13)
+COUNTIF(O21,"Eğitim Yardımı (Çocuk-Yükseköğretim)")*($DX$14)
+COUNTIF(O21,"Eğitim Yardımı (Çocuk-Engelli)")*($DX$15)
+COUNTIF(O21,"Eğitim Yardımı (İşçi-Lise)")*($DX$16)
+COUNTIF(O21,"Eğitim Yardımı (İşçi-Yükseköğretim)")*($DX$17)
+COUNTIF(O21,"Evlilik Yardımı")*($DX$18)
+COUNTIF(O21,"İş Kazası veya Meslek Hastalığı Tazminatı")*($DX$19+$DX$19*0.00759)
+COUNTIF(O21,"Sünnet Yardımı")*($DX$20)
+COUNTIF(O21,"Temizlik Yardımı")*($DX$21/CL22)
+COUNTIF(P21,"Yok")*(0)
+COUNTIF(P21,"Bayram Yardımı (Kurban)")*($DX$2/CL22)
+COUNTIF(P21,"Bayram Yardımı (Ramazan)")*($DX$3/CL22)
+COUNTIF(P21,"Cenaze Yardımı (Anne-Baba)")*($DX$4)
+COUNTIF(P21,"Cenaze Yardımı (Eş-Çocuk)")*($DX$5)
+COUNTIF(P21,"Cenaze Yardımı (İşçi-İş Kazası Sonucu)")*($DX$6)
+COUNTIF(P21,"Cenaze Yardımı (İşçi-Tabii Sebepler Sonucu)")*($DX$7)
+COUNTIF(P21,"Doğal Afet Yardımı")*($DX$8+$DX$8*0.00759)
+COUNTIF(P21,"Doğum Yardımı (İşveren)")*($DX$9+$DX$9*0.00759)
+COUNTIF(P21,"Eğitim Yardımı (Çocuk-Zorunlu Anaokulu)")*($DX$10)
+COUNTIF(P21,"Eğitim Yardımı (Çocuk-İlköğretim)")*($DX$11)
+COUNTIF(P21,"Eğitim Yardımı (Çocuk-Ortaöğretim)")*($DX$12)
+COUNTIF(P21,"Eğitim Yardımı (Çocuk-Lise)")*($DX$13)
+COUNTIF(P21,"Eğitim Yardımı (Çocuk-Yükseköğretim)")*($DX$14)
+COUNTIF(P21,"Eğitim Yardımı (Çocuk-Engelli)")*($DX$15)
+COUNTIF(P21,"Eğitim Yardımı (İşçi-Lise)")*($DX$16)
+COUNTIF(P21,"Eğitim Yardımı (İşçi-Yükseköğretim)")*($DX$17)
+COUNTIF(P21,"Evlilik Yardımı")*($DX$18)
+COUNTIF(P21,"İş Kazası veya Meslek Hastalığı Tazminatı")*($DX$19+$DX$19*0.00759)
+COUNTIF(P21,"Sünnet Yardımı")*($DX$20)
+COUNTIF(P21,"Temizlik Yardımı")*($DX$21/CL22)</f>
        <v>0</v>
      </c>
      <c r="AN6" s="25">
        <f t="shared" ref="AN6:AN11" si="35">COUNTIF(N21,"Yok")*(0)
+COUNTIF(N21,"Bayram Yardımı (Kurban)")*(0)
+COUNTIF(N21,"Bayram Yardımı (Ramazan)")*(0)
+COUNTIF(N21,"Cenaze Yardımı (Anne-Baba)")*($DX$4)
+COUNTIF(N21,"Cenaze Yardımı (Eş-Çocuk)")*($DX$5)
+COUNTIF(N21,"Cenaze Yardımı (İşçi-İş Kazası Sonucu)")*($DX$6)
+COUNTIF(N21,"Cenaze Yardımı (İşçi-Tabii Sebepler Sonucu)")*($DX$7)
+COUNTIF(N21,"Doğal Afet Yardımı")*($DX$8+$DX$8*0.00759)
+COUNTIF(N21,"Doğum Yardımı (İşveren)")*($DX$9+$DX$9*0.00759)
+COUNTIF(N21,"Eğitim Yardımı (Çocuk-Zorunlu Anaokulu)")*(0)
+COUNTIF(N21,"Eğitim Yardımı (Çocuk-İlköğretim)")*(0)
+COUNTIF(N21,"Eğitim Yardımı (Çocuk-Ortaöğretim)")*(0)
+COUNTIF(N21,"Eğitim Yardımı (Çocuk-Lise)")*(0)
+COUNTIF(N21,"Eğitim Yardımı (Çocuk-Yükseköğretim)")*(0)
+COUNTIF(N21,"Eğitim Yardımı (Çocuk-Engelli)")*(0)
+COUNTIF(N21,"Eğitim Yardımı (İşçi-Lise)")*(0)
+COUNTIF(N21,"Eğitim Yardımı (İşçi-Yükseköğretim)")*(0)
+COUNTIF(N21,"Evlilik Yardımı")*($DX$18)
+COUNTIF(N21,"İş Kazası veya Meslek Hastalığı Tazminatı")*($DX$19+$DX$19*0.00759)
+COUNTIF(N21,"Sünnet Yardımı")*(0)
+COUNTIF(N21,"Temizlik Yardımı")*(0)
+COUNTIF(O21,"Yok")*(0)
+COUNTIF(O21,"Bayram Yardımı (Kurban)")*(0)
+COUNTIF(O21,"Bayram Yardımı (Ramazan)")*(0)
+COUNTIF(O21,"Cenaze Yardımı (Anne-Baba)")*($DX$4)
+COUNTIF(O21,"Cenaze Yardımı (Eş-Çocuk)")*($DX$5)
+COUNTIF(O21,"Cenaze Yardımı (İşçi-İş Kazası Sonucu)")*($DX$6)
+COUNTIF(O21,"Cenaze Yardımı (İşçi-Tabii Sebepler Sonucu)")*($DX$7)
+COUNTIF(O21,"Doğal Afet Yardımı")*($DX$8+$DX$8*0.00759)
+COUNTIF(O21,"Doğum Yardımı (İşveren)")*($DX$9+$DX$9*0.00759)
+COUNTIF(O21,"Eğitim Yardımı (Çocuk-Zorunlu Anaokulu)")*(0)
+COUNTIF(O21,"Eğitim Yardımı (Çocuk-İlköğretim)")*(0)
+COUNTIF(O21,"Eğitim Yardımı (Çocuk-Ortaöğretim)")*(0)
+COUNTIF(O21,"Eğitim Yardımı (Çocuk-Lise)")*(0)
+COUNTIF(O21,"Eğitim Yardımı (Çocuk-Yükseköğretim)")*(0)
+COUNTIF(O21,"Eğitim Yardımı (Çocuk-Engelli)")*(0)
+COUNTIF(O21,"Eğitim Yardımı (İşçi-Lise)")*(0)
+COUNTIF(O21,"Eğitim Yardımı (İşçi-Yükseköğretim)")*(0)
+COUNTIF(O21,"Evlilik Yardımı")*($DX$18)
+COUNTIF(O21,"İş Kazası veya Meslek Hastalığı Tazminatı")*($DX$19+$DX$19*0.00759)
+COUNTIF(O21,"Sünnet Yardımı")*(0)
+COUNTIF(O21,"Temizlik Yardımı")*(0)
+COUNTIF(P21,"Yok")*(0)
+COUNTIF(P21,"Bayram Yardımı (Kurban)")*(0)
+COUNTIF(P21,"Bayram Yardımı (Ramazan)")*(0)
+COUNTIF(P21,"Cenaze Yardımı (Anne-Baba)")*($DX$4)
+COUNTIF(P21,"Cenaze Yardımı (Eş-Çocuk)")*($DX$5)
+COUNTIF(P21,"Cenaze Yardımı (İşçi-İş Kazası Sonucu)")*($DX$6)
+COUNTIF(P21,"Cenaze Yardımı (İşçi-Tabii Sebepler Sonucu)")*($DX$7)
+COUNTIF(P21,"Doğal Afet Yardımı")*($DX$8+$DX$8*0.00759)
+COUNTIF(P21,"Doğum Yardımı (İşveren)")*($DX$9+$DX$9*0.00759)
+COUNTIF(P21,"Eğitim Yardımı (Çocuk-Zorunlu Anaokulu)")*(0)
+COUNTIF(P21,"Eğitim Yardımı (Çocuk-İlköğretim)")*(0)
+COUNTIF(P21,"Eğitim Yardımı (Çocuk-Ortaöğretim)")*(0)
+COUNTIF(P21,"Eğitim Yardımı (Çocuk-Lise)")*(0)
+COUNTIF(P21,"Eğitim Yardımı (Çocuk-Yükseköğretim)")*(0)
+COUNTIF(P21,"Eğitim Yardımı (Çocuk-Engelli)")*(0)
+COUNTIF(P21,"Eğitim Yardımı (İşçi-Lise)")*(0)
+COUNTIF(P21,"Eğitim Yardımı (İşçi-Yükseköğretim)")*(0)
+COUNTIF(P21,"Evlilik Yardımı")*($DX$18)
+COUNTIF(P21,"İş Kazası veya Meslek Hastalığı Tazminatı")*($DX$19+$DX$19*0.00759)
+COUNTIF(P21,"Sünnet Yardımı")*(0)
+COUNTIF(P21,"Temizlik Yardımı")*(0)</f>
        <v>0</v>
      </c>
      <c r="AO6" s="25">
        <f t="shared" ref="AO6:AO11" si="36">COUNTIF(N21,"Yok")*(0)
+COUNTIF(N21,"Bayram Yardımı (Kurban)")*($DX$2)
+COUNTIF(N21,"Bayram Yardımı (Ramazan)")*($DX$3)
+COUNTIF(N21,"Cenaze Yardımı (Anne-Baba)")*($DX$4-$DX$4*0.00759)
+COUNTIF(N21,"Cenaze Yardımı (Eş-Çocuk)")*($DX$5-$DX$5*0.00759)
+COUNTIF(N21,"Cenaze Yardımı (İşçi-İş Kazası Sonucu)")*($DX$6-$DX$6*0.00759)
+COUNTIF(N21,"Cenaze Yardımı (İşçi-Tabii Sebepler Sonucu)")*($DX$7-$DX$7*0.00759)
+COUNTIF(N21,"Doğal Afet Yardımı")*($DX$8)
+COUNTIF(N21,"Doğum Yardımı (İşveren)")*($DX$9)
+COUNTIF(N21,"Eğitim Yardımı (Çocuk-Zorunlu Anaokulu)")*($DX$10*CL22)
+COUNTIF(N21,"Eğitim Yardımı (Çocuk-İlköğretim)")*($DX$11*CL22)
+COUNTIF(N21,"Eğitim Yardımı (Çocuk-Ortaöğretim)")*($DX$12*CL22)
+COUNTIF(N21,"Eğitim Yardımı (Çocuk-Lise)")*($DX$13*CL22)
+COUNTIF(N21,"Eğitim Yardımı (Çocuk-Yükseköğretim)")*($DX$14*CL22)
+COUNTIF(N21,"Eğitim Yardımı (Çocuk-Engelli)")*($DX$15*CL22)
+COUNTIF(N21,"Eğitim Yardımı (İşçi-Lise)")*($DX$16*CL22)
+COUNTIF(N21,"Eğitim Yardımı (İşçi-Yükseköğretim)")*($DX$17*CL22)
+COUNTIF(N21,"Evlilik Yardımı")*($DX$18-$DX$18*0.00759)
+COUNTIF(N21,"İş Kazası veya Meslek Hastalığı Tazminatı")*($DX$19)
+COUNTIF(N21,"Sünnet Yardımı")*($DX$20*CL22)
+COUNTIF(N21,"Temizlik Yardımı")*($DX$21)
+COUNTIF(O21,"Yok")*(0)
+COUNTIF(O21,"Bayram Yardımı (Kurban)")*($DX$2)
+COUNTIF(O21,"Bayram Yardımı (Ramazan)")*($DX$3)
+COUNTIF(O21,"Cenaze Yardımı (Anne-Baba)")*($DX$4-$DX$4*0.00759)
+COUNTIF(O21,"Cenaze Yardımı (Eş-Çocuk)")*($DX$5-$DX$5*0.00759)
+COUNTIF(O21,"Cenaze Yardımı (İşçi-İş Kazası Sonucu)")*($DX$6-$DX$6*0.00759)
+COUNTIF(O21,"Cenaze Yardımı (İşçi-Tabii Sebepler Sonucu)")*($DX$7-$DX$7*0.00759)
+COUNTIF(O21,"Doğal Afet Yardımı")*($DX$8)
+COUNTIF(O21,"Doğum Yardımı (İşveren)")*($DX$9)
+COUNTIF(O21,"Eğitim Yardımı (Çocuk-Zorunlu Anaokulu)")*($DX$10*CL22)
+COUNTIF(O21,"Eğitim Yardımı (Çocuk-İlköğretim)")*($DX$11*CL22)
+COUNTIF(O21,"Eğitim Yardımı (Çocuk-Ortaöğretim)")*($DX$12*CL22)
+COUNTIF(O21,"Eğitim Yardımı (Çocuk-Lise)")*($DX$13*CL22)
+COUNTIF(O21,"Eğitim Yardımı (Çocuk-Yükseköğretim)")*($DX$14*CL22)
+COUNTIF(O21,"Eğitim Yardımı (Çocuk-Engelli)")*($DX$15*CL22)
+COUNTIF(O21,"Eğitim Yardımı (İşçi-Lise)")*($DX$16*CL22)
+COUNTIF(O21,"Eğitim Yardımı (İşçi-Yükseköğretim)")*($DX$17*CL22)
+COUNTIF(O21,"Evlilik Yardımı")*($DX$18-$DX$18*0.00759)
+COUNTIF(O21,"İş Kazası veya Meslek Hastalığı Tazminatı")*($DX$19)
+COUNTIF(O21,"Sünnet Yardımı")*($DX$20*CL22)
+COUNTIF(O21,"Temizlik Yardımı")*($DX$21)
+COUNTIF(P21,"Yok")*(0)
+COUNTIF(P21,"Bayram Yardımı (Kurban)")*($DX$2)
+COUNTIF(P21,"Bayram Yardımı (Ramazan)")*($DX$3)
+COUNTIF(P21,"Cenaze Yardımı (Anne-Baba)")*($DX$4-$DX$4*0.00759)
+COUNTIF(P21,"Cenaze Yardımı (Eş-Çocuk)")*($DX$5-$DX$5*0.00759)
+COUNTIF(P21,"Cenaze Yardımı (İşçi-İş Kazası Sonucu)")*($DX$6-$DX$6*0.00759)
+COUNTIF(P21,"Cenaze Yardımı (İşçi-Tabii Sebepler Sonucu)")*($DX$7-$DX$7*0.00759)
+COUNTIF(P21,"Doğal Afet Yardımı")*($DX$8)
+COUNTIF(P21,"Doğum Yardımı (İşveren)")*($DX$9)
+COUNTIF(P21,"Eğitim Yardımı (Çocuk-Zorunlu Anaokulu)")*($DX$10*CL22)
+COUNTIF(P21,"Eğitim Yardımı (Çocuk-İlköğretim)")*($DX$11*CL22)
+COUNTIF(P21,"Eğitim Yardımı (Çocuk-Ortaöğretim)")*($DX$12*CL22)
+COUNTIF(P21,"Eğitim Yardımı (Çocuk-Lise)")*($DX$13*CL22)
+COUNTIF(P21,"Eğitim Yardımı (Çocuk-Yükseköğretim)")*($DX$14*CL22)
+COUNTIF(P21,"Eğitim Yardımı (Çocuk-Engelli)")*($DX$15*CL22)
+COUNTIF(P21,"Eğitim Yardımı (İşçi-Lise)")*($DX$16*CL22)
+COUNTIF(P21,"Eğitim Yardımı (İşçi-Yükseköğretim)")*($DX$17*CL22)
+COUNTIF(P21,"Evlilik Yardımı")*($DX$18-$DX$18*0.00759)
+COUNTIF(P21,"İş Kazası veya Meslek Hastalığı Tazminatı")*($DX$19)
+COUNTIF(P21,"Sünnet Yardımı")*($DX$20*CL22)
+COUNTIF(P21,"Temizlik Yardımı")*($DX$21)</f>
        <v>0</v>
      </c>
      <c r="AP6" s="24" t="s">
        <v>11</v>
      </c>
      <c r="AQ6" s="8">
        <f>COUNTIF(AP6,"Var")*(AT20*0.9*-1)</f>
        <v>-325.98</v>
      </c>
      <c r="AR6" s="8">
        <f t="shared" ref="AR6:AR11" si="37">(AQ6*-1)</f>
        <v>325.98</v>
      </c>
      <c r="AS6" s="25">
        <f t="shared" ref="AS6:AS11" ca="1" si="38">(CU1*Q21+AT6)*-1</f>
        <v>0</v>
      </c>
      <c r="AT6" s="25">
        <f ca="1">(BB18+BD18+AS25-AX25)*(Q21*-1)</f>
        <v>0</v>
      </c>
      <c r="AU6" s="25">
        <f t="shared" ref="AU6:AU11" ca="1" si="39">(AS6+AT6)</f>
        <v>0</v>
      </c>
      <c r="AV6" s="8">
        <f t="shared" ref="AV6:AV11" si="40">(AW6/CU13)</f>
        <v>0</v>
      </c>
      <c r="AW6" s="8">
        <f t="shared" ref="AW6:AW13" si="41">(0.41*C15)</f>
        <v>0</v>
      </c>
      <c r="AX6" s="8">
        <f>(AX12/CL24)</f>
        <v>0</v>
      </c>
      <c r="AY6" s="25" t="s">
        <v>0</v>
      </c>
      <c r="AZ6" s="8">
        <f t="shared" ref="AZ6:BG6" si="42">(BR7+BR8+BR9+BR10+BR11+BR12+BR13+AZ1+AZ2+AZ3+AZ4+AZ5)</f>
        <v>68850</v>
      </c>
      <c r="BA6" s="8">
        <f t="shared" si="42"/>
        <v>68850</v>
      </c>
      <c r="BB6" s="8">
        <f t="shared" si="42"/>
        <v>0</v>
      </c>
      <c r="BC6" s="8">
        <f t="shared" si="42"/>
        <v>0</v>
      </c>
      <c r="BD6" s="8">
        <f t="shared" si="42"/>
        <v>0</v>
      </c>
      <c r="BE6" s="8">
        <f t="shared" si="42"/>
        <v>68850</v>
      </c>
      <c r="BF6" s="8">
        <f t="shared" si="42"/>
        <v>-9639.0000000000036</v>
      </c>
      <c r="BG6" s="8">
        <f t="shared" si="42"/>
        <v>-688.50000000000023</v>
      </c>
      <c r="BH6" s="8">
        <f t="shared" ca="1" si="31"/>
        <v>-164.4804</v>
      </c>
      <c r="BI6" s="8">
        <f t="shared" ca="1" si="32"/>
        <v>-11.7486</v>
      </c>
      <c r="BJ6" s="8">
        <f>(0)</f>
        <v>0</v>
      </c>
      <c r="BK6" s="8">
        <f ca="1">(AV24+BH6+BI6-BJ6)</f>
        <v>1258.8910000000001</v>
      </c>
      <c r="BL6" s="8">
        <f>(0)</f>
        <v>0</v>
      </c>
      <c r="BN6" s="8">
        <f t="shared" ca="1" si="19"/>
        <v>492.54</v>
      </c>
      <c r="BO6" s="8">
        <f t="shared" si="1"/>
        <v>488.8</v>
      </c>
      <c r="BP6" s="8">
        <f t="shared" ca="1" si="20"/>
        <v>3.7383786000000003</v>
      </c>
      <c r="BQ6" s="8">
        <f t="shared" ca="1" si="21"/>
        <v>492.54</v>
      </c>
      <c r="BR6" s="8">
        <f>(0)</f>
        <v>0</v>
      </c>
      <c r="BS6" s="13">
        <v>18</v>
      </c>
      <c r="BT6" s="8">
        <f t="shared" si="2"/>
        <v>6559.3238446837058</v>
      </c>
      <c r="BU6" s="8">
        <f t="shared" si="3"/>
        <v>5525.64</v>
      </c>
      <c r="BV6" s="13">
        <v>30</v>
      </c>
      <c r="BW6" s="8">
        <f t="shared" si="4"/>
        <v>655.64273928372177</v>
      </c>
      <c r="BX6" s="8">
        <f t="shared" si="22"/>
        <v>552.32000000000005</v>
      </c>
      <c r="BY6" s="13">
        <v>30</v>
      </c>
      <c r="BZ6" s="8">
        <f t="shared" si="5"/>
        <v>327.82136964186088</v>
      </c>
      <c r="CA6" s="8">
        <f t="shared" si="23"/>
        <v>276.16000000000003</v>
      </c>
      <c r="CB6" s="8">
        <f t="shared" ca="1" si="6"/>
        <v>681.17</v>
      </c>
      <c r="CC6" s="8">
        <f t="shared" si="7"/>
        <v>676</v>
      </c>
      <c r="CD6" s="8">
        <f t="shared" ca="1" si="8"/>
        <v>5.1700802999999995</v>
      </c>
      <c r="CE6" s="8">
        <f t="shared" ca="1" si="9"/>
        <v>681.17</v>
      </c>
      <c r="CF6" s="8">
        <f>(0)</f>
        <v>0</v>
      </c>
      <c r="CG6" s="13">
        <v>22</v>
      </c>
      <c r="CH6" s="8">
        <f t="shared" si="10"/>
        <v>9459.0520055554898</v>
      </c>
      <c r="CI6" s="8">
        <f>(AX3*CG6)</f>
        <v>7968.4</v>
      </c>
      <c r="CJ6" s="13">
        <v>30</v>
      </c>
      <c r="CK6" s="8">
        <f t="shared" si="11"/>
        <v>655.64273928372177</v>
      </c>
      <c r="CL6" s="8">
        <f t="shared" si="12"/>
        <v>552.32000000000005</v>
      </c>
      <c r="CM6" s="13">
        <v>30</v>
      </c>
      <c r="CN6" s="8">
        <f t="shared" si="13"/>
        <v>327.82136964186088</v>
      </c>
      <c r="CO6" s="8">
        <f t="shared" si="14"/>
        <v>276.16000000000003</v>
      </c>
      <c r="CP6" s="8">
        <f t="shared" ca="1" si="15"/>
        <v>19457.582389827439</v>
      </c>
      <c r="CQ6" s="8">
        <f t="shared" ca="1" si="16"/>
        <v>-147.68305033879028</v>
      </c>
      <c r="CR6" s="8">
        <f t="shared" ca="1" si="17"/>
        <v>-196.79794033879028</v>
      </c>
      <c r="CS6" s="8">
        <f ca="1">(BL19+CE6+CS26+DN26+AN11)</f>
        <v>1030.55</v>
      </c>
      <c r="CT6" s="8">
        <f t="shared" ca="1" si="18"/>
        <v>24898.03238982744</v>
      </c>
      <c r="CU6" s="8">
        <f ca="1">IF(CT6&gt;=AZ5*7.5,AZ5*7.5,CT6)</f>
        <v>24898.03238982744</v>
      </c>
      <c r="DP6" s="8">
        <f t="shared" ca="1" si="25"/>
        <v>-1890.0176996108755</v>
      </c>
      <c r="DQ6" s="8">
        <f t="shared" ca="1" si="26"/>
        <v>-135.00126425791967</v>
      </c>
      <c r="DR6" s="8">
        <f>(BJ3+BR3+CV11+DO17+AN25+AR25)</f>
        <v>276.28200000000004</v>
      </c>
      <c r="DS6" s="8">
        <f t="shared" ca="1" si="27"/>
        <v>11961.635461923172</v>
      </c>
      <c r="DT6" s="8">
        <f ca="1">SUM($DS$4:DS6)</f>
        <v>40269.955092418895</v>
      </c>
      <c r="DU6" s="23">
        <f t="shared" ca="1" si="28"/>
        <v>0.2</v>
      </c>
      <c r="DV6" s="24">
        <f t="shared" ca="1" si="33"/>
        <v>1</v>
      </c>
      <c r="DW6" s="19" t="s">
        <v>59</v>
      </c>
      <c r="DX6" s="8">
        <v>0</v>
      </c>
      <c r="DY6" s="7">
        <v>4</v>
      </c>
      <c r="DZ6" s="20">
        <v>2</v>
      </c>
      <c r="EA6" s="21">
        <v>0.06</v>
      </c>
      <c r="EB6" s="53"/>
    </row>
    <row r="7" spans="1:16311" ht="39.950000000000003" customHeight="1" x14ac:dyDescent="0.25">
      <c r="A7" s="64"/>
      <c r="B7" s="65"/>
      <c r="C7" s="63"/>
      <c r="D7" s="63"/>
      <c r="E7" s="66"/>
      <c r="F7" s="63"/>
      <c r="G7" s="63"/>
      <c r="H7" s="63"/>
      <c r="I7" s="67"/>
      <c r="J7" s="63"/>
      <c r="K7" s="63"/>
      <c r="L7" s="63"/>
      <c r="M7" s="63"/>
      <c r="N7" s="63"/>
      <c r="O7" s="63"/>
      <c r="P7" s="63"/>
      <c r="Q7" s="63"/>
      <c r="R7" s="63"/>
      <c r="S7" s="63"/>
      <c r="T7" s="81"/>
      <c r="U7" s="1" t="s">
        <v>36</v>
      </c>
      <c r="V7" s="2">
        <f t="shared" si="29"/>
        <v>37584.519999999997</v>
      </c>
      <c r="W7" s="2">
        <f>COUNTIF(X1,"Ocak")*(BU1)
+COUNTIF(X1,"Şubat")*(BU2)
+COUNTIF(X1,"Mart")*(BU3)
+COUNTIF(X1,"Nisan")*(BU4)
+COUNTIF(X1,"Mayıs")*(BU5)
+COUNTIF(X1,"Haziran")*(BU6)
+COUNTIF(X1,"Temmuz")*(CI1)
+COUNTIF(X1,"Ağustos")*(CI2)
+COUNTIF(X1,"Eylül")*(CI3)
+COUNTIF(X1,"Ekim")*(CI4)
+COUNTIF(X1,"Kasım")*(CI5)
+COUNTIF(X1,"Aralık")*(CI6)
+COUNTIF(X1,"Yıllık Toplam")*(CI7)
+COUNTIF(X1,"Yıllık Ortalama")*(CI8)</f>
        <v>37584.519999999997</v>
      </c>
      <c r="X7" s="82"/>
      <c r="Y7" s="70"/>
      <c r="Z7" s="17" t="s">
        <v>28</v>
      </c>
      <c r="AA7" s="18" t="s">
        <v>115</v>
      </c>
      <c r="AB7" s="71"/>
      <c r="AC7" s="72"/>
      <c r="AD7" s="74"/>
      <c r="AE7" s="73"/>
      <c r="AF7" s="4" t="s">
        <v>82</v>
      </c>
      <c r="AG7" s="5">
        <v>178.12</v>
      </c>
      <c r="AH7" s="5">
        <v>210.2</v>
      </c>
      <c r="AI7" s="8" t="s">
        <v>0</v>
      </c>
      <c r="AJ7" s="7" t="s">
        <v>0</v>
      </c>
      <c r="AK7" s="8">
        <f>(5004)</f>
        <v>5004</v>
      </c>
      <c r="AL7" s="8">
        <f>(6471)</f>
        <v>6471</v>
      </c>
      <c r="AM7" s="25">
        <f t="shared" si="34"/>
        <v>0</v>
      </c>
      <c r="AN7" s="25">
        <f t="shared" si="35"/>
        <v>0</v>
      </c>
      <c r="AO7" s="25">
        <f t="shared" si="36"/>
        <v>0</v>
      </c>
      <c r="AP7" s="24" t="s">
        <v>11</v>
      </c>
      <c r="AQ7" s="8">
        <f>COUNTIF(AP7,"Var")*(AT21*0.9*-1)</f>
        <v>-325.98</v>
      </c>
      <c r="AR7" s="8">
        <f t="shared" si="37"/>
        <v>325.98</v>
      </c>
      <c r="AS7" s="25">
        <f t="shared" ca="1" si="38"/>
        <v>0</v>
      </c>
      <c r="AT7" s="25">
        <f ca="1">(BB19+BD19+AS26-AX26)*(Q22*-1)</f>
        <v>0</v>
      </c>
      <c r="AU7" s="25">
        <f t="shared" ca="1" si="39"/>
        <v>0</v>
      </c>
      <c r="AV7" s="8">
        <f t="shared" si="40"/>
        <v>0</v>
      </c>
      <c r="AW7" s="8">
        <f t="shared" si="41"/>
        <v>0</v>
      </c>
      <c r="AX7" s="8">
        <f>(AX13/CL25)</f>
        <v>0</v>
      </c>
      <c r="AY7" s="8" t="s">
        <v>0</v>
      </c>
      <c r="AZ7" s="8">
        <f t="shared" ref="AZ7" si="43">(AZ6/12)</f>
        <v>5737.5</v>
      </c>
      <c r="BA7" s="8">
        <f t="shared" ref="BA7" si="44">(BA6/12)</f>
        <v>5737.5</v>
      </c>
      <c r="BB7" s="8">
        <f t="shared" ref="BB7" si="45">(BB6/12)</f>
        <v>0</v>
      </c>
      <c r="BC7" s="8">
        <f t="shared" ref="BC7" si="46">(BC6/12)</f>
        <v>0</v>
      </c>
      <c r="BD7" s="8">
        <f t="shared" ref="BD7" si="47">(BD6/12)</f>
        <v>0</v>
      </c>
      <c r="BE7" s="8">
        <f t="shared" ref="BE7" si="48">(BE6/12)</f>
        <v>5737.5</v>
      </c>
      <c r="BF7" s="8">
        <f t="shared" ref="BF7" si="49">(BF6/12)</f>
        <v>-803.25000000000034</v>
      </c>
      <c r="BG7" s="8">
        <f t="shared" ref="BG7" si="50">(BG6/12)</f>
        <v>-57.375000000000021</v>
      </c>
      <c r="BH7" s="8">
        <f t="shared" ca="1" si="31"/>
        <v>-151.91679999999999</v>
      </c>
      <c r="BI7" s="8">
        <f t="shared" ca="1" si="32"/>
        <v>-10.851199999999999</v>
      </c>
      <c r="BJ7" s="8">
        <f>(0)</f>
        <v>0</v>
      </c>
      <c r="BK7" s="8">
        <f ca="1">(AV25+BH7+BI7-BJ7)</f>
        <v>1258.7919999999999</v>
      </c>
      <c r="BL7" s="8">
        <f>(0)</f>
        <v>0</v>
      </c>
      <c r="BN7" s="25">
        <f t="shared" ref="BN7:BN12" ca="1" si="51">(CP9*Q15+BO7)*-1</f>
        <v>0</v>
      </c>
      <c r="BO7" s="25">
        <f ca="1">(BB12+BD12+AY8-BD8)*(Q15*-1)</f>
        <v>0</v>
      </c>
      <c r="BP7" s="25">
        <f t="shared" ref="BP7:BP12" ca="1" si="52">(BN7+BO7)</f>
        <v>0</v>
      </c>
      <c r="BQ7" s="8" t="s">
        <v>0</v>
      </c>
      <c r="BR7" s="8">
        <f>(5004)</f>
        <v>5004</v>
      </c>
      <c r="BS7" s="8">
        <f>(5004)</f>
        <v>5004</v>
      </c>
      <c r="BT7" s="8">
        <f t="shared" ref="BT7:BT13" si="53">(BR7-BS7)</f>
        <v>0</v>
      </c>
      <c r="BU7" s="8">
        <f t="shared" ref="BU7:BU13" si="54">(BT7*0.00759*-1)</f>
        <v>0</v>
      </c>
      <c r="BV7" s="8">
        <f>(0)</f>
        <v>0</v>
      </c>
      <c r="BW7" s="8">
        <f t="shared" ref="BW7:BW13" si="55">(BR7-BV7)</f>
        <v>5004</v>
      </c>
      <c r="BX7" s="8">
        <f t="shared" ref="BX7:BX13" si="56">(BW7*0.14*-1)</f>
        <v>-700.56000000000006</v>
      </c>
      <c r="BY7" s="8">
        <f t="shared" ref="BY7:BY13" si="57">(BW7*0.01*-1)</f>
        <v>-50.04</v>
      </c>
      <c r="CB7" s="8">
        <f ca="1">(BN1+BN2+BN3+BN4+BN5+BN6+CB1+CB2+CB3+CB4+CB5+CB6)</f>
        <v>7042.26</v>
      </c>
      <c r="CC7" s="8">
        <f>(BO1+BO2+BO3+BO4+BO5+BO6+CC1+CC2+CC3+CC4+CC5+CC6)</f>
        <v>6988.8</v>
      </c>
      <c r="CD7" s="8">
        <f ca="1">(BP1+BP2+BP3+BP4+BP5+BP6+CD1+CD2+CD3+CD4+CD5+CD6)</f>
        <v>53.450753400000011</v>
      </c>
      <c r="CE7" s="8">
        <f ca="1">(BQ1+BQ2+BQ3+BQ4+BQ5+BQ6+CE1+CE2+CE3+CE4+CE5+CE6)</f>
        <v>7042.26</v>
      </c>
      <c r="CF7" s="8">
        <f>(BR1+BR2+BR3+BR4+BR5+BR6+CF1+CF2+CF3+CF4+CF5+CF6)</f>
        <v>0</v>
      </c>
      <c r="CG7" s="11" t="s">
        <v>0</v>
      </c>
      <c r="CH7" s="8">
        <f t="shared" ref="CH7:CO7" si="58">(BT1+BT2+BT3+BT4+BT5+BT6+CH1+CH2+CH3+CH4+CH5+CH6)</f>
        <v>44615.472275970133</v>
      </c>
      <c r="CI7" s="8">
        <f t="shared" si="58"/>
        <v>37584.519999999997</v>
      </c>
      <c r="CJ7" s="13">
        <f t="shared" si="58"/>
        <v>360</v>
      </c>
      <c r="CK7" s="8">
        <f t="shared" si="58"/>
        <v>7867.7128714046594</v>
      </c>
      <c r="CL7" s="8">
        <f t="shared" si="58"/>
        <v>6627.8399999999992</v>
      </c>
      <c r="CM7" s="13">
        <f t="shared" si="58"/>
        <v>360</v>
      </c>
      <c r="CN7" s="8">
        <f t="shared" si="58"/>
        <v>3933.8564357023297</v>
      </c>
      <c r="CO7" s="8">
        <f t="shared" si="58"/>
        <v>3313.9199999999996</v>
      </c>
      <c r="CP7" s="8">
        <f t="shared" ref="CP7:CU7" ca="1" si="59">(CK9+CK10+CK11+CK12+CK13+CK14+CP1+CP2+CP3+CP4+CP5+CP6)</f>
        <v>162055.56791701628</v>
      </c>
      <c r="CQ7" s="8">
        <f t="shared" ca="1" si="59"/>
        <v>-1230.0017604901539</v>
      </c>
      <c r="CR7" s="8">
        <f t="shared" ca="1" si="59"/>
        <v>-1752.5732604901536</v>
      </c>
      <c r="CS7" s="8">
        <f t="shared" ca="1" si="59"/>
        <v>10638.33</v>
      </c>
      <c r="CT7" s="8">
        <f t="shared" ca="1" si="59"/>
        <v>220267.23791701632</v>
      </c>
      <c r="CU7" s="8">
        <f t="shared" ca="1" si="59"/>
        <v>220267.23791701632</v>
      </c>
      <c r="DP7" s="8">
        <f t="shared" ca="1" si="25"/>
        <v>-2801.9967923465947</v>
      </c>
      <c r="DQ7" s="8">
        <f t="shared" ca="1" si="26"/>
        <v>-200.14262802475673</v>
      </c>
      <c r="DR7" s="8">
        <f>(BJ4+BR4+CV12+DO18+AN26+AR26)</f>
        <v>276.28200000000004</v>
      </c>
      <c r="DS7" s="8">
        <f t="shared" ca="1" si="27"/>
        <v>17488.641382104321</v>
      </c>
      <c r="DT7" s="8">
        <f ca="1">SUM($DS$4:DS7)</f>
        <v>57758.59647452322</v>
      </c>
      <c r="DU7" s="23">
        <f t="shared" ca="1" si="28"/>
        <v>0.2</v>
      </c>
      <c r="DV7" s="24">
        <f t="shared" ca="1" si="33"/>
        <v>0</v>
      </c>
      <c r="DW7" s="19" t="s">
        <v>60</v>
      </c>
      <c r="DX7" s="8">
        <v>0</v>
      </c>
      <c r="DY7" s="7">
        <v>5</v>
      </c>
      <c r="DZ7" s="20">
        <v>2.5</v>
      </c>
      <c r="EA7" s="21">
        <v>7.0000000000000007E-2</v>
      </c>
      <c r="EB7" s="53"/>
    </row>
    <row r="8" spans="1:16311" ht="39.950000000000003" customHeight="1" x14ac:dyDescent="0.25">
      <c r="A8" s="64"/>
      <c r="B8" s="65"/>
      <c r="C8" s="63"/>
      <c r="D8" s="63"/>
      <c r="E8" s="66"/>
      <c r="F8" s="63"/>
      <c r="G8" s="63"/>
      <c r="H8" s="63"/>
      <c r="I8" s="67"/>
      <c r="J8" s="63"/>
      <c r="K8" s="63"/>
      <c r="L8" s="63"/>
      <c r="M8" s="63"/>
      <c r="N8" s="63"/>
      <c r="O8" s="63"/>
      <c r="P8" s="63"/>
      <c r="Q8" s="63"/>
      <c r="R8" s="63"/>
      <c r="S8" s="63"/>
      <c r="T8" s="81"/>
      <c r="U8" s="1" t="s">
        <v>9</v>
      </c>
      <c r="V8" s="2">
        <f t="shared" si="29"/>
        <v>6627.8399999999992</v>
      </c>
      <c r="W8" s="2">
        <f>COUNTIF(X1,"Ocak")*(BX1)
+COUNTIF(X1,"Şubat")*(BX2)
+COUNTIF(X1,"Mart")*(BX3)
+COUNTIF(X1,"Nisan")*(BX4)
+COUNTIF(X1,"Mayıs")*(BX5)
+COUNTIF(X1,"Haziran")*(BX6)
+COUNTIF(X1,"Temmuz")*(CL1)
+COUNTIF(X1,"Ağustos")*(CL2)
+COUNTIF(X1,"Eylül")*(CL3)
+COUNTIF(X1,"Ekim")*(CL4)
+COUNTIF(X1,"Kasım")*(CL5)
+COUNTIF(X1,"Aralık")*(CL6)
+COUNTIF(X1,"Yıllık Toplam")*(CL7)
+COUNTIF(X1,"Yıllık Ortalama")*(CL8)</f>
        <v>6627.8399999999992</v>
      </c>
      <c r="X8" s="82"/>
      <c r="Y8" s="70"/>
      <c r="Z8" s="17" t="s">
        <v>29</v>
      </c>
      <c r="AA8" s="18" t="s">
        <v>116</v>
      </c>
      <c r="AB8" s="71"/>
      <c r="AC8" s="72"/>
      <c r="AD8" s="74"/>
      <c r="AE8" s="73"/>
      <c r="AF8" s="4" t="s">
        <v>83</v>
      </c>
      <c r="AG8" s="5">
        <v>149.13</v>
      </c>
      <c r="AH8" s="5">
        <v>183.35</v>
      </c>
      <c r="AI8" s="8" t="s">
        <v>0</v>
      </c>
      <c r="AJ8" s="7" t="s">
        <v>0</v>
      </c>
      <c r="AK8" s="8">
        <f>(17)</f>
        <v>17</v>
      </c>
      <c r="AL8" s="8">
        <f>(25.5)</f>
        <v>25.5</v>
      </c>
      <c r="AM8" s="25">
        <f t="shared" si="34"/>
        <v>0</v>
      </c>
      <c r="AN8" s="25">
        <f t="shared" si="35"/>
        <v>0</v>
      </c>
      <c r="AO8" s="25">
        <f t="shared" si="36"/>
        <v>0</v>
      </c>
      <c r="AP8" s="24" t="s">
        <v>11</v>
      </c>
      <c r="AQ8" s="8">
        <f>COUNTIF(AP8,"Var")*(AT22*0.9*-1)</f>
        <v>-325.98</v>
      </c>
      <c r="AR8" s="8">
        <f t="shared" si="37"/>
        <v>325.98</v>
      </c>
      <c r="AS8" s="25">
        <f t="shared" ca="1" si="38"/>
        <v>0</v>
      </c>
      <c r="AT8" s="25">
        <f ca="1">(BB20+BD20+AS27-AX27)*(Q23*-1)</f>
        <v>0</v>
      </c>
      <c r="AU8" s="25">
        <f t="shared" ca="1" si="39"/>
        <v>0</v>
      </c>
      <c r="AV8" s="8">
        <f t="shared" si="40"/>
        <v>0</v>
      </c>
      <c r="AW8" s="8">
        <f t="shared" si="41"/>
        <v>0</v>
      </c>
      <c r="AX8" s="8">
        <f>(BF8/CL26)</f>
        <v>0</v>
      </c>
      <c r="AY8" s="8">
        <f ca="1">(BA8+BC8*-1+BH1*-1+BI1*-1+BL1*-1)</f>
        <v>1033.8917251</v>
      </c>
      <c r="AZ8" s="8">
        <f>(35*F15)</f>
        <v>910</v>
      </c>
      <c r="BA8" s="8">
        <f>(AZ8)</f>
        <v>910</v>
      </c>
      <c r="BB8" s="8">
        <f ca="1">ROUND((BA8+BC8*-1+BH1*-1+BI1*-1+BL1*-1),2)</f>
        <v>1033.8900000000001</v>
      </c>
      <c r="BC8" s="8">
        <f ca="1">(BB8*0.00759*-1)</f>
        <v>-7.8472251000000011</v>
      </c>
      <c r="BD8" s="8">
        <f>($AK$9*F15)</f>
        <v>260.26</v>
      </c>
      <c r="BE8" s="8">
        <f ca="1">(BB8-BD8)</f>
        <v>773.63000000000011</v>
      </c>
      <c r="BF8" s="8">
        <f>(0.41*C25)</f>
        <v>0</v>
      </c>
      <c r="BH8" s="8">
        <f t="shared" ca="1" si="31"/>
        <v>-157.75900000000001</v>
      </c>
      <c r="BI8" s="8">
        <f t="shared" ca="1" si="32"/>
        <v>-11.2685</v>
      </c>
      <c r="BJ8" s="8">
        <f>(0)</f>
        <v>0</v>
      </c>
      <c r="BK8" s="8">
        <f ca="1">(AV26+BH8+BI8-BJ8)</f>
        <v>1307.2025000000001</v>
      </c>
      <c r="BL8" s="8">
        <f>(0)</f>
        <v>0</v>
      </c>
      <c r="BN8" s="25">
        <f t="shared" ca="1" si="51"/>
        <v>0</v>
      </c>
      <c r="BO8" s="25">
        <f ca="1">(BB13+BD13+AY9-BD9)*(Q16*-1)</f>
        <v>0</v>
      </c>
      <c r="BP8" s="25">
        <f t="shared" ca="1" si="52"/>
        <v>0</v>
      </c>
      <c r="BQ8" s="8" t="s">
        <v>0</v>
      </c>
      <c r="BR8" s="8">
        <f>(5004)</f>
        <v>5004</v>
      </c>
      <c r="BS8" s="8">
        <f>(5004)</f>
        <v>5004</v>
      </c>
      <c r="BT8" s="8">
        <f t="shared" si="53"/>
        <v>0</v>
      </c>
      <c r="BU8" s="8">
        <f t="shared" si="54"/>
        <v>0</v>
      </c>
      <c r="BV8" s="8">
        <f>(0)</f>
        <v>0</v>
      </c>
      <c r="BW8" s="8">
        <f t="shared" si="55"/>
        <v>5004</v>
      </c>
      <c r="BX8" s="8">
        <f t="shared" si="56"/>
        <v>-700.56000000000006</v>
      </c>
      <c r="BY8" s="8">
        <f t="shared" si="57"/>
        <v>-50.04</v>
      </c>
      <c r="CB8" s="8">
        <f t="shared" ref="CB8:CF8" ca="1" si="60">(CB7/12)</f>
        <v>586.85500000000002</v>
      </c>
      <c r="CC8" s="8">
        <f t="shared" si="60"/>
        <v>582.4</v>
      </c>
      <c r="CD8" s="8">
        <f t="shared" ca="1" si="60"/>
        <v>4.4542294500000006</v>
      </c>
      <c r="CE8" s="8">
        <f t="shared" ca="1" si="60"/>
        <v>586.85500000000002</v>
      </c>
      <c r="CF8" s="8">
        <f t="shared" si="60"/>
        <v>0</v>
      </c>
      <c r="CG8" s="11" t="s">
        <v>0</v>
      </c>
      <c r="CH8" s="8">
        <f t="shared" ref="CH8:CI8" si="61">(CH7/12)</f>
        <v>3717.9560229975109</v>
      </c>
      <c r="CI8" s="8">
        <f t="shared" si="61"/>
        <v>3132.0433333333331</v>
      </c>
      <c r="CJ8" s="11" t="s">
        <v>0</v>
      </c>
      <c r="CK8" s="8">
        <f t="shared" ref="CK8:CL8" si="62">(CK7/12)</f>
        <v>655.64273928372165</v>
      </c>
      <c r="CL8" s="8">
        <f t="shared" si="62"/>
        <v>552.31999999999994</v>
      </c>
      <c r="CM8" s="11" t="s">
        <v>0</v>
      </c>
      <c r="CN8" s="8">
        <f t="shared" ref="CN8:CO8" si="63">(CN7/12)</f>
        <v>327.82136964186083</v>
      </c>
      <c r="CO8" s="8">
        <f t="shared" si="63"/>
        <v>276.15999999999997</v>
      </c>
      <c r="CP8" s="8">
        <f t="shared" ref="CP8" ca="1" si="64">(CP7/12)</f>
        <v>13504.630659751356</v>
      </c>
      <c r="CQ8" s="8">
        <f t="shared" ref="CQ8" ca="1" si="65">(CQ7/12)</f>
        <v>-102.50014670751283</v>
      </c>
      <c r="CR8" s="8">
        <f t="shared" ref="CR8" ca="1" si="66">(CR7/12)</f>
        <v>-146.04777170751279</v>
      </c>
      <c r="CS8" s="8">
        <f t="shared" ref="CS8" ca="1" si="67">(CS7/12)</f>
        <v>886.52750000000003</v>
      </c>
      <c r="CT8" s="8">
        <f t="shared" ref="CT8" ca="1" si="68">(CT7/12)</f>
        <v>18355.603159751361</v>
      </c>
      <c r="CU8" s="8">
        <f t="shared" ref="CU8" ca="1" si="69">(CU7/12)</f>
        <v>18355.603159751361</v>
      </c>
      <c r="DP8" s="8">
        <f t="shared" ca="1" si="25"/>
        <v>-2087.7593070365911</v>
      </c>
      <c r="DQ8" s="8">
        <f t="shared" ca="1" si="26"/>
        <v>-149.1256647883279</v>
      </c>
      <c r="DR8" s="8">
        <f>(BJ5+BR5+CT19+DO19+AN27+AR27)</f>
        <v>276.28200000000004</v>
      </c>
      <c r="DS8" s="8">
        <f t="shared" ca="1" si="27"/>
        <v>13152.199507007872</v>
      </c>
      <c r="DT8" s="8">
        <f ca="1">SUM($DS$4:DS8)</f>
        <v>70910.79598153109</v>
      </c>
      <c r="DU8" s="23">
        <f t="shared" ca="1" si="28"/>
        <v>0.27</v>
      </c>
      <c r="DV8" s="24">
        <f t="shared" ca="1" si="33"/>
        <v>1</v>
      </c>
      <c r="DW8" s="19" t="s">
        <v>3</v>
      </c>
      <c r="DX8" s="8">
        <v>7594.4</v>
      </c>
      <c r="DY8" s="7">
        <v>6</v>
      </c>
      <c r="DZ8" s="20">
        <v>3</v>
      </c>
      <c r="EA8" s="21">
        <v>0.08</v>
      </c>
      <c r="EB8" s="53"/>
    </row>
    <row r="9" spans="1:16311" ht="39.950000000000003" customHeight="1" x14ac:dyDescent="0.25">
      <c r="A9" s="64"/>
      <c r="B9" s="65"/>
      <c r="C9" s="63"/>
      <c r="D9" s="63"/>
      <c r="E9" s="66"/>
      <c r="F9" s="63"/>
      <c r="G9" s="63"/>
      <c r="H9" s="63"/>
      <c r="I9" s="67"/>
      <c r="J9" s="63"/>
      <c r="K9" s="63"/>
      <c r="L9" s="63"/>
      <c r="M9" s="63"/>
      <c r="N9" s="63"/>
      <c r="O9" s="63"/>
      <c r="P9" s="63"/>
      <c r="Q9" s="63"/>
      <c r="R9" s="63"/>
      <c r="S9" s="63"/>
      <c r="T9" s="81"/>
      <c r="U9" s="1" t="s">
        <v>97</v>
      </c>
      <c r="V9" s="2">
        <f t="shared" ref="V9" si="70">IF(W9&gt;0,W9,W9*-1)</f>
        <v>3313.9199999999996</v>
      </c>
      <c r="W9" s="2">
        <f>COUNTIF(X1,"Ocak")*(CA1)
+COUNTIF(X1,"Şubat")*(CA2)
+COUNTIF(X1,"Mart")*(CA3)
+COUNTIF(X1,"Nisan")*(CA4)
+COUNTIF(X1,"Mayıs")*(CA5)
+COUNTIF(X1,"Haziran")*(CA6)
+COUNTIF(X1,"Temmuz")*(CO1)
+COUNTIF(X1,"Ağustos")*(CO2)
+COUNTIF(X1,"Eylül")*(CO3)
+COUNTIF(X1,"Ekim")*(CO4)
+COUNTIF(X1,"Kasım")*(CO5)
+COUNTIF(X1,"Aralık")*(CO6)
+COUNTIF(X1,"Yıllık Toplam")*(CO7)
+COUNTIF(X1,"Yıllık Ortalama")*(CO8)</f>
        <v>3313.9199999999996</v>
      </c>
      <c r="X9" s="82"/>
      <c r="Y9" s="70"/>
      <c r="Z9" s="17" t="s">
        <v>46</v>
      </c>
      <c r="AA9" s="22" t="s">
        <v>103</v>
      </c>
      <c r="AB9" s="71"/>
      <c r="AC9" s="72"/>
      <c r="AD9" s="74"/>
      <c r="AE9" s="73"/>
      <c r="AF9" s="4" t="s">
        <v>84</v>
      </c>
      <c r="AG9" s="5">
        <v>149.13</v>
      </c>
      <c r="AH9" s="5">
        <v>183.35</v>
      </c>
      <c r="AI9" s="6">
        <f>(6%)</f>
        <v>0.06</v>
      </c>
      <c r="AJ9" s="7" t="s">
        <v>0</v>
      </c>
      <c r="AK9" s="12">
        <f>(10.01)</f>
        <v>10.01</v>
      </c>
      <c r="AL9" s="12">
        <f>(12.94)</f>
        <v>12.94</v>
      </c>
      <c r="AM9" s="25">
        <f t="shared" si="34"/>
        <v>0</v>
      </c>
      <c r="AN9" s="25">
        <f t="shared" si="35"/>
        <v>0</v>
      </c>
      <c r="AO9" s="25">
        <f t="shared" si="36"/>
        <v>0</v>
      </c>
      <c r="AP9" s="24" t="s">
        <v>11</v>
      </c>
      <c r="AQ9" s="8">
        <f>COUNTIF(AP9,"Var")*(AT1*0.9*-1)</f>
        <v>-325.98</v>
      </c>
      <c r="AR9" s="8">
        <f t="shared" si="37"/>
        <v>325.98</v>
      </c>
      <c r="AS9" s="25">
        <f t="shared" ca="1" si="38"/>
        <v>0</v>
      </c>
      <c r="AT9" s="25">
        <f ca="1">(BB21+BD21+BG17-BL17)*(Q24*-1)</f>
        <v>0</v>
      </c>
      <c r="AU9" s="25">
        <f t="shared" ca="1" si="39"/>
        <v>0</v>
      </c>
      <c r="AV9" s="8">
        <f t="shared" si="40"/>
        <v>0</v>
      </c>
      <c r="AW9" s="8">
        <f t="shared" si="41"/>
        <v>0</v>
      </c>
      <c r="AX9" s="8">
        <f>(BF9/CL27)</f>
        <v>0</v>
      </c>
      <c r="AY9" s="8">
        <f ca="1">(BA9+BC9*-1+BH2*-1+BI2*-1+BL2*-1)</f>
        <v>954.36159240000006</v>
      </c>
      <c r="AZ9" s="8">
        <f>(35*F16)</f>
        <v>840</v>
      </c>
      <c r="BA9" s="8">
        <f>(AZ9)</f>
        <v>840</v>
      </c>
      <c r="BB9" s="8">
        <f ca="1">ROUND((BA9+BC9*-1+BH2*-1+BI2*-1+BL2*-1),2)</f>
        <v>954.36</v>
      </c>
      <c r="BC9" s="8">
        <f ca="1">(BB9*0.00759*-1)</f>
        <v>-7.2435924000000007</v>
      </c>
      <c r="BD9" s="8">
        <f>($AK$9*F16)</f>
        <v>240.24</v>
      </c>
      <c r="BE9" s="8">
        <f ca="1">(BB9-BD9)</f>
        <v>714.12</v>
      </c>
      <c r="BF9" s="8">
        <f>(0.41*C26)</f>
        <v>0</v>
      </c>
      <c r="BH9" s="8">
        <f t="shared" ca="1" si="31"/>
        <v>-151.91679999999999</v>
      </c>
      <c r="BI9" s="8">
        <f t="shared" ca="1" si="32"/>
        <v>-10.851199999999999</v>
      </c>
      <c r="BJ9" s="8">
        <f>(0)</f>
        <v>0</v>
      </c>
      <c r="BK9" s="8">
        <f ca="1">(AV27+BH9+BI9-BJ9)</f>
        <v>1258.7919999999999</v>
      </c>
      <c r="BL9" s="8">
        <f>(0)</f>
        <v>0</v>
      </c>
      <c r="BN9" s="25">
        <f t="shared" ca="1" si="51"/>
        <v>0</v>
      </c>
      <c r="BO9" s="25">
        <f ca="1">(BB14+BD14+AY10-BD10)*(Q17*-1)</f>
        <v>0</v>
      </c>
      <c r="BP9" s="25">
        <f t="shared" ca="1" si="52"/>
        <v>0</v>
      </c>
      <c r="BQ9" s="8" t="s">
        <v>0</v>
      </c>
      <c r="BR9" s="8">
        <f>(5004)</f>
        <v>5004</v>
      </c>
      <c r="BS9" s="8">
        <f>(5004)</f>
        <v>5004</v>
      </c>
      <c r="BT9" s="8">
        <f t="shared" si="53"/>
        <v>0</v>
      </c>
      <c r="BU9" s="8">
        <f t="shared" si="54"/>
        <v>0</v>
      </c>
      <c r="BV9" s="8">
        <f>(0)</f>
        <v>0</v>
      </c>
      <c r="BW9" s="8">
        <f t="shared" si="55"/>
        <v>5004</v>
      </c>
      <c r="BX9" s="8">
        <f t="shared" si="56"/>
        <v>-700.56000000000006</v>
      </c>
      <c r="BY9" s="8">
        <f t="shared" si="57"/>
        <v>-50.04</v>
      </c>
      <c r="BZ9" s="26">
        <f t="shared" ref="BZ9:BZ14" si="71">IF(BV15=0,BU15,(VLOOKUP($BU15,$BN$15:$BQ$19,2,0)-BT14)/BS15*BU14+(BT15-VLOOKUP($BU15,$BN$15:$BQ$19,2,0))/BS15*BU15)</f>
        <v>0.15</v>
      </c>
      <c r="CA9" s="8">
        <f>(ROUND(BS15*BZ9,2)+VLOOKUP(BU15,$BN$15:$BQ$19,4,0))</f>
        <v>638.01</v>
      </c>
      <c r="CB9" s="26">
        <f t="shared" ref="CB9:CB14" si="72">(100+(100*0.00759*-1)+(100*0.01*-1)+(100*0.01*-1)+(100+100*0.14*-1+100*0.01*-1)*BZ9*-1)/100</f>
        <v>0.84491000000000005</v>
      </c>
      <c r="CC9" s="8">
        <f t="shared" ref="CC9:CC14" si="73">BR7</f>
        <v>5004</v>
      </c>
      <c r="CD9" s="8">
        <f t="shared" ref="CD9:CD14" si="74">BR7+BU7+BX7+BY7</f>
        <v>4253.3999999999996</v>
      </c>
      <c r="CE9" s="8" t="s">
        <v>0</v>
      </c>
      <c r="CF9" s="8">
        <f ca="1">(AZ14+AV6+BB12+BD12+AY8+BN1+BT1+BW1+BZ1+CQ9+CS9+DL15+AM23)</f>
        <v>14498.737371994031</v>
      </c>
      <c r="CG9" s="8">
        <f ca="1">(AZ14+AV6+BB12+BD12+AY8+BN1+BT1+BW1+BZ1+CQ9+CS9+DL15+AM23)</f>
        <v>14498.737371994031</v>
      </c>
      <c r="CH9" s="8">
        <f t="shared" ref="CH9:CH14" ca="1" si="75">(CG9*0.00759*-1)</f>
        <v>-110.0454166534347</v>
      </c>
      <c r="CI9" s="8">
        <f t="shared" ref="CI9:CI14" si="76">(BS7)</f>
        <v>5004</v>
      </c>
      <c r="CJ9" s="8">
        <f t="shared" ref="CJ9:CJ14" si="77">(CI9*0.00759*-1)</f>
        <v>-37.980360000000005</v>
      </c>
      <c r="CK9" s="8">
        <f t="shared" ref="CK9:CK14" ca="1" si="78">(CG9-CI9)</f>
        <v>9494.7373719940315</v>
      </c>
      <c r="CL9" s="8">
        <f t="shared" ref="CL9:CL14" ca="1" si="79">(CK9*0.00759*-1)</f>
        <v>-72.065056653434709</v>
      </c>
      <c r="CM9" s="8">
        <f t="shared" ref="CM9:CM14" ca="1" si="80">(CH9)</f>
        <v>-110.0454166534347</v>
      </c>
      <c r="CN9" s="8">
        <f ca="1">(BD8+BQ1+CU9+DN15+AN23)</f>
        <v>752.8</v>
      </c>
      <c r="CO9" s="8">
        <f t="shared" ref="CO9:CO14" ca="1" si="81">(CG9-CN9)</f>
        <v>13745.937371994032</v>
      </c>
      <c r="CP9" s="8">
        <f t="shared" ref="CP9:CP14" ca="1" si="82">IF(CO9&gt;=BR7*7.5,BR7*7.5,CO9)</f>
        <v>13745.937371994032</v>
      </c>
      <c r="CQ9" s="8">
        <f>(CR9/CU13)</f>
        <v>0</v>
      </c>
      <c r="CR9" s="8">
        <f>COUNTIFS($A$1,"Uzakyol Kaptan")*(1035.6/30*H15)
+COUNTIFS($A$1,"Uzakyol Baş Mühendis")*(1035.6/30*H15)
+COUNTIFS($A$1,"3000 KW Baş Makinist")*(1035.6/30*H15)
+COUNTIFS($A$1,"Kaptan")*(1035.6/30*H15)
+COUNTIFS($A$1,"Baş Makinist")*(1035.6/30*H15)</f>
        <v>0</v>
      </c>
      <c r="CS9" s="8">
        <f>COUNTIF(I15,"Var")*($AK$12)</f>
        <v>0</v>
      </c>
      <c r="CT9" s="8">
        <f>COUNTIF(I15,"Var")*((CS9+(CS9*0.00759*-1)+((CS9-CU9)*0.14*-1)+((CS9-CU9)*0.01*-1)+(CS9+((CS9-CU9)*0.14*-1)+((CS9-CU9)*0.01*-1))*CQ13*-1))</f>
        <v>0</v>
      </c>
      <c r="CU9" s="8">
        <f>COUNTIF(I15,"Var")*($AK$1)</f>
        <v>0</v>
      </c>
      <c r="CV9" s="8">
        <f>(0)</f>
        <v>0</v>
      </c>
      <c r="CW9" s="8">
        <f>($AK$13*J15)</f>
        <v>0</v>
      </c>
      <c r="CX9" s="8">
        <f>(CW9+(CW9*0.00759*-1)+((CW9-CY9)*0.14*-1)+((CW9-CY9)*0.01*-1)+(CW9+((CW9-CY9)*0.14*-1)+((CW9-CY9)*0.01*-1))*CQ13*-1)</f>
        <v>0</v>
      </c>
      <c r="CY9" s="8">
        <f>($AK$2*J15)</f>
        <v>0</v>
      </c>
      <c r="CZ9" s="8">
        <f>($AK$5*J15)</f>
        <v>0</v>
      </c>
      <c r="DA9" s="8">
        <f>($AK$14*K15)</f>
        <v>0</v>
      </c>
      <c r="DB9" s="8">
        <f>(DA9+(DA9*0.00759*-1)+((DA9-DC9)*0.14*-1)+((DA9-DC9)*0.01*-1)+(DA9+((DA9-DC9)*0.14*-1)+((DA9-DC9)*0.01*-1))*CQ13*-1)</f>
        <v>0</v>
      </c>
      <c r="DC9" s="8">
        <f>($AK$3*K15)</f>
        <v>0</v>
      </c>
      <c r="DD9" s="8">
        <f>($AK$6*K15)</f>
        <v>0</v>
      </c>
      <c r="DP9" s="8">
        <f t="shared" ca="1" si="25"/>
        <v>-2750.9798291101661</v>
      </c>
      <c r="DQ9" s="8">
        <f t="shared" ca="1" si="26"/>
        <v>-196.49855922215468</v>
      </c>
      <c r="DR9" s="8">
        <f>(BJ6+BR6+CT20+DO20+AN28+AR28)</f>
        <v>276.28200000000004</v>
      </c>
      <c r="DS9" s="8">
        <f t="shared" ca="1" si="27"/>
        <v>17178.895533883147</v>
      </c>
      <c r="DT9" s="8">
        <f ca="1">SUM($DS$4:DS9)</f>
        <v>88089.691515414233</v>
      </c>
      <c r="DU9" s="23">
        <f t="shared" ca="1" si="28"/>
        <v>0.27</v>
      </c>
      <c r="DV9" s="24">
        <f t="shared" ca="1" si="33"/>
        <v>0</v>
      </c>
      <c r="DW9" s="19" t="s">
        <v>74</v>
      </c>
      <c r="DX9" s="8">
        <v>1312.64</v>
      </c>
      <c r="DY9" s="7">
        <v>7</v>
      </c>
      <c r="DZ9" s="20">
        <v>3.5</v>
      </c>
      <c r="EA9" s="21">
        <v>0.09</v>
      </c>
      <c r="EB9" s="53"/>
    </row>
    <row r="10" spans="1:16311" ht="39.950000000000003" customHeight="1" x14ac:dyDescent="0.25">
      <c r="A10" s="64"/>
      <c r="B10" s="65"/>
      <c r="C10" s="63"/>
      <c r="D10" s="63"/>
      <c r="E10" s="66"/>
      <c r="F10" s="63"/>
      <c r="G10" s="63"/>
      <c r="H10" s="63"/>
      <c r="I10" s="67"/>
      <c r="J10" s="63"/>
      <c r="K10" s="63"/>
      <c r="L10" s="63"/>
      <c r="M10" s="63"/>
      <c r="N10" s="63"/>
      <c r="O10" s="63"/>
      <c r="P10" s="63"/>
      <c r="Q10" s="63"/>
      <c r="R10" s="63"/>
      <c r="S10" s="63"/>
      <c r="T10" s="81"/>
      <c r="U10" s="1" t="s">
        <v>75</v>
      </c>
      <c r="V10" s="2">
        <f>IF(W10&gt;0,W10,W10*-1)</f>
        <v>0</v>
      </c>
      <c r="W10" s="2">
        <f>COUNTIF(X1,"Ocak")*(CR9)
+COUNTIF(X1,"Şubat")*(CR10)
+COUNTIF(X1,"Mart")*(CR11)
+COUNTIF(X1,"Nisan")*(CR12)
+COUNTIF(X1,"Mayıs")*(CP19)
+COUNTIF(X1,"Haziran")*(CP20)
+COUNTIF(X1,"Temmuz")*(CP21)
+COUNTIF(X1,"Ağustos")*(CP22)
+COUNTIF(X1,"Eylül")*(CP23)
+COUNTIF(X1,"Ekim")*(CP24)
+COUNTIF(X1,"Kasım")*(CP25)
+COUNTIF(X1,"Aralık")*(CP26)
+COUNTIF(X1,"Yıllık Toplam")*(CP27)
+COUNTIF(X1,"Yıllık Ortalama")*(CP28)</f>
        <v>0</v>
      </c>
      <c r="X10" s="82"/>
      <c r="Y10" s="70"/>
      <c r="Z10" s="17" t="s">
        <v>41</v>
      </c>
      <c r="AA10" s="18" t="s">
        <v>104</v>
      </c>
      <c r="AB10" s="71"/>
      <c r="AC10" s="72"/>
      <c r="AD10" s="74"/>
      <c r="AE10" s="73"/>
      <c r="AF10" s="11" t="s">
        <v>0</v>
      </c>
      <c r="AG10" s="11" t="s">
        <v>0</v>
      </c>
      <c r="AH10" s="11" t="s">
        <v>0</v>
      </c>
      <c r="AI10" s="8" t="s">
        <v>0</v>
      </c>
      <c r="AJ10" s="7" t="s">
        <v>0</v>
      </c>
      <c r="AK10" s="8">
        <f>(34)</f>
        <v>34</v>
      </c>
      <c r="AL10" s="8">
        <f>(51)</f>
        <v>51</v>
      </c>
      <c r="AM10" s="25">
        <f t="shared" si="34"/>
        <v>0</v>
      </c>
      <c r="AN10" s="25">
        <f t="shared" si="35"/>
        <v>0</v>
      </c>
      <c r="AO10" s="25">
        <f t="shared" si="36"/>
        <v>0</v>
      </c>
      <c r="AP10" s="24" t="s">
        <v>11</v>
      </c>
      <c r="AQ10" s="8">
        <f>COUNTIF(AP10,"Var")*(AT2*0.9*-1)</f>
        <v>-325.98</v>
      </c>
      <c r="AR10" s="8">
        <f t="shared" si="37"/>
        <v>325.98</v>
      </c>
      <c r="AS10" s="25">
        <f t="shared" ca="1" si="38"/>
        <v>0</v>
      </c>
      <c r="AT10" s="25">
        <f ca="1">(BB22+BD22+BG18-BL18)*(Q25*-1)</f>
        <v>0</v>
      </c>
      <c r="AU10" s="25">
        <f t="shared" ca="1" si="39"/>
        <v>0</v>
      </c>
      <c r="AV10" s="8">
        <f t="shared" si="40"/>
        <v>0</v>
      </c>
      <c r="AW10" s="8">
        <f t="shared" si="41"/>
        <v>0</v>
      </c>
      <c r="AX10" s="8">
        <f>(AV6+AV7+AV8+AV9+AV10+AV11+AV12+AV13+AX6+AX7+AX8+AX9)</f>
        <v>0</v>
      </c>
      <c r="AY10" s="8">
        <f ca="1">(BA10+BC10*-1+BH3*-1+BI3*-1+BL3*-1)</f>
        <v>1490.3190287999998</v>
      </c>
      <c r="AZ10" s="8">
        <f>(48*F17)</f>
        <v>1296</v>
      </c>
      <c r="BA10" s="8">
        <f>(AZ10)</f>
        <v>1296</v>
      </c>
      <c r="BB10" s="8">
        <f ca="1">ROUND((BA10+BC10*-1+BH3*-1+BI3*-1+BL3*-1),2)</f>
        <v>1490.32</v>
      </c>
      <c r="BC10" s="8">
        <f ca="1">(BB10*0.00759*-1)</f>
        <v>-11.3115288</v>
      </c>
      <c r="BD10" s="8">
        <f>($AK$9*F17)</f>
        <v>270.27</v>
      </c>
      <c r="BE10" s="8">
        <f ca="1">(BB10-BD10)</f>
        <v>1220.05</v>
      </c>
      <c r="BF10" s="8">
        <f>(AW6+AW7+AW8+AW9+AW10+AW11+AW12+AW13+AX12+AX13+BF8+BF9)</f>
        <v>0</v>
      </c>
      <c r="BH10" s="8">
        <f t="shared" ca="1" si="31"/>
        <v>-151.91679999999999</v>
      </c>
      <c r="BI10" s="8">
        <f t="shared" ca="1" si="32"/>
        <v>-10.851199999999999</v>
      </c>
      <c r="BJ10" s="8">
        <f>(0)</f>
        <v>0</v>
      </c>
      <c r="BK10" s="8">
        <f ca="1">(BJ17+BH10+BI10-BJ10)</f>
        <v>1258.7919999999999</v>
      </c>
      <c r="BL10" s="8">
        <f>(0)</f>
        <v>0</v>
      </c>
      <c r="BN10" s="25">
        <f t="shared" ca="1" si="51"/>
        <v>0</v>
      </c>
      <c r="BO10" s="25">
        <f ca="1">(BB15+BD15+AY11-BD11)*(Q18*-1)</f>
        <v>0</v>
      </c>
      <c r="BP10" s="25">
        <f t="shared" ca="1" si="52"/>
        <v>0</v>
      </c>
      <c r="BQ10" s="8" t="s">
        <v>0</v>
      </c>
      <c r="BR10" s="8">
        <f>(5004)</f>
        <v>5004</v>
      </c>
      <c r="BS10" s="8">
        <f>(5004)</f>
        <v>5004</v>
      </c>
      <c r="BT10" s="8">
        <f t="shared" si="53"/>
        <v>0</v>
      </c>
      <c r="BU10" s="8">
        <f t="shared" si="54"/>
        <v>0</v>
      </c>
      <c r="BV10" s="8">
        <f>(0)</f>
        <v>0</v>
      </c>
      <c r="BW10" s="8">
        <f t="shared" si="55"/>
        <v>5004</v>
      </c>
      <c r="BX10" s="8">
        <f t="shared" si="56"/>
        <v>-700.56000000000006</v>
      </c>
      <c r="BY10" s="8">
        <f t="shared" si="57"/>
        <v>-50.04</v>
      </c>
      <c r="BZ10" s="26">
        <f t="shared" si="71"/>
        <v>0.15</v>
      </c>
      <c r="CA10" s="8">
        <f>(ROUND(BS16*BZ10,2))</f>
        <v>638.01</v>
      </c>
      <c r="CB10" s="26">
        <f t="shared" si="72"/>
        <v>0.84491000000000005</v>
      </c>
      <c r="CC10" s="8">
        <f t="shared" si="73"/>
        <v>5004</v>
      </c>
      <c r="CD10" s="8">
        <f t="shared" si="74"/>
        <v>4253.3999999999996</v>
      </c>
      <c r="CE10" s="8" t="s">
        <v>0</v>
      </c>
      <c r="CF10" s="8">
        <f ca="1">(AZ15+AV7+BB13+BD13+AY9+BN2+BT2+BW2+BZ2+CQ10+CS10+DL16+AM24)</f>
        <v>19193.082193295053</v>
      </c>
      <c r="CG10" s="8">
        <f ca="1">(AZ15+AV7+BB13+BD13+AY9+BN2+BT2+BW2+BZ2+CQ10+CS10+DL16+AM24)</f>
        <v>19193.082193295053</v>
      </c>
      <c r="CH10" s="8">
        <f t="shared" ca="1" si="75"/>
        <v>-145.67549384710946</v>
      </c>
      <c r="CI10" s="8">
        <f t="shared" si="76"/>
        <v>5004</v>
      </c>
      <c r="CJ10" s="8">
        <f t="shared" si="77"/>
        <v>-37.980360000000005</v>
      </c>
      <c r="CK10" s="8">
        <f t="shared" ca="1" si="78"/>
        <v>14189.082193295053</v>
      </c>
      <c r="CL10" s="8">
        <f t="shared" ca="1" si="79"/>
        <v>-107.69513384710946</v>
      </c>
      <c r="CM10" s="8">
        <f t="shared" ca="1" si="80"/>
        <v>-145.67549384710946</v>
      </c>
      <c r="CN10" s="8">
        <f ca="1">(BD9+BQ2+CU10+DN16+AN24)</f>
        <v>732.78</v>
      </c>
      <c r="CO10" s="8">
        <f t="shared" ca="1" si="81"/>
        <v>18460.302193295054</v>
      </c>
      <c r="CP10" s="8">
        <f t="shared" ca="1" si="82"/>
        <v>18460.302193295054</v>
      </c>
      <c r="CQ10" s="8">
        <f>(CR10/CU14)</f>
        <v>0</v>
      </c>
      <c r="CR10" s="8">
        <f>COUNTIFS($A$1,"Uzakyol Kaptan")*(1035.6/30*H16)
+COUNTIFS($A$1,"Uzakyol Baş Mühendis")*(1035.6/30*H16)
+COUNTIFS($A$1,"3000 KW Baş Makinist")*(1035.6/30*H16)
+COUNTIFS($A$1,"Kaptan")*(1035.6/30*H16)
+COUNTIFS($A$1,"Baş Makinist")*(1035.6/30*H16)</f>
        <v>0</v>
      </c>
      <c r="CS10" s="8">
        <f>COUNTIF(I16,"Var")*($AK$12)</f>
        <v>0</v>
      </c>
      <c r="CT10" s="8">
        <f>COUNTIF(I16,"Var")*((CS10+(CS10*0.00759*-1)+((CS10-CU10)*0.14*-1)+((CS10-CU10)*0.01*-1)+(CS10+((CS10-CU10)*0.14*-1)+((CS10-CU10)*0.01*-1))*CQ14*-1))</f>
        <v>0</v>
      </c>
      <c r="CU10" s="8">
        <f>COUNTIF(I16,"Var")*($AK$1)</f>
        <v>0</v>
      </c>
      <c r="CV10" s="8">
        <f>(0)</f>
        <v>0</v>
      </c>
      <c r="CW10" s="8">
        <f>($AK$13*J16)</f>
        <v>0</v>
      </c>
      <c r="CX10" s="8">
        <f>(CW10+(CW10*0.00759*-1)+((CW10-CY10)*0.14*-1)+((CW10-CY10)*0.01*-1)+(CW10+((CW10-CY10)*0.14*-1)+((CW10-CY10)*0.01*-1))*CQ14*-1)</f>
        <v>0</v>
      </c>
      <c r="CY10" s="8">
        <f>($AK$2*J16)</f>
        <v>0</v>
      </c>
      <c r="CZ10" s="8">
        <f>($AK$5*J16)</f>
        <v>0</v>
      </c>
      <c r="DA10" s="8">
        <f>($AK$14*K16)</f>
        <v>0</v>
      </c>
      <c r="DB10" s="8">
        <f>(DA10+(DA10*0.00759*-1)+((DA10-DC10)*0.14*-1)+((DA10-DC10)*0.01*-1)+(DA10+((DA10-DC10)*0.14*-1)+((DA10-DC10)*0.01*-1))*CQ14*-1)</f>
        <v>0</v>
      </c>
      <c r="DC10" s="8">
        <f>($AK$3*K16)</f>
        <v>0</v>
      </c>
      <c r="DD10" s="8">
        <f>($AK$6*K16)</f>
        <v>0</v>
      </c>
      <c r="DP10" s="8">
        <f t="shared" ref="DP10:DP15" ca="1" si="83">(CU1*0.14*-1)</f>
        <v>-2486.6812516505152</v>
      </c>
      <c r="DQ10" s="8">
        <f t="shared" ref="DQ10:DQ15" ca="1" si="84">(CU1*0.01*-1)</f>
        <v>-177.62008940360823</v>
      </c>
      <c r="DR10" s="8">
        <f t="shared" ref="DR10:DR15" si="85">(BJ7+CF1+CT21+DO21+AN6+AR6)</f>
        <v>325.98</v>
      </c>
      <c r="DS10" s="8">
        <f t="shared" ref="DS10:DS15" ca="1" si="86">(CD15+DP10+DQ10-DR10)</f>
        <v>15789.337599306698</v>
      </c>
      <c r="DT10" s="8">
        <f ca="1">SUM($DS$4:DS10)</f>
        <v>103879.02911472094</v>
      </c>
      <c r="DU10" s="23">
        <f t="shared" ca="1" si="28"/>
        <v>0.27</v>
      </c>
      <c r="DV10" s="24">
        <f t="shared" ca="1" si="33"/>
        <v>0</v>
      </c>
      <c r="DW10" s="19" t="s">
        <v>94</v>
      </c>
      <c r="DX10" s="8">
        <v>2071.1999999999998</v>
      </c>
      <c r="DY10" s="7">
        <v>8</v>
      </c>
      <c r="DZ10" s="20">
        <v>4</v>
      </c>
      <c r="EA10" s="21">
        <v>0.1</v>
      </c>
      <c r="EB10" s="53"/>
    </row>
    <row r="11" spans="1:16311" ht="39.950000000000003" customHeight="1" x14ac:dyDescent="0.25">
      <c r="A11" s="64"/>
      <c r="B11" s="65"/>
      <c r="C11" s="63"/>
      <c r="D11" s="63"/>
      <c r="E11" s="66"/>
      <c r="F11" s="63"/>
      <c r="G11" s="63"/>
      <c r="H11" s="63"/>
      <c r="I11" s="67"/>
      <c r="J11" s="63"/>
      <c r="K11" s="63"/>
      <c r="L11" s="63"/>
      <c r="M11" s="63"/>
      <c r="N11" s="63"/>
      <c r="O11" s="63"/>
      <c r="P11" s="63"/>
      <c r="Q11" s="63"/>
      <c r="R11" s="63"/>
      <c r="S11" s="63"/>
      <c r="T11" s="81"/>
      <c r="U11" s="1" t="s">
        <v>98</v>
      </c>
      <c r="V11" s="2">
        <f>IF(W11&gt;0,W11,W11*-1)</f>
        <v>0</v>
      </c>
      <c r="W11" s="2">
        <f>COUNTIF(X1,"Ocak")*(CT9)
+COUNTIF(X1,"Şubat")*(CT10)
+COUNTIF(X1,"Mart")*(CT11)
+COUNTIF(X1,"Nisan")*(CT12)
+COUNTIF(X1,"Mayıs")*(CR19)
+COUNTIF(X1,"Haziran")*(CR20)
+COUNTIF(X1,"Temmuz")*(CR21)
+COUNTIF(X1,"Ağustos")*(CR22)
+COUNTIF(X1,"Eylül")*(CR23)
+COUNTIF(X1,"Ekim")*(CR24)
+COUNTIF(X1,"Kasım")*(CR25)
+COUNTIF(X1,"Aralık")*(CR26)
+COUNTIF(X1,"Yıllık Toplam")*(CR27)
+COUNTIF(X1,"Yıllık Ortalama")*(CR28)</f>
        <v>0</v>
      </c>
      <c r="X11" s="82"/>
      <c r="Y11" s="70"/>
      <c r="Z11" s="27" t="s">
        <v>105</v>
      </c>
      <c r="AA11" s="18" t="s">
        <v>107</v>
      </c>
      <c r="AB11" s="71"/>
      <c r="AC11" s="72"/>
      <c r="AD11" s="74"/>
      <c r="AE11" s="73"/>
      <c r="AF11" s="11" t="s">
        <v>0</v>
      </c>
      <c r="AG11" s="11" t="s">
        <v>0</v>
      </c>
      <c r="AH11" s="11" t="s">
        <v>0</v>
      </c>
      <c r="AI11" s="11">
        <f>($AI$17*2)</f>
        <v>19000</v>
      </c>
      <c r="AJ11" s="7" t="s">
        <v>0</v>
      </c>
      <c r="AK11" s="8">
        <f>($AI$24*$AI$11)</f>
        <v>4473.4549999999999</v>
      </c>
      <c r="AL11" s="8">
        <f>($AJ$24*$AI$11)</f>
        <v>6338.4569999999994</v>
      </c>
      <c r="AM11" s="25">
        <f t="shared" si="34"/>
        <v>0</v>
      </c>
      <c r="AN11" s="25">
        <f t="shared" si="35"/>
        <v>0</v>
      </c>
      <c r="AO11" s="25">
        <f t="shared" si="36"/>
        <v>0</v>
      </c>
      <c r="AP11" s="24" t="s">
        <v>11</v>
      </c>
      <c r="AQ11" s="8">
        <f>COUNTIF(AP11,"Var")*(AT3*0.9*-1)</f>
        <v>-325.98</v>
      </c>
      <c r="AR11" s="8">
        <f t="shared" si="37"/>
        <v>325.98</v>
      </c>
      <c r="AS11" s="25">
        <f t="shared" ca="1" si="38"/>
        <v>0</v>
      </c>
      <c r="AT11" s="25">
        <f ca="1">(BB23+BD23+BG19-BL19)*(Q26*-1)</f>
        <v>0</v>
      </c>
      <c r="AU11" s="25">
        <f t="shared" ca="1" si="39"/>
        <v>0</v>
      </c>
      <c r="AV11" s="8">
        <f t="shared" si="40"/>
        <v>0</v>
      </c>
      <c r="AW11" s="8">
        <f t="shared" si="41"/>
        <v>0</v>
      </c>
      <c r="AX11" s="8">
        <f>(AX10/12)</f>
        <v>0</v>
      </c>
      <c r="AY11" s="8">
        <f ca="1">(BA11+BC11*-1+BH4*-1+BI4*-1+BL4*-1)</f>
        <v>1435.1215607999998</v>
      </c>
      <c r="AZ11" s="8">
        <f>(48*F18)</f>
        <v>1248</v>
      </c>
      <c r="BA11" s="8">
        <f>(AZ11)</f>
        <v>1248</v>
      </c>
      <c r="BB11" s="8">
        <f ca="1">ROUND((BA11+BC11*-1+BH4*-1+BI4*-1+BL4*-1),2)</f>
        <v>1435.12</v>
      </c>
      <c r="BC11" s="8">
        <f ca="1">(BB11*0.00759*-1)</f>
        <v>-10.8925608</v>
      </c>
      <c r="BD11" s="8">
        <f>($AK$9*F18)</f>
        <v>260.26</v>
      </c>
      <c r="BE11" s="8">
        <f ca="1">(BB11-BD11)</f>
        <v>1174.8599999999999</v>
      </c>
      <c r="BF11" s="8">
        <f>(BF10/12)</f>
        <v>0</v>
      </c>
      <c r="BH11" s="8">
        <f t="shared" ca="1" si="31"/>
        <v>-151.91679999999999</v>
      </c>
      <c r="BI11" s="8">
        <f t="shared" ca="1" si="32"/>
        <v>-10.851199999999999</v>
      </c>
      <c r="BJ11" s="8">
        <f>(0)</f>
        <v>0</v>
      </c>
      <c r="BK11" s="8">
        <f ca="1">(BJ18+BH11+BI11-BJ11)</f>
        <v>1258.7919999999999</v>
      </c>
      <c r="BL11" s="8">
        <f>(0)</f>
        <v>0</v>
      </c>
      <c r="BN11" s="25">
        <f t="shared" ca="1" si="51"/>
        <v>0</v>
      </c>
      <c r="BO11" s="25">
        <f ca="1">(BB16+BD16+AS23-AX23)*(Q19*-1)</f>
        <v>0</v>
      </c>
      <c r="BP11" s="25">
        <f t="shared" ca="1" si="52"/>
        <v>0</v>
      </c>
      <c r="BQ11" s="8" t="s">
        <v>0</v>
      </c>
      <c r="BR11" s="8">
        <f>(5004)</f>
        <v>5004</v>
      </c>
      <c r="BS11" s="8">
        <f>(5004)</f>
        <v>5004</v>
      </c>
      <c r="BT11" s="8">
        <f t="shared" si="53"/>
        <v>0</v>
      </c>
      <c r="BU11" s="8">
        <f t="shared" si="54"/>
        <v>0</v>
      </c>
      <c r="BV11" s="8">
        <f>(0)</f>
        <v>0</v>
      </c>
      <c r="BW11" s="8">
        <f t="shared" si="55"/>
        <v>5004</v>
      </c>
      <c r="BX11" s="8">
        <f t="shared" si="56"/>
        <v>-700.56000000000006</v>
      </c>
      <c r="BY11" s="8">
        <f t="shared" si="57"/>
        <v>-50.04</v>
      </c>
      <c r="BZ11" s="26">
        <f t="shared" si="71"/>
        <v>0.15</v>
      </c>
      <c r="CA11" s="8">
        <f>(ROUND(BS17*BZ11,2))</f>
        <v>638.01</v>
      </c>
      <c r="CB11" s="26">
        <f t="shared" si="72"/>
        <v>0.84491000000000005</v>
      </c>
      <c r="CC11" s="8">
        <f t="shared" si="73"/>
        <v>5004</v>
      </c>
      <c r="CD11" s="8">
        <f t="shared" si="74"/>
        <v>4253.3999999999996</v>
      </c>
      <c r="CE11" s="8" t="s">
        <v>0</v>
      </c>
      <c r="CF11" s="8">
        <f ca="1">(AZ16+AV8+BB14+BD14+AY10+BN3+BT3+BW3+BZ3+CQ11+CS11+DL17+AM25)</f>
        <v>14262.936425791966</v>
      </c>
      <c r="CG11" s="8">
        <f ca="1">(AZ16+AV8+BB14+BD14+AY10+BN3+BT3+BW3+BZ3+CQ11+CS11+DL17+AM25)</f>
        <v>14262.936425791966</v>
      </c>
      <c r="CH11" s="8">
        <f t="shared" ca="1" si="75"/>
        <v>-108.25568747176102</v>
      </c>
      <c r="CI11" s="8">
        <f t="shared" si="76"/>
        <v>5004</v>
      </c>
      <c r="CJ11" s="8">
        <f t="shared" si="77"/>
        <v>-37.980360000000005</v>
      </c>
      <c r="CK11" s="8">
        <f t="shared" ca="1" si="78"/>
        <v>9258.936425791966</v>
      </c>
      <c r="CL11" s="8">
        <f t="shared" ca="1" si="79"/>
        <v>-70.275327471761031</v>
      </c>
      <c r="CM11" s="8">
        <f t="shared" ca="1" si="80"/>
        <v>-108.25568747176102</v>
      </c>
      <c r="CN11" s="8">
        <f ca="1">(BD10+BQ3+CU11+DN17+AN25)</f>
        <v>762.81</v>
      </c>
      <c r="CO11" s="8">
        <f t="shared" ca="1" si="81"/>
        <v>13500.126425791967</v>
      </c>
      <c r="CP11" s="8">
        <f t="shared" ca="1" si="82"/>
        <v>13500.126425791967</v>
      </c>
      <c r="CQ11" s="8">
        <f>(CR11/CU15)</f>
        <v>0</v>
      </c>
      <c r="CR11" s="8">
        <f>COUNTIFS($A$1,"Uzakyol Kaptan")*(1035.6/30*H17)
+COUNTIFS($A$1,"Uzakyol Baş Mühendis")*(1035.6/30*H17)
+COUNTIFS($A$1,"3000 KW Baş Makinist")*(1035.6/30*H17)
+COUNTIFS($A$1,"Kaptan")*(1035.6/30*H17)
+COUNTIFS($A$1,"Baş Makinist")*(1035.6/30*H17)</f>
        <v>0</v>
      </c>
      <c r="CS11" s="8">
        <f>COUNTIF(I17,"Var")*($AK$12)</f>
        <v>0</v>
      </c>
      <c r="CT11" s="8">
        <f>COUNTIF(I17,"Var")*((CS11+(CS11*0.00759*-1)+((CS11-CU11)*0.14*-1)+((CS11-CU11)*0.01*-1)+(CS11+((CS11-CU11)*0.14*-1)+((CS11-CU11)*0.01*-1))*CQ15*-1))</f>
        <v>0</v>
      </c>
      <c r="CU11" s="8">
        <f>COUNTIF(I17,"Var")*($AK$1)</f>
        <v>0</v>
      </c>
      <c r="CV11" s="8">
        <f>(0)</f>
        <v>0</v>
      </c>
      <c r="CW11" s="8">
        <f>($AK$13*J17)</f>
        <v>0</v>
      </c>
      <c r="CX11" s="8">
        <f>(CW11+(CW11*0.00759*-1)+((CW11-CY11)*0.14*-1)+((CW11-CY11)*0.01*-1)+(CW11+((CW11-CY11)*0.14*-1)+((CW11-CY11)*0.01*-1))*CQ15*-1)</f>
        <v>0</v>
      </c>
      <c r="CY11" s="8">
        <f>($AK$2*J17)</f>
        <v>0</v>
      </c>
      <c r="CZ11" s="8">
        <f>($AK$5*J17)</f>
        <v>0</v>
      </c>
      <c r="DA11" s="8">
        <f>($AK$14*K17)</f>
        <v>0</v>
      </c>
      <c r="DB11" s="8">
        <f>(DA11+(DA11*0.00759*-1)+((DA11-DC11)*0.14*-1)+((DA11-DC11)*0.01*-1)+(DA11+((DA11-DC11)*0.14*-1)+((DA11-DC11)*0.01*-1))*CQ15*-1)</f>
        <v>0</v>
      </c>
      <c r="DC11" s="8">
        <f>($AK$3*K17)</f>
        <v>0</v>
      </c>
      <c r="DD11" s="8">
        <f>($AK$6*K17)</f>
        <v>0</v>
      </c>
      <c r="DP11" s="8">
        <f t="shared" ca="1" si="83"/>
        <v>-3305.1426326516012</v>
      </c>
      <c r="DQ11" s="8">
        <f t="shared" ca="1" si="84"/>
        <v>-236.08161661797149</v>
      </c>
      <c r="DR11" s="8">
        <f t="shared" si="85"/>
        <v>325.98</v>
      </c>
      <c r="DS11" s="8">
        <f t="shared" ca="1" si="86"/>
        <v>20771.507412527575</v>
      </c>
      <c r="DT11" s="8">
        <f ca="1">SUM($DS$4:DS11)</f>
        <v>124650.53652724851</v>
      </c>
      <c r="DU11" s="23">
        <f t="shared" ca="1" si="28"/>
        <v>0.27</v>
      </c>
      <c r="DV11" s="24">
        <f t="shared" ca="1" si="33"/>
        <v>0</v>
      </c>
      <c r="DW11" s="19" t="s">
        <v>63</v>
      </c>
      <c r="DX11" s="8">
        <v>2071.1999999999998</v>
      </c>
      <c r="DY11" s="7">
        <v>9</v>
      </c>
      <c r="DZ11" s="20">
        <v>4.5</v>
      </c>
      <c r="EA11" s="21">
        <v>0.11</v>
      </c>
      <c r="EB11" s="53"/>
    </row>
    <row r="12" spans="1:16311" ht="39.950000000000003" customHeight="1" x14ac:dyDescent="0.25">
      <c r="A12" s="64"/>
      <c r="B12" s="65"/>
      <c r="C12" s="63"/>
      <c r="D12" s="63"/>
      <c r="E12" s="66"/>
      <c r="F12" s="63"/>
      <c r="G12" s="63"/>
      <c r="H12" s="63"/>
      <c r="I12" s="67"/>
      <c r="J12" s="63"/>
      <c r="K12" s="63"/>
      <c r="L12" s="63"/>
      <c r="M12" s="63"/>
      <c r="N12" s="63"/>
      <c r="O12" s="63"/>
      <c r="P12" s="63"/>
      <c r="Q12" s="63"/>
      <c r="R12" s="63"/>
      <c r="S12" s="63"/>
      <c r="T12" s="81"/>
      <c r="U12" s="1" t="s">
        <v>99</v>
      </c>
      <c r="V12" s="2">
        <f>IF(W12&gt;0,W12,W12*-1)</f>
        <v>0</v>
      </c>
      <c r="W12" s="2">
        <f>COUNTIF(X1,"Ocak")*(DM15)
+COUNTIF(X1,"Şubat")*(DM16)
+COUNTIF(X1,"Mart")*(DM17)
+COUNTIF(X1,"Nisan")*(DM18)
+COUNTIF(X1,"Mayıs")*(DM19)
+COUNTIF(X1,"Haziran")*(DM20)
+COUNTIF(X1,"Temmuz")*(DM21)
+COUNTIF(X1,"Ağustos")*(DM22)
+COUNTIF(X1,"Eylül")*(DM23)
+COUNTIF(X1,"Ekim")*(DM24)
+COUNTIF(X1,"Kasım")*(DM25)
+COUNTIF(X1,"Aralık")*(DM26)
+COUNTIF(X1,"Yıllık Toplam")*(DM27)
+COUNTIF(X1,"Yıllık Ortalama")*(DM28)</f>
        <v>0</v>
      </c>
      <c r="X12" s="82"/>
      <c r="Y12" s="70"/>
      <c r="Z12" s="27" t="s">
        <v>106</v>
      </c>
      <c r="AA12" s="18" t="s">
        <v>108</v>
      </c>
      <c r="AB12" s="71"/>
      <c r="AC12" s="72"/>
      <c r="AD12" s="74"/>
      <c r="AE12" s="73"/>
      <c r="AF12" s="11" t="s">
        <v>0</v>
      </c>
      <c r="AG12" s="11" t="s">
        <v>0</v>
      </c>
      <c r="AH12" s="11" t="s">
        <v>0</v>
      </c>
      <c r="AI12" s="28">
        <f>(2273)</f>
        <v>2273</v>
      </c>
      <c r="AJ12" s="7" t="s">
        <v>0</v>
      </c>
      <c r="AK12" s="8">
        <f>($AI$24*$AI$12)</f>
        <v>535.16648499999997</v>
      </c>
      <c r="AL12" s="8">
        <f>($AJ$24*$AI$12)</f>
        <v>758.27961899999991</v>
      </c>
      <c r="AM12" s="8">
        <f>(AM23+AM24+AM25+AM26+AM27+AM28+AM6+AM7+AM8+AM9+AM10+AM11)</f>
        <v>327.82136964186088</v>
      </c>
      <c r="AN12" s="8">
        <f>(AN23+AN24+AN25+AN26+AN27+AN28+AN6+AN7+AN8+AN9+AN10+AN11)</f>
        <v>0</v>
      </c>
      <c r="AO12" s="8">
        <f>(AO23+AO24+AO25+AO26+AO27+AO28+AO6+AO7+AO8+AO9+AO10+AO11)</f>
        <v>276.16000000000003</v>
      </c>
      <c r="AP12" s="11" t="s">
        <v>0</v>
      </c>
      <c r="AQ12" s="8">
        <f>(AQ23+AQ24+AQ25+AQ26+AQ27+AQ28+AQ6+AQ7+AQ8+AQ9+AQ10+AQ11)</f>
        <v>-3613.5720000000006</v>
      </c>
      <c r="AR12" s="8">
        <f>(AR23+AR24+AR25+AR26+AR27+AR28+AR6+AR7+AR8+AR9+AR10+AR11)</f>
        <v>3613.5720000000006</v>
      </c>
      <c r="AS12" s="8">
        <f ca="1">(BN7+BN8+BN9+BN10+BN11+BN12+AS6+AS7+AS8+AS9+AS10+AS11)</f>
        <v>0</v>
      </c>
      <c r="AT12" s="8">
        <f ca="1">(BO7+BO8+BO9+BO10+BO11+BO12+AT6+AT7+AT8+AT9+AT10+AT11)</f>
        <v>0</v>
      </c>
      <c r="AU12" s="8">
        <f ca="1">(BP7+BP8+BP9+BP10+BP11+BP12+AU6+AU7+AU8+AU9+AU10+AU11)</f>
        <v>0</v>
      </c>
      <c r="AV12" s="8">
        <f>(AW12/CL22)</f>
        <v>0</v>
      </c>
      <c r="AW12" s="8">
        <f t="shared" si="41"/>
        <v>0</v>
      </c>
      <c r="AX12" s="8">
        <f>(0.41*C23)</f>
        <v>0</v>
      </c>
      <c r="BB12" s="8">
        <f t="shared" ref="BB12:BB17" si="87">(BC12/CU13)</f>
        <v>0</v>
      </c>
      <c r="BC12" s="8">
        <f t="shared" ref="BC12:BC20" si="88">(AX14/8*1.6*D15)</f>
        <v>0</v>
      </c>
      <c r="BD12" s="8">
        <f t="shared" ref="BD12:BD17" si="89">(BE12/CU13)</f>
        <v>364.40688026020587</v>
      </c>
      <c r="BE12" s="8">
        <f t="shared" ref="BE12:BE20" si="90">(AV14*E15)</f>
        <v>306.98</v>
      </c>
      <c r="BH12" s="8">
        <f t="shared" ca="1" si="31"/>
        <v>-157.75900000000001</v>
      </c>
      <c r="BI12" s="8">
        <f t="shared" ca="1" si="32"/>
        <v>-11.2685</v>
      </c>
      <c r="BJ12" s="8">
        <f>(0)</f>
        <v>0</v>
      </c>
      <c r="BK12" s="8">
        <f ca="1">(BJ19+BH12+BI12-BJ12)</f>
        <v>1307.2025000000001</v>
      </c>
      <c r="BL12" s="8">
        <f>(0)</f>
        <v>0</v>
      </c>
      <c r="BM12" s="8">
        <f ca="1">(AV23-AX23)</f>
        <v>1174.8599999999999</v>
      </c>
      <c r="BN12" s="25">
        <f t="shared" ca="1" si="51"/>
        <v>0</v>
      </c>
      <c r="BO12" s="25">
        <f ca="1">(BB17+BD17+AS24-AX24)*(Q20*-1)</f>
        <v>0</v>
      </c>
      <c r="BP12" s="25">
        <f t="shared" ca="1" si="52"/>
        <v>0</v>
      </c>
      <c r="BQ12" s="8" t="s">
        <v>0</v>
      </c>
      <c r="BR12" s="8">
        <f>(5004)</f>
        <v>5004</v>
      </c>
      <c r="BS12" s="8">
        <f>(5004)</f>
        <v>5004</v>
      </c>
      <c r="BT12" s="8">
        <f t="shared" si="53"/>
        <v>0</v>
      </c>
      <c r="BU12" s="8">
        <f t="shared" si="54"/>
        <v>0</v>
      </c>
      <c r="BV12" s="8">
        <f>(0)</f>
        <v>0</v>
      </c>
      <c r="BW12" s="8">
        <f t="shared" si="55"/>
        <v>5004</v>
      </c>
      <c r="BX12" s="8">
        <f t="shared" si="56"/>
        <v>-700.56000000000006</v>
      </c>
      <c r="BY12" s="8">
        <f t="shared" si="57"/>
        <v>-50.04</v>
      </c>
      <c r="BZ12" s="26">
        <f t="shared" si="71"/>
        <v>0.15</v>
      </c>
      <c r="CA12" s="8">
        <f>(ROUND(BS18*BZ12,2))</f>
        <v>638.01</v>
      </c>
      <c r="CB12" s="26">
        <f t="shared" si="72"/>
        <v>0.84491000000000005</v>
      </c>
      <c r="CC12" s="8">
        <f t="shared" si="73"/>
        <v>5004</v>
      </c>
      <c r="CD12" s="8">
        <f t="shared" si="74"/>
        <v>4253.3999999999996</v>
      </c>
      <c r="CE12" s="8" t="s">
        <v>0</v>
      </c>
      <c r="CF12" s="8">
        <f ca="1">(AZ17+AV9+BB15+BD15+AY11+BN4+BT4+BW4+BZ4+CQ12+CS12+DL18+AM26)</f>
        <v>20767.062802475673</v>
      </c>
      <c r="CG12" s="8">
        <f ca="1">(AZ17+AV9+BB15+BD15+AY11+BN4+BT4+BW4+BZ4+CQ12+CS12+DL18+AM26)</f>
        <v>20767.062802475673</v>
      </c>
      <c r="CH12" s="8">
        <f t="shared" ca="1" si="75"/>
        <v>-157.62200667079037</v>
      </c>
      <c r="CI12" s="8">
        <f t="shared" si="76"/>
        <v>5004</v>
      </c>
      <c r="CJ12" s="8">
        <f t="shared" si="77"/>
        <v>-37.980360000000005</v>
      </c>
      <c r="CK12" s="8">
        <f t="shared" ca="1" si="78"/>
        <v>15763.062802475673</v>
      </c>
      <c r="CL12" s="8">
        <f t="shared" ca="1" si="79"/>
        <v>-119.64164667079037</v>
      </c>
      <c r="CM12" s="8">
        <f t="shared" ca="1" si="80"/>
        <v>-157.62200667079037</v>
      </c>
      <c r="CN12" s="8">
        <f ca="1">(BD11+BQ4+CU12+DN18+AN26)</f>
        <v>752.8</v>
      </c>
      <c r="CO12" s="8">
        <f t="shared" ca="1" si="81"/>
        <v>20014.262802475674</v>
      </c>
      <c r="CP12" s="8">
        <f t="shared" ca="1" si="82"/>
        <v>20014.262802475674</v>
      </c>
      <c r="CQ12" s="8">
        <f>(CR12/CU16)</f>
        <v>0</v>
      </c>
      <c r="CR12" s="8">
        <f>COUNTIFS($A$1,"Uzakyol Kaptan")*(1035.6/30*H18)
+COUNTIFS($A$1,"Uzakyol Baş Mühendis")*(1035.6/30*H18)
+COUNTIFS($A$1,"3000 KW Baş Makinist")*(1035.6/30*H18)
+COUNTIFS($A$1,"Kaptan")*(1035.6/30*H18)
+COUNTIFS($A$1,"Baş Makinist")*(1035.6/30*H18)</f>
        <v>0</v>
      </c>
      <c r="CS12" s="8">
        <f>COUNTIF(I18,"Var")*($AK$12)</f>
        <v>0</v>
      </c>
      <c r="CT12" s="8">
        <f>COUNTIF(I18,"Var")*((CS12+(CS12*0.00759*-1)+((CS12-CU12)*0.14*-1)+((CS12-CU12)*0.01*-1)+(CS12+((CS12-CU12)*0.14*-1)+((CS12-CU12)*0.01*-1))*CQ16*-1))</f>
        <v>0</v>
      </c>
      <c r="CU12" s="8">
        <f>COUNTIF(I18,"Var")*($AK$1)</f>
        <v>0</v>
      </c>
      <c r="CV12" s="8">
        <f>(0)</f>
        <v>0</v>
      </c>
      <c r="CW12" s="8">
        <f>($AK$13*J18)</f>
        <v>0</v>
      </c>
      <c r="CX12" s="8">
        <f>(CW12+(CW12*0.00759*-1)+((CW12-CY12)*0.14*-1)+((CW12-CY12)*0.01*-1)+(CW12+((CW12-CY12)*0.14*-1)+((CW12-CY12)*0.01*-1))*CQ16*-1)</f>
        <v>0</v>
      </c>
      <c r="CY12" s="8">
        <f>($AK$2*J18)</f>
        <v>0</v>
      </c>
      <c r="CZ12" s="8">
        <f>($AK$5*J18)</f>
        <v>0</v>
      </c>
      <c r="DA12" s="8">
        <f>($AK$14*K18)</f>
        <v>0</v>
      </c>
      <c r="DB12" s="8">
        <f>(DA12+(DA12*0.00759*-1)+((DA12-DC12)*0.14*-1)+((DA12-DC12)*0.01*-1)+(DA12+((DA12-DC12)*0.14*-1)+((DA12-DC12)*0.01*-1))*CQ16*-1)</f>
        <v>0</v>
      </c>
      <c r="DC12" s="8">
        <f>($AK$3*K18)</f>
        <v>0</v>
      </c>
      <c r="DD12" s="8">
        <f>($AK$6*K18)</f>
        <v>0</v>
      </c>
      <c r="DP12" s="8">
        <f t="shared" ca="1" si="83"/>
        <v>-2095.4204641479932</v>
      </c>
      <c r="DQ12" s="8">
        <f t="shared" ca="1" si="84"/>
        <v>-149.67289029628523</v>
      </c>
      <c r="DR12" s="8">
        <f t="shared" si="85"/>
        <v>325.98</v>
      </c>
      <c r="DS12" s="8">
        <f t="shared" ca="1" si="86"/>
        <v>13413.825675184244</v>
      </c>
      <c r="DT12" s="8">
        <f ca="1">SUM($DS$4:DS12)</f>
        <v>138064.36220243276</v>
      </c>
      <c r="DU12" s="23">
        <f t="shared" ca="1" si="28"/>
        <v>0.27</v>
      </c>
      <c r="DV12" s="24">
        <f t="shared" ca="1" si="33"/>
        <v>0</v>
      </c>
      <c r="DW12" s="19" t="s">
        <v>64</v>
      </c>
      <c r="DX12" s="8">
        <v>2071.1999999999998</v>
      </c>
      <c r="DY12" s="7">
        <v>10</v>
      </c>
      <c r="DZ12" s="20">
        <v>5</v>
      </c>
      <c r="EA12" s="21">
        <v>0.12</v>
      </c>
      <c r="EB12" s="53"/>
    </row>
    <row r="13" spans="1:16311" ht="39.950000000000003" customHeight="1" x14ac:dyDescent="0.25">
      <c r="A13" s="64"/>
      <c r="B13" s="65"/>
      <c r="C13" s="63"/>
      <c r="D13" s="63"/>
      <c r="E13" s="66"/>
      <c r="F13" s="63"/>
      <c r="G13" s="63"/>
      <c r="H13" s="63"/>
      <c r="I13" s="67"/>
      <c r="J13" s="63"/>
      <c r="K13" s="63"/>
      <c r="L13" s="63"/>
      <c r="M13" s="63"/>
      <c r="N13" s="63"/>
      <c r="O13" s="63"/>
      <c r="P13" s="63"/>
      <c r="Q13" s="63"/>
      <c r="R13" s="63"/>
      <c r="S13" s="63"/>
      <c r="T13" s="81"/>
      <c r="U13" s="1" t="s">
        <v>38</v>
      </c>
      <c r="V13" s="2">
        <f t="shared" ref="V13:V22" si="91">IF(W13&gt;0,W13,W13*-1)</f>
        <v>276.16000000000003</v>
      </c>
      <c r="W13" s="2">
        <f>COUNTIF(X1,"Ocak")*(AO23)
+COUNTIF(X1,"Şubat")*(AO24)
+COUNTIF(X1,"Mart")*(AO25)
+COUNTIF(X1,"Nisan")*(AO26)
+COUNTIF(X1,"Mayıs")*(AO27)
+COUNTIF(X1,"Haziran")*(AO28)
+COUNTIF(X1,"Temmuz")*(AO6)
+COUNTIF(X1,"Ağustos")*(AO7)
+COUNTIF(X1,"Eylül")*(AO8)
+COUNTIF(X1,"Ekim")*(AO9)
+COUNTIF(X1,"Kasım")*(AO10)
+COUNTIF(X1,"Aralık")*(AO11)
+COUNTIF(X1,"Yıllık Toplam")*(AO12)
+COUNTIF(X1,"Yıllık Ortalama")*(AO13)</f>
        <v>276.16000000000003</v>
      </c>
      <c r="X13" s="82"/>
      <c r="Y13" s="70"/>
      <c r="Z13" s="17" t="s">
        <v>47</v>
      </c>
      <c r="AA13" s="22" t="s">
        <v>109</v>
      </c>
      <c r="AB13" s="71"/>
      <c r="AC13" s="72"/>
      <c r="AD13" s="74"/>
      <c r="AE13" s="73"/>
      <c r="AF13" s="11" t="s">
        <v>0</v>
      </c>
      <c r="AG13" s="11" t="s">
        <v>0</v>
      </c>
      <c r="AH13" s="11" t="s">
        <v>0</v>
      </c>
      <c r="AI13" s="28">
        <f>(250)</f>
        <v>250</v>
      </c>
      <c r="AJ13" s="7" t="s">
        <v>0</v>
      </c>
      <c r="AK13" s="8">
        <f>($AI$24*$AI$13*2)</f>
        <v>117.7225</v>
      </c>
      <c r="AL13" s="8">
        <f>($AJ$24*$AI$13*2)</f>
        <v>166.8015</v>
      </c>
      <c r="AM13" s="8">
        <f t="shared" ref="AM13" si="92">AM12/12</f>
        <v>27.318447470155075</v>
      </c>
      <c r="AN13" s="8">
        <f t="shared" ref="AN13" si="93">AN12/12</f>
        <v>0</v>
      </c>
      <c r="AO13" s="8">
        <f t="shared" ref="AO13" si="94">AO12/12</f>
        <v>23.013333333333335</v>
      </c>
      <c r="AP13" s="11" t="s">
        <v>0</v>
      </c>
      <c r="AQ13" s="8">
        <f t="shared" ref="AQ13:AR13" si="95">(AQ12/12)</f>
        <v>-301.13100000000003</v>
      </c>
      <c r="AR13" s="8">
        <f t="shared" si="95"/>
        <v>301.13100000000003</v>
      </c>
      <c r="AS13" s="8">
        <f t="shared" ref="AS13:AU13" ca="1" si="96">(AS12/12)</f>
        <v>0</v>
      </c>
      <c r="AT13" s="8">
        <f t="shared" ca="1" si="96"/>
        <v>0</v>
      </c>
      <c r="AU13" s="8">
        <f t="shared" ca="1" si="96"/>
        <v>0</v>
      </c>
      <c r="AV13" s="8">
        <f>(AW13/CL23)</f>
        <v>0</v>
      </c>
      <c r="AW13" s="8">
        <f t="shared" si="41"/>
        <v>0</v>
      </c>
      <c r="AX13" s="8">
        <f>(0.41*C24)</f>
        <v>0</v>
      </c>
      <c r="BB13" s="8">
        <f t="shared" si="87"/>
        <v>0</v>
      </c>
      <c r="BC13" s="8">
        <f t="shared" si="88"/>
        <v>0</v>
      </c>
      <c r="BD13" s="8">
        <f t="shared" si="89"/>
        <v>0</v>
      </c>
      <c r="BE13" s="8">
        <f t="shared" si="90"/>
        <v>0</v>
      </c>
      <c r="BH13" s="8">
        <f ca="1">(BH1+BH2+BH3+BH4+BH5+BH6+BH7+BH8+BH9+BH10+BH11+BH12)</f>
        <v>-1795.7184</v>
      </c>
      <c r="BI13" s="8">
        <f ca="1">(BI1+BI2+BI3+BI4+BI5+BI6+BI7+BI8+BI9+BI10+BI11+BI12)</f>
        <v>-128.26559999999998</v>
      </c>
      <c r="BJ13" s="8">
        <f>(BJ1+BJ2+BJ3+BJ4+BJ5+BJ6+BJ7+BJ8+BJ9+BJ10+BJ11+BJ12)</f>
        <v>0</v>
      </c>
      <c r="BK13" s="8">
        <f ca="1">(BK1+BK2+BK3+BK4+BK5+BK6+BK7+BK8+BK9+BK10+BK11+BK12)</f>
        <v>14498.645999999997</v>
      </c>
      <c r="BL13" s="8">
        <f>(BL1+BL2+BL3+BL4+BL5+BL6+BL7+BL8+BL9+BL10+BL11+BL12)</f>
        <v>0</v>
      </c>
      <c r="BM13" s="8">
        <f ca="1">(AV24-AX24)</f>
        <v>1174.8599999999999</v>
      </c>
      <c r="BQ13" s="8" t="s">
        <v>0</v>
      </c>
      <c r="BR13" s="8">
        <f>(6471)</f>
        <v>6471</v>
      </c>
      <c r="BS13" s="8">
        <f>(6471)</f>
        <v>6471</v>
      </c>
      <c r="BT13" s="8">
        <f t="shared" si="53"/>
        <v>0</v>
      </c>
      <c r="BU13" s="8">
        <f t="shared" si="54"/>
        <v>0</v>
      </c>
      <c r="BV13" s="8">
        <f>(0)</f>
        <v>0</v>
      </c>
      <c r="BW13" s="8">
        <f t="shared" si="55"/>
        <v>6471</v>
      </c>
      <c r="BX13" s="8">
        <f t="shared" si="56"/>
        <v>-905.94</v>
      </c>
      <c r="BY13" s="8">
        <f t="shared" si="57"/>
        <v>-64.710000000000008</v>
      </c>
      <c r="BZ13" s="26">
        <f t="shared" si="71"/>
        <v>0.15</v>
      </c>
      <c r="CA13" s="8">
        <f>(ROUND(BS19*BZ13,2))</f>
        <v>638.01</v>
      </c>
      <c r="CB13" s="26">
        <f t="shared" si="72"/>
        <v>0.84491000000000005</v>
      </c>
      <c r="CC13" s="8">
        <f t="shared" si="73"/>
        <v>5004</v>
      </c>
      <c r="CD13" s="8">
        <f t="shared" si="74"/>
        <v>4253.3999999999996</v>
      </c>
      <c r="CE13" s="8" t="s">
        <v>0</v>
      </c>
      <c r="CF13" s="8">
        <f ca="1">(AZ18+AV10+BB16+BD16+AS23+BN5+BT5+BW5+BZ5+CO19+CQ19+DL19+AM27)</f>
        <v>15665.36647883279</v>
      </c>
      <c r="CG13" s="8">
        <f ca="1">(AZ18+AV10+BB16+BD16+AS23+BN5+BT5+BW5+BZ5+CO19+CQ19+DL19+AM27)</f>
        <v>15665.36647883279</v>
      </c>
      <c r="CH13" s="8">
        <f t="shared" ca="1" si="75"/>
        <v>-118.90013157434088</v>
      </c>
      <c r="CI13" s="8">
        <f t="shared" si="76"/>
        <v>5004</v>
      </c>
      <c r="CJ13" s="8">
        <f t="shared" si="77"/>
        <v>-37.980360000000005</v>
      </c>
      <c r="CK13" s="8">
        <f t="shared" ca="1" si="78"/>
        <v>10661.36647883279</v>
      </c>
      <c r="CL13" s="8">
        <f t="shared" ca="1" si="79"/>
        <v>-80.919771574340871</v>
      </c>
      <c r="CM13" s="8">
        <f t="shared" ca="1" si="80"/>
        <v>-118.90013157434088</v>
      </c>
      <c r="CN13" s="8">
        <f ca="1">(AX23+BQ5+CS19+DN19+AN27)</f>
        <v>752.8</v>
      </c>
      <c r="CO13" s="8">
        <f t="shared" ca="1" si="81"/>
        <v>14912.56647883279</v>
      </c>
      <c r="CP13" s="8">
        <f t="shared" ca="1" si="82"/>
        <v>14912.56647883279</v>
      </c>
      <c r="CQ13" s="26">
        <f>(0)</f>
        <v>0</v>
      </c>
      <c r="CR13" s="8">
        <f>(0)</f>
        <v>0</v>
      </c>
      <c r="CS13" s="8">
        <f>(0)</f>
        <v>0</v>
      </c>
      <c r="CT13" s="8">
        <f t="shared" ref="CT13:CT18" si="97">(CR13+CS13)</f>
        <v>0</v>
      </c>
      <c r="CU13" s="26">
        <f>(100+(100*0.00759*-1)+(100*0.14*-1)+(100*0.01*-1))/100</f>
        <v>0.84240999999999999</v>
      </c>
      <c r="CV13" s="26">
        <f t="shared" ref="CV13:CV18" si="98">(100+(100*0.00759*-1)+(100*0.14*-1)+(100*0.01*-1)+(100+100*0.14*-1+100*0.01*-1)*CQ13*-1)/100</f>
        <v>0.84240999999999999</v>
      </c>
      <c r="CW13" s="26">
        <f t="shared" ref="CW13:CW18" si="99">(100+(100*0.00759*-1)+(100)*CQ13*-1)/100</f>
        <v>0.99241000000000001</v>
      </c>
      <c r="DP13" s="8">
        <f t="shared" ca="1" si="83"/>
        <v>-3329.3967939636409</v>
      </c>
      <c r="DQ13" s="8">
        <f t="shared" ca="1" si="84"/>
        <v>-237.81405671168861</v>
      </c>
      <c r="DR13" s="8">
        <f t="shared" si="85"/>
        <v>325.98</v>
      </c>
      <c r="DS13" s="8">
        <f t="shared" ca="1" si="86"/>
        <v>20905.82482049353</v>
      </c>
      <c r="DT13" s="8">
        <f ca="1">SUM($DS$4:DS13)</f>
        <v>158970.18702292629</v>
      </c>
      <c r="DU13" s="23">
        <f t="shared" ca="1" si="28"/>
        <v>0.27</v>
      </c>
      <c r="DV13" s="24">
        <f t="shared" ca="1" si="33"/>
        <v>0</v>
      </c>
      <c r="DW13" s="19" t="s">
        <v>65</v>
      </c>
      <c r="DX13" s="8">
        <v>2416.4</v>
      </c>
      <c r="DY13" s="7">
        <v>11</v>
      </c>
      <c r="DZ13" s="20">
        <v>5.5</v>
      </c>
      <c r="EA13" s="21">
        <v>0.13</v>
      </c>
      <c r="EB13" s="53"/>
    </row>
    <row r="14" spans="1:16311" ht="39.950000000000003" customHeight="1" x14ac:dyDescent="0.25">
      <c r="A14" s="64"/>
      <c r="B14" s="65"/>
      <c r="C14" s="63"/>
      <c r="D14" s="63"/>
      <c r="E14" s="66"/>
      <c r="F14" s="63"/>
      <c r="G14" s="63"/>
      <c r="H14" s="63"/>
      <c r="I14" s="67"/>
      <c r="J14" s="63"/>
      <c r="K14" s="63"/>
      <c r="L14" s="63"/>
      <c r="M14" s="63"/>
      <c r="N14" s="63"/>
      <c r="O14" s="63"/>
      <c r="P14" s="63"/>
      <c r="Q14" s="63"/>
      <c r="R14" s="63"/>
      <c r="S14" s="63"/>
      <c r="T14" s="81"/>
      <c r="U14" s="1" t="s">
        <v>39</v>
      </c>
      <c r="V14" s="2">
        <f t="shared" si="91"/>
        <v>3613.5720000000006</v>
      </c>
      <c r="W14" s="2">
        <f>COUNTIF(X1,"Ocak")*(AQ23)*-1
+COUNTIF(X1,"Şubat")*(AQ24)*-1
+COUNTIF(X1,"Mart")*(AQ25)*-1
+COUNTIF(X1,"Nisan")*(AQ26)*-1
+COUNTIF(X1,"Mayıs")*(AQ27)*-1
+COUNTIF(X1,"Haziran")*(AQ28)*-1
+COUNTIF(X1,"Temmuz")*(AQ6)*-1
+COUNTIF(X1,"Ağustos")*(AQ7)*-1
+COUNTIF(X1,"Eylül")*(AQ8)*-1
+COUNTIF(X1,"Ekim")*(AQ9)*-1
+COUNTIF(X1,"Kasım")*(AQ10)*-1
+COUNTIF(X1,"Aralık")*(AQ11)*-1
+COUNTIF(X1,"Yıllık Toplam")*(AQ12)*-1
+COUNTIF(X1,"Yıllık Ortalama")*(AQ13)*-1</f>
        <v>3613.5720000000006</v>
      </c>
      <c r="X14" s="82"/>
      <c r="Y14" s="70"/>
      <c r="Z14" s="17" t="s">
        <v>110</v>
      </c>
      <c r="AA14" s="18" t="s">
        <v>111</v>
      </c>
      <c r="AB14" s="71"/>
      <c r="AC14" s="72"/>
      <c r="AD14" s="74"/>
      <c r="AE14" s="73"/>
      <c r="AF14" s="11" t="s">
        <v>0</v>
      </c>
      <c r="AG14" s="11" t="s">
        <v>0</v>
      </c>
      <c r="AH14" s="11" t="s">
        <v>0</v>
      </c>
      <c r="AI14" s="28">
        <f>(AI13)</f>
        <v>250</v>
      </c>
      <c r="AJ14" s="7" t="s">
        <v>0</v>
      </c>
      <c r="AK14" s="8">
        <f>($AI$24*$AI$14)</f>
        <v>58.861249999999998</v>
      </c>
      <c r="AL14" s="8">
        <f>($AJ$24*$AI$14)</f>
        <v>83.400750000000002</v>
      </c>
      <c r="AM14" s="29">
        <v>44562</v>
      </c>
      <c r="AN14" s="9">
        <f t="shared" ref="AN14:AN22" si="100">EOMONTH(AM14,0)</f>
        <v>44592</v>
      </c>
      <c r="AO14" s="10">
        <f t="shared" ref="AO14:AO22" si="101">DAY(AN14)</f>
        <v>31</v>
      </c>
      <c r="AP14" s="10">
        <f>NETWORKDAYS.INTL(AM14,AN14,11)</f>
        <v>26</v>
      </c>
      <c r="AQ14" s="10">
        <f>(AO14-AP14)</f>
        <v>5</v>
      </c>
      <c r="AR14" s="11" t="s">
        <v>0</v>
      </c>
      <c r="AS14" s="12">
        <f t="shared" ref="AS14:AS19" si="102">(AT14/CU13)</f>
        <v>364.40688026020587</v>
      </c>
      <c r="AT14" s="12">
        <f t="shared" ref="AT14:AT19" si="103">COUNTIF($A$1,"Uzakyol Kaptan")*($AG$1)
+COUNTIF($A$1,"Uzakyol Baş Mühendis")*($AG$2)
+COUNTIF($A$1,"3000 KW Baş Makinist")*($AG$3)
+COUNTIF($A$1,"Kaptan")*($AG$4)
+COUNTIF($A$1,"Baş Makinist")*($AG$5)
+COUNTIF($A$1,"1S-Güverte Personeli")*($AG$6)
+COUNTIF($A$1,"1S-Makine Personeli")*($AG$7)
+COUNTIF($A$1,"2S-Güverte Personeli")*($AG$8)
+COUNTIF($A$1,"2S-Makine Personeli")*($AG$9)</f>
        <v>306.98</v>
      </c>
      <c r="AU14" s="12">
        <f t="shared" ref="AU14:AU19" si="104">(AV14/CU13)</f>
        <v>364.40688026020587</v>
      </c>
      <c r="AV14" s="12">
        <f t="shared" ref="AV14:AV19" si="105">COUNTIF($A$1,"Uzakyol Kaptan")*($AG$1)
+COUNTIF($A$1,"Uzakyol Baş Mühendis")*($AG$2)
+COUNTIF($A$1,"3000 KW Baş Makinist")*($AG$3)
+COUNTIF($A$1,"Kaptan")*($AG$4)
+COUNTIF($A$1,"Baş Makinist")*($AG$5)
+COUNTIF($A$1,"1S-Güverte Personeli")*($AG$6)
+COUNTIF($A$1,"1S-Makine Personeli")*($AG$7)
+COUNTIF($A$1,"2S-Güverte Personeli")*($AG$8)
+COUNTIF($A$1,"2S-Makine Personeli")*($AG$9)</f>
        <v>306.98</v>
      </c>
      <c r="AW14" s="12">
        <f t="shared" ref="AW14:AW19" si="106">(AX14/CU13)</f>
        <v>364.40688026020587</v>
      </c>
      <c r="AX14" s="12">
        <f t="shared" ref="AX14:AX19" si="107">COUNTIF($A$1,"Uzakyol Kaptan")*($AG$1+AW6)
+COUNTIF($A$1,"Uzakyol Baş Mühendis")*($AG$2+AW6)
+COUNTIF($A$1,"3000 KW Baş Makinist")*($AG$3+AW6)
+COUNTIF($A$1,"Kaptan")*($AG$4+AW6)
+COUNTIF($A$1,"Baş Makinist")*($AG$5+AW6)
+COUNTIF($A$1,"1S-Güverte Personeli")*($AG$6+AW6)
+COUNTIF($A$1,"1S-Makine Personeli")*($AG$7+AW6)
+COUNTIF($A$1,"2S-Güverte Personeli")*($AG$8+AW6)
+COUNTIF($A$1,"2S-Makine Personeli")*($AG$9+AW6)</f>
        <v>306.98</v>
      </c>
      <c r="AY14" s="11" t="s">
        <v>0</v>
      </c>
      <c r="AZ14" s="5">
        <f t="shared" ref="AZ14:AZ19" si="108">(BA14/CU13)</f>
        <v>11296.613288066383</v>
      </c>
      <c r="BA14" s="8">
        <f>(AX14*AO14)</f>
        <v>9516.380000000001</v>
      </c>
      <c r="BB14" s="8">
        <f t="shared" si="87"/>
        <v>0</v>
      </c>
      <c r="BC14" s="8">
        <f t="shared" si="88"/>
        <v>0</v>
      </c>
      <c r="BD14" s="8">
        <f t="shared" si="89"/>
        <v>0</v>
      </c>
      <c r="BE14" s="8">
        <f t="shared" si="90"/>
        <v>0</v>
      </c>
      <c r="BH14" s="8">
        <f ca="1">(BH13/12)</f>
        <v>-149.64320000000001</v>
      </c>
      <c r="BI14" s="8">
        <f ca="1">(BI13/12)</f>
        <v>-10.688799999999999</v>
      </c>
      <c r="BJ14" s="8">
        <f>(BJ13/12)</f>
        <v>0</v>
      </c>
      <c r="BK14" s="8">
        <f ca="1">(BK13/12)</f>
        <v>1208.2204999999997</v>
      </c>
      <c r="BL14" s="8">
        <f>(BL13/12)</f>
        <v>0</v>
      </c>
      <c r="BM14" s="8">
        <f ca="1">(AV25-AX25)</f>
        <v>1085.1199999999999</v>
      </c>
      <c r="BT14" s="8">
        <f>(0)</f>
        <v>0</v>
      </c>
      <c r="BU14" s="23">
        <f>(0%)</f>
        <v>0</v>
      </c>
      <c r="BZ14" s="26">
        <f t="shared" si="71"/>
        <v>0.15</v>
      </c>
      <c r="CA14" s="8">
        <f>(ROUND(BS20*BZ14,2))</f>
        <v>638.01</v>
      </c>
      <c r="CB14" s="26">
        <f t="shared" si="72"/>
        <v>0.84491000000000005</v>
      </c>
      <c r="CC14" s="8">
        <f t="shared" si="73"/>
        <v>5004</v>
      </c>
      <c r="CD14" s="8">
        <f t="shared" si="74"/>
        <v>4253.3999999999996</v>
      </c>
      <c r="CE14" s="8" t="s">
        <v>0</v>
      </c>
      <c r="CF14" s="8">
        <f ca="1">(AZ19+AV11+BB17+BD17+AS24+BN6+BT6+BW6+BZ6+CO20+CQ20+DL20+AM28)</f>
        <v>20402.655922215468</v>
      </c>
      <c r="CG14" s="8">
        <f ca="1">(AZ19+AV11+BB17+BD17+AS24+BN6+BT6+BW6+BZ6+CO20+CQ20+DL20+AM28)</f>
        <v>20402.655922215468</v>
      </c>
      <c r="CH14" s="8">
        <f t="shared" ca="1" si="75"/>
        <v>-154.85615844961541</v>
      </c>
      <c r="CI14" s="8">
        <f t="shared" si="76"/>
        <v>5004</v>
      </c>
      <c r="CJ14" s="8">
        <f t="shared" si="77"/>
        <v>-37.980360000000005</v>
      </c>
      <c r="CK14" s="8">
        <f t="shared" ca="1" si="78"/>
        <v>15398.655922215468</v>
      </c>
      <c r="CL14" s="8">
        <f t="shared" ca="1" si="79"/>
        <v>-116.87579844961542</v>
      </c>
      <c r="CM14" s="8">
        <f t="shared" ca="1" si="80"/>
        <v>-154.85615844961541</v>
      </c>
      <c r="CN14" s="8">
        <f ca="1">(AX24+BQ6+CS20+DN20+AN28)</f>
        <v>752.8</v>
      </c>
      <c r="CO14" s="8">
        <f t="shared" ca="1" si="81"/>
        <v>19649.855922215469</v>
      </c>
      <c r="CP14" s="8">
        <f t="shared" ca="1" si="82"/>
        <v>19649.855922215469</v>
      </c>
      <c r="CQ14" s="26">
        <f>(0)</f>
        <v>0</v>
      </c>
      <c r="CR14" s="8">
        <f>(0)</f>
        <v>0</v>
      </c>
      <c r="CS14" s="8">
        <f>(0)</f>
        <v>0</v>
      </c>
      <c r="CT14" s="8">
        <f t="shared" si="97"/>
        <v>0</v>
      </c>
      <c r="CU14" s="26">
        <f t="shared" ref="CL14:CU27" si="109">(100+(100*0.00759*-1)+(100*0.14*-1)+(100*0.01*-1))/100</f>
        <v>0.84240999999999999</v>
      </c>
      <c r="CV14" s="26">
        <f t="shared" si="98"/>
        <v>0.84240999999999999</v>
      </c>
      <c r="CW14" s="26">
        <f t="shared" si="99"/>
        <v>0.99241000000000001</v>
      </c>
      <c r="DP14" s="8">
        <f t="shared" ca="1" si="83"/>
        <v>-2095.4204641479932</v>
      </c>
      <c r="DQ14" s="8">
        <f t="shared" ca="1" si="84"/>
        <v>-149.67289029628523</v>
      </c>
      <c r="DR14" s="8">
        <f t="shared" si="85"/>
        <v>325.98</v>
      </c>
      <c r="DS14" s="8">
        <f t="shared" ca="1" si="86"/>
        <v>13413.825675184244</v>
      </c>
      <c r="DT14" s="8">
        <f ca="1">SUM($DS$4:DS14)</f>
        <v>172384.01269811054</v>
      </c>
      <c r="DU14" s="23">
        <f t="shared" ca="1" si="28"/>
        <v>0.27</v>
      </c>
      <c r="DV14" s="24">
        <f t="shared" ca="1" si="33"/>
        <v>0</v>
      </c>
      <c r="DW14" s="19" t="s">
        <v>66</v>
      </c>
      <c r="DX14" s="8">
        <v>2761.6</v>
      </c>
      <c r="DY14" s="7">
        <v>12</v>
      </c>
      <c r="DZ14" s="20">
        <v>6</v>
      </c>
      <c r="EA14" s="21">
        <v>0.14000000000000001</v>
      </c>
      <c r="EB14" s="53"/>
    </row>
    <row r="15" spans="1:16311" ht="39.950000000000003" customHeight="1" x14ac:dyDescent="0.25">
      <c r="A15" s="30">
        <f t="shared" ref="A15:A20" si="110">(CQ13)</f>
        <v>0</v>
      </c>
      <c r="B15" s="31" t="s">
        <v>12</v>
      </c>
      <c r="C15" s="55">
        <v>0</v>
      </c>
      <c r="D15" s="56">
        <v>0</v>
      </c>
      <c r="E15" s="56">
        <v>1</v>
      </c>
      <c r="F15" s="57">
        <v>26</v>
      </c>
      <c r="G15" s="57">
        <v>104</v>
      </c>
      <c r="H15" s="57">
        <v>0</v>
      </c>
      <c r="I15" s="58" t="s">
        <v>1</v>
      </c>
      <c r="J15" s="55">
        <v>0</v>
      </c>
      <c r="K15" s="55">
        <v>0</v>
      </c>
      <c r="L15" s="55">
        <v>0</v>
      </c>
      <c r="M15" s="55">
        <v>0</v>
      </c>
      <c r="N15" s="59" t="s">
        <v>2</v>
      </c>
      <c r="O15" s="59" t="s">
        <v>1</v>
      </c>
      <c r="P15" s="59" t="s">
        <v>1</v>
      </c>
      <c r="Q15" s="60">
        <v>0</v>
      </c>
      <c r="R15" s="32">
        <f t="shared" ref="R15:R20" ca="1" si="111">(CG9-BO1+AQ23+BN7+CM9+DP4+DQ4+CT13-S15)</f>
        <v>10344.739349541493</v>
      </c>
      <c r="S15" s="32">
        <f ca="1">(BC12+BE12+AZ8+BO7)</f>
        <v>1216.98</v>
      </c>
      <c r="T15" s="61">
        <f ca="1">(R15+S15)</f>
        <v>11561.719349541492</v>
      </c>
      <c r="U15" s="1" t="s">
        <v>33</v>
      </c>
      <c r="V15" s="2">
        <f t="shared" ca="1" si="91"/>
        <v>0</v>
      </c>
      <c r="W15" s="2">
        <f ca="1">COUNTIF(X1,"Ocak")*(BP7)*-1
+COUNTIF(X1,"Şubat")*(BP8)*-1
+COUNTIF(X1,"Mart")*(BP9)*-1
+COUNTIF(X1,"Nisan")*(BP10)*-1
+COUNTIF(X1,"Mayıs")*(BP11)*-1
+COUNTIF(X1,"Haziran")*(BP12)*-1
+COUNTIF(X1,"Temmuz")*(AU6)*-1
+COUNTIF(X1,"Ağustos")*(AU7)*-1
+COUNTIF(X1,"Eylül")*(AU8)*-1
+COUNTIF(X1,"Ekim")*(AU9)*-1
+COUNTIF(X1,"Kasım")*(AU10)*-1
+COUNTIF(X1,"Aralık")*(AU11)*-1
+COUNTIF(X1,"Yıllık Toplam")*(AU12)*-1
+COUNTIF(X1,"Yıllık Ortalama")*(AU13)*-1</f>
        <v>0</v>
      </c>
      <c r="X15" s="82"/>
      <c r="Y15" s="70"/>
      <c r="Z15" s="17" t="s">
        <v>27</v>
      </c>
      <c r="AA15" s="18" t="s">
        <v>117</v>
      </c>
      <c r="AB15" s="71"/>
      <c r="AC15" s="72"/>
      <c r="AD15" s="74"/>
      <c r="AE15" s="73"/>
      <c r="AF15" s="11" t="s">
        <v>0</v>
      </c>
      <c r="AG15" s="11" t="s">
        <v>0</v>
      </c>
      <c r="AH15" s="11" t="s">
        <v>0</v>
      </c>
      <c r="AI15" s="24">
        <f>(1.5)</f>
        <v>1.5</v>
      </c>
      <c r="AJ15" s="7" t="s">
        <v>0</v>
      </c>
      <c r="AK15" s="8">
        <f>($AK$13*$AI$15)</f>
        <v>176.58375000000001</v>
      </c>
      <c r="AL15" s="8">
        <f>($AL$13*$AI$15)</f>
        <v>250.20224999999999</v>
      </c>
      <c r="AM15" s="9">
        <f>(AN14+1)</f>
        <v>44593</v>
      </c>
      <c r="AN15" s="9">
        <f t="shared" si="100"/>
        <v>44620</v>
      </c>
      <c r="AO15" s="10">
        <f t="shared" si="101"/>
        <v>28</v>
      </c>
      <c r="AP15" s="10">
        <f t="shared" ref="AP15:AP22" si="112">NETWORKDAYS.INTL(AM15,AN15,11)</f>
        <v>24</v>
      </c>
      <c r="AQ15" s="10">
        <f t="shared" ref="AQ15:AQ22" si="113">(AO15-AP15)</f>
        <v>4</v>
      </c>
      <c r="AR15" s="11" t="s">
        <v>0</v>
      </c>
      <c r="AS15" s="12">
        <f t="shared" si="102"/>
        <v>364.40688026020587</v>
      </c>
      <c r="AT15" s="12">
        <f t="shared" si="103"/>
        <v>306.98</v>
      </c>
      <c r="AU15" s="12">
        <f t="shared" si="104"/>
        <v>364.40688026020587</v>
      </c>
      <c r="AV15" s="12">
        <f t="shared" si="105"/>
        <v>306.98</v>
      </c>
      <c r="AW15" s="12">
        <f t="shared" si="106"/>
        <v>364.40688026020587</v>
      </c>
      <c r="AX15" s="12">
        <f t="shared" si="107"/>
        <v>306.98</v>
      </c>
      <c r="AY15" s="11" t="s">
        <v>0</v>
      </c>
      <c r="AZ15" s="5">
        <f t="shared" si="108"/>
        <v>10203.392647285764</v>
      </c>
      <c r="BA15" s="8">
        <f t="shared" ref="BA15:BA22" si="114">(AX15*AO15)</f>
        <v>8595.44</v>
      </c>
      <c r="BB15" s="8">
        <f t="shared" si="87"/>
        <v>0</v>
      </c>
      <c r="BC15" s="8">
        <f t="shared" si="88"/>
        <v>0</v>
      </c>
      <c r="BD15" s="8">
        <f t="shared" si="89"/>
        <v>364.40688026020587</v>
      </c>
      <c r="BE15" s="8">
        <f t="shared" si="90"/>
        <v>306.98</v>
      </c>
      <c r="BM15" s="8">
        <f ca="1">(AV26-AX26)</f>
        <v>1126.8499999999999</v>
      </c>
      <c r="BN15" s="33">
        <v>0.15</v>
      </c>
      <c r="BO15" s="12">
        <v>0</v>
      </c>
      <c r="BP15" s="8">
        <v>32000</v>
      </c>
      <c r="BQ15" s="8">
        <v>0</v>
      </c>
      <c r="BR15" s="8">
        <f>(0)</f>
        <v>0</v>
      </c>
      <c r="BS15" s="8">
        <f t="shared" ref="BS15:BS21" si="115">(BR7+BX7+BY7-BR15)</f>
        <v>4253.3999999999996</v>
      </c>
      <c r="BT15" s="8">
        <f>SUM(BS$15:$BS15)</f>
        <v>4253.3999999999996</v>
      </c>
      <c r="BU15" s="23">
        <f t="shared" ref="BU15:BU26" si="116">IF(BT15&lt;=$BP$15,$BN$15,
IF(BT15&gt;$BP$17,
IF(BT15&gt;$BP$18,$BN$19,$BN$18),
IF(BT15&lt;$BP$16,$BN$16,$BN$17)))</f>
        <v>0.15</v>
      </c>
      <c r="BV15" s="24">
        <f>IF(BU15-BU14=0,0,1)</f>
        <v>1</v>
      </c>
      <c r="BW15" s="26">
        <f t="shared" ref="BW15:BW20" si="117">IF(BV21=0,BU21,(VLOOKUP($BU21,$BN$15:$BQ$19,2,0)-BT20)/BS21*BU20+(BT21-VLOOKUP($BU21,$BN$15:$BQ$19,2,0))/BS21*BU21)</f>
        <v>0.15</v>
      </c>
      <c r="BX15" s="8">
        <f t="shared" ref="BX15:BX20" si="118">(ROUND(BS21*BW15,2))</f>
        <v>825.05</v>
      </c>
      <c r="BY15" s="26">
        <f t="shared" ref="BY15:BY20" si="119">(100+(100*0.00759*-1)+(100*0.01*-1)+(100*0.01*-1)+(100+100*0.14*-1+100*0.01*-1)*BW15*-1)/100</f>
        <v>0.84491000000000005</v>
      </c>
      <c r="BZ15" s="8">
        <f>BR13</f>
        <v>6471</v>
      </c>
      <c r="CA15" s="8">
        <f>BR13+BU13+BX13+BY13</f>
        <v>5500.3499999999995</v>
      </c>
      <c r="CB15" s="8" t="s">
        <v>0</v>
      </c>
      <c r="CC15" s="8">
        <f ca="1">(AZ20+AV12+BB18+BD18+AS25+CB1+CH1+CK1+CN1+CO21+CQ21+DL21+AM6)</f>
        <v>18779.618940360822</v>
      </c>
      <c r="CD15" s="8">
        <f ca="1">(AZ20+AV12+BB18+BD18+AS25+CB1+CH1+CK1+CN1+CO21+CQ21+DL21+AM6)</f>
        <v>18779.618940360822</v>
      </c>
      <c r="CE15" s="8">
        <f t="shared" ref="CE15:CE20" ca="1" si="120">(CD15*0.00759*-1)</f>
        <v>-142.53730775733865</v>
      </c>
      <c r="CF15" s="8">
        <f>(BS13)</f>
        <v>6471</v>
      </c>
      <c r="CG15" s="8">
        <f t="shared" ref="CG15:CG20" si="121">(CF15*0.00759*-1)</f>
        <v>-49.114890000000003</v>
      </c>
      <c r="CH15" s="8">
        <f t="shared" ref="CH15:CH20" ca="1" si="122">(CG9)</f>
        <v>14498.737371994031</v>
      </c>
      <c r="CI15" s="8">
        <f t="shared" ref="CI15:CI21" ca="1" si="123">(CH15*0.205)</f>
        <v>2972.2411612587762</v>
      </c>
      <c r="CJ15" s="8">
        <f t="shared" ref="CJ15:CJ21" ca="1" si="124">(CH15*0.01)</f>
        <v>144.98737371994031</v>
      </c>
      <c r="CK15" s="8">
        <f t="shared" ref="CK15:CK21" ca="1" si="125">(CH15*0.05*-1)</f>
        <v>-724.9368685997016</v>
      </c>
      <c r="CL15" s="8">
        <f t="shared" ref="CL15:CL21" ca="1" si="126">(CH15+CI15+CJ15+CK15)</f>
        <v>16891.029038373046</v>
      </c>
      <c r="CQ15" s="26">
        <f>(0)</f>
        <v>0</v>
      </c>
      <c r="CR15" s="8">
        <f>(0)</f>
        <v>0</v>
      </c>
      <c r="CS15" s="8">
        <f>(0)</f>
        <v>0</v>
      </c>
      <c r="CT15" s="8">
        <f t="shared" si="97"/>
        <v>0</v>
      </c>
      <c r="CU15" s="26">
        <f t="shared" si="109"/>
        <v>0.84240999999999999</v>
      </c>
      <c r="CV15" s="26">
        <f t="shared" si="98"/>
        <v>0.84240999999999999</v>
      </c>
      <c r="CW15" s="26">
        <f t="shared" si="99"/>
        <v>0.99241000000000001</v>
      </c>
      <c r="DC15" s="8">
        <f t="shared" ref="DC15:DC20" si="127">($AK$15*L15)</f>
        <v>0</v>
      </c>
      <c r="DD15" s="8">
        <f t="shared" ref="DD15:DD20" si="128">(DC15+(DC15*0.00759*-1)+((DC15-DE15)*0.14*-1)+((DC15-DE15)*0.01*-1)+(DC15+((DC15-DE15)*0.14*-1)+((DC15-DE15)*0.01*-1))*CQ13*-1)</f>
        <v>0</v>
      </c>
      <c r="DE15" s="8">
        <f t="shared" ref="DE15:DE20" si="129">($AK$2*L15)</f>
        <v>0</v>
      </c>
      <c r="DF15" s="8">
        <f t="shared" ref="DF15:DF20" si="130">($AK$5*L15)</f>
        <v>0</v>
      </c>
      <c r="DG15" s="8">
        <f t="shared" ref="DG15:DG20" si="131">($AK$16*M15)</f>
        <v>0</v>
      </c>
      <c r="DH15" s="8">
        <f t="shared" ref="DH15:DH20" si="132">(DG15+(DG15*0.00759*-1)+((DG15-DI15)*0.14*-1)+((DG15-DI15)*0.01*-1)+(DG15+((DG15-DI15)*0.14*-1)+((DG15-DI15)*0.01*-1))*CQ13*-1)</f>
        <v>0</v>
      </c>
      <c r="DI15" s="8">
        <f t="shared" ref="DI15:DI20" si="133">($AK$3*M15)</f>
        <v>0</v>
      </c>
      <c r="DJ15" s="8">
        <f t="shared" ref="DJ15:DJ20" si="134">($AK$6*M15)</f>
        <v>0</v>
      </c>
      <c r="DK15" s="34">
        <f t="shared" ref="DK15:DK26" si="135">(J15+K15+L15+M15)</f>
        <v>0</v>
      </c>
      <c r="DL15" s="8">
        <f t="shared" ref="DL15:DM18" si="136">(CW9+DA9+DC15+DG15)</f>
        <v>0</v>
      </c>
      <c r="DM15" s="8">
        <f t="shared" si="136"/>
        <v>0</v>
      </c>
      <c r="DN15" s="8">
        <f>IF(CY9+DC9+DE15+DI15&gt;=$AK$5*2,$AK$5*2,CY9+DC9+DE15+DI15)</f>
        <v>0</v>
      </c>
      <c r="DO15" s="8">
        <f>(CZ9+DD9+DF15+DJ15)</f>
        <v>0</v>
      </c>
      <c r="DP15" s="8">
        <f t="shared" ca="1" si="83"/>
        <v>-3485.724534575842</v>
      </c>
      <c r="DQ15" s="8">
        <f t="shared" ca="1" si="84"/>
        <v>-248.98032389827441</v>
      </c>
      <c r="DR15" s="8">
        <f t="shared" si="85"/>
        <v>325.98</v>
      </c>
      <c r="DS15" s="8">
        <f t="shared" ca="1" si="86"/>
        <v>21867.897531353323</v>
      </c>
      <c r="DT15" s="8">
        <f ca="1">SUM($DS$4:DS15)</f>
        <v>194251.91022946386</v>
      </c>
      <c r="DU15" s="23">
        <f t="shared" ca="1" si="28"/>
        <v>0.27</v>
      </c>
      <c r="DV15" s="24">
        <f t="shared" ca="1" si="33"/>
        <v>0</v>
      </c>
      <c r="DW15" s="19" t="s">
        <v>95</v>
      </c>
      <c r="DX15" s="8">
        <v>759.44</v>
      </c>
      <c r="DY15" s="7">
        <v>13</v>
      </c>
      <c r="DZ15" s="20">
        <v>6.5</v>
      </c>
      <c r="EA15" s="21">
        <v>0.15</v>
      </c>
      <c r="EB15" s="53"/>
    </row>
    <row r="16" spans="1:16311" ht="39.950000000000003" customHeight="1" x14ac:dyDescent="0.25">
      <c r="A16" s="30">
        <f t="shared" si="110"/>
        <v>0</v>
      </c>
      <c r="B16" s="31" t="s">
        <v>13</v>
      </c>
      <c r="C16" s="55">
        <v>0</v>
      </c>
      <c r="D16" s="56">
        <v>0</v>
      </c>
      <c r="E16" s="56">
        <v>0</v>
      </c>
      <c r="F16" s="57">
        <v>24</v>
      </c>
      <c r="G16" s="57">
        <v>104</v>
      </c>
      <c r="H16" s="57">
        <v>0</v>
      </c>
      <c r="I16" s="58" t="s">
        <v>1</v>
      </c>
      <c r="J16" s="55">
        <v>0</v>
      </c>
      <c r="K16" s="55">
        <v>0</v>
      </c>
      <c r="L16" s="55">
        <v>0</v>
      </c>
      <c r="M16" s="55">
        <v>0</v>
      </c>
      <c r="N16" s="59" t="s">
        <v>1</v>
      </c>
      <c r="O16" s="59" t="s">
        <v>1</v>
      </c>
      <c r="P16" s="59" t="s">
        <v>1</v>
      </c>
      <c r="Q16" s="60">
        <v>0</v>
      </c>
      <c r="R16" s="32">
        <f t="shared" ca="1" si="111"/>
        <v>14673.279370453685</v>
      </c>
      <c r="S16" s="32">
        <f ca="1">(BC13+BE13+AZ9+BO8)</f>
        <v>840</v>
      </c>
      <c r="T16" s="61">
        <f t="shared" ref="T16:T26" ca="1" si="137">(R16+S16)</f>
        <v>15513.279370453685</v>
      </c>
      <c r="U16" s="1" t="s">
        <v>34</v>
      </c>
      <c r="V16" s="2">
        <f t="shared" ca="1" si="91"/>
        <v>1752.5732604901536</v>
      </c>
      <c r="W16" s="35">
        <f ca="1">COUNTIF(X1,"Ocak")*(CM9)*-1
+COUNTIF(X1,"Şubat")*(CM10)*-1
+COUNTIF(X1,"Mart")*(CM11)*-1
+COUNTIF(X1,"Nisan")*(CM12)*-1
+COUNTIF(X1,"Mayıs")*(CM13)*-1
+COUNTIF(X1,"Haziran")*(CM14)*-1
+COUNTIF(X1,"Temmuz")*(CR1)*-1
+COUNTIF(X1,"Ağustos")*(CR2)*-1
+COUNTIF(X1,"Eylül")*(CR3)*-1
+COUNTIF(X1,"Ekim")*(CR4)*-1
+COUNTIF(X1,"Kasım")*(CR5)*-1
+COUNTIF(X1,"Aralık")*(CR6)*-1
+COUNTIF(X1,"Yıllık Toplam")*(CR7)*-1
+COUNTIF(X1,"Yıllık Ortalama")*(CR8)*-1</f>
        <v>1752.5732604901536</v>
      </c>
      <c r="X16" s="82"/>
      <c r="Y16" s="70"/>
      <c r="Z16" s="17" t="s">
        <v>40</v>
      </c>
      <c r="AA16" s="18" t="s">
        <v>112</v>
      </c>
      <c r="AB16" s="71"/>
      <c r="AC16" s="72"/>
      <c r="AD16" s="74"/>
      <c r="AE16" s="73"/>
      <c r="AF16" s="11" t="s">
        <v>0</v>
      </c>
      <c r="AG16" s="11" t="s">
        <v>0</v>
      </c>
      <c r="AH16" s="11" t="s">
        <v>0</v>
      </c>
      <c r="AI16" s="7" t="s">
        <v>0</v>
      </c>
      <c r="AJ16" s="7" t="s">
        <v>0</v>
      </c>
      <c r="AK16" s="8">
        <f>($AK$15/2)</f>
        <v>88.291875000000005</v>
      </c>
      <c r="AL16" s="8">
        <f>($AL$15/2)</f>
        <v>125.101125</v>
      </c>
      <c r="AM16" s="9">
        <f t="shared" ref="AM16:AM22" si="138">(AN15+1)</f>
        <v>44621</v>
      </c>
      <c r="AN16" s="9">
        <f t="shared" si="100"/>
        <v>44651</v>
      </c>
      <c r="AO16" s="10">
        <f t="shared" si="101"/>
        <v>31</v>
      </c>
      <c r="AP16" s="10">
        <f t="shared" si="112"/>
        <v>27</v>
      </c>
      <c r="AQ16" s="10">
        <f t="shared" si="113"/>
        <v>4</v>
      </c>
      <c r="AR16" s="11" t="s">
        <v>0</v>
      </c>
      <c r="AS16" s="12">
        <f t="shared" si="102"/>
        <v>364.40688026020587</v>
      </c>
      <c r="AT16" s="12">
        <f t="shared" si="103"/>
        <v>306.98</v>
      </c>
      <c r="AU16" s="12">
        <f t="shared" si="104"/>
        <v>364.40688026020587</v>
      </c>
      <c r="AV16" s="12">
        <f t="shared" si="105"/>
        <v>306.98</v>
      </c>
      <c r="AW16" s="12">
        <f t="shared" si="106"/>
        <v>364.40688026020587</v>
      </c>
      <c r="AX16" s="12">
        <f t="shared" si="107"/>
        <v>306.98</v>
      </c>
      <c r="AY16" s="11" t="s">
        <v>0</v>
      </c>
      <c r="AZ16" s="5">
        <f t="shared" si="108"/>
        <v>11296.613288066383</v>
      </c>
      <c r="BA16" s="8">
        <f t="shared" si="114"/>
        <v>9516.380000000001</v>
      </c>
      <c r="BB16" s="8">
        <f t="shared" si="87"/>
        <v>0</v>
      </c>
      <c r="BC16" s="8">
        <f t="shared" si="88"/>
        <v>0</v>
      </c>
      <c r="BD16" s="8">
        <f t="shared" si="89"/>
        <v>1457.6275210408235</v>
      </c>
      <c r="BE16" s="8">
        <f t="shared" si="90"/>
        <v>1227.92</v>
      </c>
      <c r="BM16" s="8">
        <f ca="1">(AV27-AX27)</f>
        <v>1085.1199999999999</v>
      </c>
      <c r="BN16" s="33">
        <v>0.2</v>
      </c>
      <c r="BO16" s="8">
        <f>$BP$15</f>
        <v>32000</v>
      </c>
      <c r="BP16" s="8">
        <v>70000</v>
      </c>
      <c r="BQ16" s="8">
        <f>(BP15-BO15)*BN15+BQ15</f>
        <v>4800</v>
      </c>
      <c r="BR16" s="8">
        <f>(0)</f>
        <v>0</v>
      </c>
      <c r="BS16" s="8">
        <f t="shared" si="115"/>
        <v>4253.3999999999996</v>
      </c>
      <c r="BT16" s="8">
        <f>SUM(BS$15:$BS16)</f>
        <v>8506.7999999999993</v>
      </c>
      <c r="BU16" s="23">
        <f t="shared" si="116"/>
        <v>0.15</v>
      </c>
      <c r="BV16" s="24">
        <f t="shared" ref="BV16:BV26" si="139">IF(BU16-BU15=0,0,1)</f>
        <v>0</v>
      </c>
      <c r="BW16" s="26">
        <f t="shared" si="117"/>
        <v>0.19109829374494347</v>
      </c>
      <c r="BX16" s="8">
        <f t="shared" si="118"/>
        <v>1051.1099999999999</v>
      </c>
      <c r="BY16" s="26">
        <f t="shared" si="119"/>
        <v>0.8099764503167981</v>
      </c>
      <c r="BZ16" s="8">
        <f>AZ1</f>
        <v>6471</v>
      </c>
      <c r="CA16" s="8">
        <f>AZ1+BC1+BF1+BG1</f>
        <v>5500.3499999999995</v>
      </c>
      <c r="CB16" s="8" t="s">
        <v>0</v>
      </c>
      <c r="CC16" s="8">
        <f ca="1">(AZ21+AV13+BB19+BD19+AS26+CB2+CH2+CK2+CN2+CO22+CQ22+DL22+AM7)</f>
        <v>24638.711661797148</v>
      </c>
      <c r="CD16" s="8">
        <f ca="1">(AZ21+AV13+BB19+BD19+AS26+CB2+CH2+CK2+CN2+CO22+CQ22+DL22+AM7)</f>
        <v>24638.711661797148</v>
      </c>
      <c r="CE16" s="8">
        <f t="shared" ca="1" si="120"/>
        <v>-187.00782151304037</v>
      </c>
      <c r="CF16" s="8">
        <f>(BA1)</f>
        <v>6471</v>
      </c>
      <c r="CG16" s="8">
        <f t="shared" si="121"/>
        <v>-49.114890000000003</v>
      </c>
      <c r="CH16" s="8">
        <f t="shared" ca="1" si="122"/>
        <v>19193.082193295053</v>
      </c>
      <c r="CI16" s="8">
        <f t="shared" ca="1" si="123"/>
        <v>3934.5818496254856</v>
      </c>
      <c r="CJ16" s="8">
        <f t="shared" ca="1" si="124"/>
        <v>191.93082193295052</v>
      </c>
      <c r="CK16" s="8">
        <f t="shared" ca="1" si="125"/>
        <v>-959.6541096647527</v>
      </c>
      <c r="CL16" s="8">
        <f t="shared" ca="1" si="126"/>
        <v>22359.940755188738</v>
      </c>
      <c r="CQ16" s="26">
        <f>(0)</f>
        <v>0</v>
      </c>
      <c r="CR16" s="8">
        <f>(0)</f>
        <v>0</v>
      </c>
      <c r="CS16" s="8">
        <f>(0)</f>
        <v>0</v>
      </c>
      <c r="CT16" s="8">
        <f t="shared" si="97"/>
        <v>0</v>
      </c>
      <c r="CU16" s="26">
        <f t="shared" si="109"/>
        <v>0.84240999999999999</v>
      </c>
      <c r="CV16" s="26">
        <f t="shared" si="98"/>
        <v>0.84240999999999999</v>
      </c>
      <c r="CW16" s="26">
        <f t="shared" si="99"/>
        <v>0.99241000000000001</v>
      </c>
      <c r="DC16" s="8">
        <f t="shared" si="127"/>
        <v>0</v>
      </c>
      <c r="DD16" s="8">
        <f t="shared" si="128"/>
        <v>0</v>
      </c>
      <c r="DE16" s="8">
        <f t="shared" si="129"/>
        <v>0</v>
      </c>
      <c r="DF16" s="8">
        <f t="shared" si="130"/>
        <v>0</v>
      </c>
      <c r="DG16" s="8">
        <f t="shared" si="131"/>
        <v>0</v>
      </c>
      <c r="DH16" s="8">
        <f t="shared" si="132"/>
        <v>0</v>
      </c>
      <c r="DI16" s="8">
        <f t="shared" si="133"/>
        <v>0</v>
      </c>
      <c r="DJ16" s="8">
        <f t="shared" si="134"/>
        <v>0</v>
      </c>
      <c r="DK16" s="34">
        <f t="shared" si="135"/>
        <v>0</v>
      </c>
      <c r="DL16" s="8">
        <f t="shared" si="136"/>
        <v>0</v>
      </c>
      <c r="DM16" s="8">
        <f t="shared" si="136"/>
        <v>0</v>
      </c>
      <c r="DN16" s="8">
        <f>IF(CY10+DC10+DE16+DI16&gt;=$AK$5*2,$AK$5*2,CY10+DC10+DE16+DI16)</f>
        <v>0</v>
      </c>
      <c r="DO16" s="8">
        <f>(CZ10+DD10+DF16+DJ16)</f>
        <v>0</v>
      </c>
      <c r="DP16" s="8">
        <f t="shared" ref="DP16" ca="1" si="140">(DP4+DP5+DP6+DP7+DP8+DP9+DP10+DP11+DP12+DP13+DP14+DP15)</f>
        <v>-30837.413308382285</v>
      </c>
      <c r="DQ16" s="8">
        <f t="shared" ref="DQ16" ca="1" si="141">(DQ4+DQ5+DQ6+DQ7+DQ8+DQ9+DQ10+DQ11+DQ12+DQ13+DQ14+DQ15)</f>
        <v>-2202.6723791701629</v>
      </c>
      <c r="DR16" s="8">
        <f t="shared" ref="DR16" si="142">(DR4+DR5+DR6+DR7+DR8+DR9+DR10+DR11+DR12+DR13+DR14+DR15)</f>
        <v>3613.5720000000006</v>
      </c>
      <c r="DS16" s="8">
        <f t="shared" ref="DS16" ca="1" si="143">(DS4+DS5+DS6+DS7+DS8+DS9+DS10+DS11+DS12+DS13+DS14+DS15)</f>
        <v>194251.91022946386</v>
      </c>
      <c r="DT16" s="11" t="s">
        <v>0</v>
      </c>
      <c r="DU16" s="7" t="s">
        <v>0</v>
      </c>
      <c r="DV16" s="7" t="s">
        <v>0</v>
      </c>
      <c r="DW16" s="19" t="s">
        <v>61</v>
      </c>
      <c r="DX16" s="8">
        <v>1035.5999999999999</v>
      </c>
      <c r="DY16" s="7">
        <v>14</v>
      </c>
      <c r="DZ16" s="20">
        <v>7</v>
      </c>
      <c r="EA16" s="21">
        <v>0.16</v>
      </c>
      <c r="EB16" s="53"/>
    </row>
    <row r="17" spans="1:132" ht="39.950000000000003" customHeight="1" x14ac:dyDescent="0.25">
      <c r="A17" s="30">
        <f t="shared" si="110"/>
        <v>0</v>
      </c>
      <c r="B17" s="31" t="s">
        <v>14</v>
      </c>
      <c r="C17" s="55">
        <v>0</v>
      </c>
      <c r="D17" s="56">
        <v>0</v>
      </c>
      <c r="E17" s="56">
        <v>0</v>
      </c>
      <c r="F17" s="57">
        <v>27</v>
      </c>
      <c r="G17" s="57">
        <v>104</v>
      </c>
      <c r="H17" s="57">
        <v>0</v>
      </c>
      <c r="I17" s="58" t="s">
        <v>1</v>
      </c>
      <c r="J17" s="55">
        <v>0</v>
      </c>
      <c r="K17" s="55">
        <v>0</v>
      </c>
      <c r="L17" s="55">
        <v>0</v>
      </c>
      <c r="M17" s="55">
        <v>0</v>
      </c>
      <c r="N17" s="59" t="s">
        <v>1</v>
      </c>
      <c r="O17" s="59" t="s">
        <v>1</v>
      </c>
      <c r="P17" s="59" t="s">
        <v>1</v>
      </c>
      <c r="Q17" s="60">
        <v>0</v>
      </c>
      <c r="R17" s="32">
        <f t="shared" ca="1" si="111"/>
        <v>10068.579774451411</v>
      </c>
      <c r="S17" s="32">
        <f ca="1">(BC14+BE14+AZ10+BO9)</f>
        <v>1296</v>
      </c>
      <c r="T17" s="61">
        <f t="shared" ca="1" si="137"/>
        <v>11364.579774451411</v>
      </c>
      <c r="U17" s="1" t="s">
        <v>6</v>
      </c>
      <c r="V17" s="2">
        <f t="shared" ca="1" si="91"/>
        <v>30837.413308382285</v>
      </c>
      <c r="W17" s="35">
        <f ca="1">COUNTIF(X1,"Ocak")*(DP4)*-1
+COUNTIF(X1,"Şubat")*(DP5)*-1
+COUNTIF(X1,"Mart")*(DP6)*-1
+COUNTIF(X1,"Nisan")*(DP7)*-1
+COUNTIF(X1,"Mayıs")*(DP8)*-1
+COUNTIF(X1,"Haziran")*(DP9)*-1
+COUNTIF(X1,"Temmuz")*(DP10)*-1
+COUNTIF(X1,"Ağustos")*(DP11)*-1
+COUNTIF(X1,"Eylül")*(DP12)*-1
+COUNTIF(X1,"Ekim")*(DP13)*-1
+COUNTIF(X1,"Kasım")*(DP14)*-1
+COUNTIF(X1,"Aralık")*(DP15)*-1
+COUNTIF(X1,"Yıllık Toplam")*(DP16)*-1
+COUNTIF(X1,"Yıllık Ortalama")*(DP17)*-1</f>
        <v>30837.413308382285</v>
      </c>
      <c r="X17" s="82"/>
      <c r="Y17" s="70"/>
      <c r="Z17" s="36" t="s">
        <v>42</v>
      </c>
      <c r="AA17" s="22" t="s">
        <v>72</v>
      </c>
      <c r="AB17" s="71"/>
      <c r="AC17" s="72"/>
      <c r="AD17" s="74"/>
      <c r="AE17" s="73"/>
      <c r="AF17" s="11" t="s">
        <v>0</v>
      </c>
      <c r="AG17" s="11" t="s">
        <v>0</v>
      </c>
      <c r="AH17" s="11" t="s">
        <v>0</v>
      </c>
      <c r="AI17" s="11">
        <f>(9500)</f>
        <v>9500</v>
      </c>
      <c r="AJ17" s="7" t="s">
        <v>0</v>
      </c>
      <c r="AK17" s="8">
        <f>($AI$24*$AI$17)</f>
        <v>2236.7275</v>
      </c>
      <c r="AL17" s="8">
        <f>($AJ$24*$AI$17)</f>
        <v>3169.2284999999997</v>
      </c>
      <c r="AM17" s="9">
        <f t="shared" si="138"/>
        <v>44652</v>
      </c>
      <c r="AN17" s="9">
        <f t="shared" si="100"/>
        <v>44681</v>
      </c>
      <c r="AO17" s="10">
        <f t="shared" si="101"/>
        <v>30</v>
      </c>
      <c r="AP17" s="10">
        <f t="shared" si="112"/>
        <v>26</v>
      </c>
      <c r="AQ17" s="10">
        <f t="shared" si="113"/>
        <v>4</v>
      </c>
      <c r="AR17" s="11" t="s">
        <v>0</v>
      </c>
      <c r="AS17" s="12">
        <f t="shared" si="102"/>
        <v>364.40688026020587</v>
      </c>
      <c r="AT17" s="12">
        <f t="shared" si="103"/>
        <v>306.98</v>
      </c>
      <c r="AU17" s="12">
        <f t="shared" si="104"/>
        <v>364.40688026020587</v>
      </c>
      <c r="AV17" s="12">
        <f t="shared" si="105"/>
        <v>306.98</v>
      </c>
      <c r="AW17" s="12">
        <f t="shared" si="106"/>
        <v>364.40688026020587</v>
      </c>
      <c r="AX17" s="12">
        <f t="shared" si="107"/>
        <v>306.98</v>
      </c>
      <c r="AY17" s="11" t="s">
        <v>0</v>
      </c>
      <c r="AZ17" s="5">
        <f t="shared" si="108"/>
        <v>10932.206407806178</v>
      </c>
      <c r="BA17" s="8">
        <f t="shared" si="114"/>
        <v>9209.4000000000015</v>
      </c>
      <c r="BB17" s="8">
        <f t="shared" si="87"/>
        <v>0</v>
      </c>
      <c r="BC17" s="8">
        <f t="shared" si="88"/>
        <v>0</v>
      </c>
      <c r="BD17" s="8">
        <f t="shared" si="89"/>
        <v>0</v>
      </c>
      <c r="BE17" s="8">
        <f t="shared" si="90"/>
        <v>0</v>
      </c>
      <c r="BG17" s="8">
        <f ca="1">(BI17+BK17*-1+BH10*-1+BI10*-1+BL10*-1)</f>
        <v>1421.5576404000001</v>
      </c>
      <c r="BH17" s="8">
        <f>(48*F24)</f>
        <v>1248</v>
      </c>
      <c r="BI17" s="8">
        <f t="shared" ref="BI17:BI19" si="144">(BH17)</f>
        <v>1248</v>
      </c>
      <c r="BJ17" s="8">
        <f ca="1">ROUND((BI17+BK17*-1+BH10*-1+BI10*-1+BL10*-1),2)</f>
        <v>1421.56</v>
      </c>
      <c r="BK17" s="8">
        <f t="shared" ref="BK17:BK19" ca="1" si="145">(BJ17*0.00759*-1)</f>
        <v>-10.7896404</v>
      </c>
      <c r="BL17" s="8">
        <f>($AL$9*F24)</f>
        <v>336.44</v>
      </c>
      <c r="BM17" s="8">
        <f t="shared" ref="BM17:BM19" ca="1" si="146">(BJ17-BL17)</f>
        <v>1085.1199999999999</v>
      </c>
      <c r="BN17" s="33">
        <v>0.27</v>
      </c>
      <c r="BO17" s="8">
        <f>$BP$16</f>
        <v>70000</v>
      </c>
      <c r="BP17" s="8">
        <v>250000</v>
      </c>
      <c r="BQ17" s="8">
        <f>(BP16-BO16)*BN16+BQ16</f>
        <v>12400</v>
      </c>
      <c r="BR17" s="8">
        <f>(0)</f>
        <v>0</v>
      </c>
      <c r="BS17" s="8">
        <f t="shared" si="115"/>
        <v>4253.3999999999996</v>
      </c>
      <c r="BT17" s="8">
        <f>SUM(BS$15:$BS17)</f>
        <v>12760.199999999999</v>
      </c>
      <c r="BU17" s="23">
        <f t="shared" si="116"/>
        <v>0.15</v>
      </c>
      <c r="BV17" s="24">
        <f t="shared" si="139"/>
        <v>0</v>
      </c>
      <c r="BW17" s="26">
        <f t="shared" si="117"/>
        <v>0.2</v>
      </c>
      <c r="BX17" s="8">
        <f t="shared" si="118"/>
        <v>1100.07</v>
      </c>
      <c r="BY17" s="26">
        <f t="shared" si="119"/>
        <v>0.80240999999999996</v>
      </c>
      <c r="BZ17" s="8">
        <f>AZ2</f>
        <v>6471</v>
      </c>
      <c r="CA17" s="8">
        <f>AZ2+BC2+BF2+BG2</f>
        <v>5500.3499999999995</v>
      </c>
      <c r="CB17" s="8" t="s">
        <v>0</v>
      </c>
      <c r="CC17" s="8">
        <f ca="1">(AZ22+AX6+BB20+BD20+AS27+CB3+CH3+CK3+CN3+CO23+CQ23+DL23+AM8)</f>
        <v>15984.899029628523</v>
      </c>
      <c r="CD17" s="8">
        <f ca="1">(AZ22+AX6+BB20+BD20+AS27+CB3+CH3+CK3+CN3+CO23+CQ23+DL23+AM8)</f>
        <v>15984.899029628523</v>
      </c>
      <c r="CE17" s="8">
        <f t="shared" ca="1" si="120"/>
        <v>-121.3253836348805</v>
      </c>
      <c r="CF17" s="8">
        <f>(BA2)</f>
        <v>6471</v>
      </c>
      <c r="CG17" s="8">
        <f t="shared" si="121"/>
        <v>-49.114890000000003</v>
      </c>
      <c r="CH17" s="8">
        <f t="shared" ca="1" si="122"/>
        <v>14262.936425791966</v>
      </c>
      <c r="CI17" s="8">
        <f t="shared" ca="1" si="123"/>
        <v>2923.9019672873528</v>
      </c>
      <c r="CJ17" s="8">
        <f t="shared" ca="1" si="124"/>
        <v>142.62936425791966</v>
      </c>
      <c r="CK17" s="8">
        <f t="shared" ca="1" si="125"/>
        <v>-713.14682128959839</v>
      </c>
      <c r="CL17" s="8">
        <f t="shared" ca="1" si="126"/>
        <v>16616.320936047639</v>
      </c>
      <c r="CQ17" s="26">
        <f>(0)</f>
        <v>0</v>
      </c>
      <c r="CR17" s="8">
        <f>(0)</f>
        <v>0</v>
      </c>
      <c r="CS17" s="8">
        <f>(0)</f>
        <v>0</v>
      </c>
      <c r="CT17" s="8">
        <f t="shared" si="97"/>
        <v>0</v>
      </c>
      <c r="CU17" s="26">
        <f t="shared" si="109"/>
        <v>0.84240999999999999</v>
      </c>
      <c r="CV17" s="26">
        <f t="shared" si="98"/>
        <v>0.84240999999999999</v>
      </c>
      <c r="CW17" s="26">
        <f t="shared" si="99"/>
        <v>0.99241000000000001</v>
      </c>
      <c r="DC17" s="8">
        <f t="shared" si="127"/>
        <v>0</v>
      </c>
      <c r="DD17" s="8">
        <f t="shared" si="128"/>
        <v>0</v>
      </c>
      <c r="DE17" s="8">
        <f t="shared" si="129"/>
        <v>0</v>
      </c>
      <c r="DF17" s="8">
        <f t="shared" si="130"/>
        <v>0</v>
      </c>
      <c r="DG17" s="8">
        <f t="shared" si="131"/>
        <v>0</v>
      </c>
      <c r="DH17" s="8">
        <f t="shared" si="132"/>
        <v>0</v>
      </c>
      <c r="DI17" s="8">
        <f t="shared" si="133"/>
        <v>0</v>
      </c>
      <c r="DJ17" s="8">
        <f t="shared" si="134"/>
        <v>0</v>
      </c>
      <c r="DK17" s="34">
        <f t="shared" si="135"/>
        <v>0</v>
      </c>
      <c r="DL17" s="8">
        <f t="shared" si="136"/>
        <v>0</v>
      </c>
      <c r="DM17" s="8">
        <f t="shared" si="136"/>
        <v>0</v>
      </c>
      <c r="DN17" s="8">
        <f>IF(CY11+DC11+DE17+DI17&gt;=$AK$5*2,$AK$5*2,CY11+DC11+DE17+DI17)</f>
        <v>0</v>
      </c>
      <c r="DO17" s="8">
        <f>(CZ11+DD11+DF17+DJ17)</f>
        <v>0</v>
      </c>
      <c r="DP17" s="8">
        <f t="shared" ref="DP17" ca="1" si="147">(DP16/12)</f>
        <v>-2569.7844423651904</v>
      </c>
      <c r="DQ17" s="8">
        <f t="shared" ref="DQ17" ca="1" si="148">(DQ16/12)</f>
        <v>-183.55603159751357</v>
      </c>
      <c r="DR17" s="8">
        <f t="shared" ref="DR17" si="149">(DR16/12)</f>
        <v>301.13100000000003</v>
      </c>
      <c r="DS17" s="8">
        <f t="shared" ref="DS17" ca="1" si="150">(DS16/12)</f>
        <v>16187.659185788654</v>
      </c>
      <c r="DT17" s="11" t="s">
        <v>0</v>
      </c>
      <c r="DU17" s="11" t="s">
        <v>0</v>
      </c>
      <c r="DV17" s="11" t="s">
        <v>0</v>
      </c>
      <c r="DW17" s="19" t="s">
        <v>62</v>
      </c>
      <c r="DX17" s="8">
        <v>1035.5999999999999</v>
      </c>
      <c r="DY17" s="7">
        <v>15</v>
      </c>
      <c r="DZ17" s="20">
        <v>7.5</v>
      </c>
      <c r="EA17" s="21">
        <v>0.17</v>
      </c>
      <c r="EB17" s="53"/>
    </row>
    <row r="18" spans="1:132" ht="39.950000000000003" customHeight="1" x14ac:dyDescent="0.25">
      <c r="A18" s="30">
        <f t="shared" si="110"/>
        <v>0</v>
      </c>
      <c r="B18" s="31" t="s">
        <v>15</v>
      </c>
      <c r="C18" s="55">
        <v>0</v>
      </c>
      <c r="D18" s="56">
        <v>0</v>
      </c>
      <c r="E18" s="56">
        <v>1</v>
      </c>
      <c r="F18" s="57">
        <v>26</v>
      </c>
      <c r="G18" s="57">
        <v>104</v>
      </c>
      <c r="H18" s="57">
        <v>0</v>
      </c>
      <c r="I18" s="58" t="s">
        <v>1</v>
      </c>
      <c r="J18" s="55">
        <v>0</v>
      </c>
      <c r="K18" s="55">
        <v>0</v>
      </c>
      <c r="L18" s="55">
        <v>0</v>
      </c>
      <c r="M18" s="55">
        <v>0</v>
      </c>
      <c r="N18" s="59" t="s">
        <v>1</v>
      </c>
      <c r="O18" s="59" t="s">
        <v>1</v>
      </c>
      <c r="P18" s="59" t="s">
        <v>1</v>
      </c>
      <c r="Q18" s="60">
        <v>0</v>
      </c>
      <c r="R18" s="32">
        <f t="shared" ca="1" si="111"/>
        <v>15287.239375433532</v>
      </c>
      <c r="S18" s="32">
        <f ca="1">(BC15+BE15+AZ11+BO10)</f>
        <v>1554.98</v>
      </c>
      <c r="T18" s="61">
        <f t="shared" ca="1" si="137"/>
        <v>16842.219375433531</v>
      </c>
      <c r="U18" s="1" t="s">
        <v>7</v>
      </c>
      <c r="V18" s="2">
        <f t="shared" ca="1" si="91"/>
        <v>2202.6723791701629</v>
      </c>
      <c r="W18" s="35">
        <f ca="1">COUNTIF(X1,"Ocak")*(DQ4)*-1
+COUNTIF(X1,"Şubat")*(DQ5)*-1
+COUNTIF(X1,"Mart")*(DQ6)*-1
+COUNTIF(X1,"Nisan")*(DQ7)*-1
+COUNTIF(X1,"Mayıs")*(DQ8)*-1
+COUNTIF(X1,"Haziran")*(DQ9)*-1
+COUNTIF(X1,"Temmuz")*(DQ10)*-1
+COUNTIF(X1,"Ağustos")*(DQ11)*-1
+COUNTIF(X1,"Eylül")*(DQ12)*-1
+COUNTIF(X1,"Ekim")*(DQ13)*-1
+COUNTIF(X1,"Kasım")*(DQ14)*-1
+COUNTIF(X1,"Aralık")*(DQ15)*-1
+COUNTIF(X1,"Yıllık Toplam")*(DQ16)*-1
+COUNTIF(X1,"Yıllık Ortalama")*(DQ17)*-1</f>
        <v>2202.6723791701629</v>
      </c>
      <c r="X18" s="82"/>
      <c r="Y18" s="70"/>
      <c r="Z18" s="17" t="s">
        <v>48</v>
      </c>
      <c r="AA18" s="18" t="s">
        <v>73</v>
      </c>
      <c r="AB18" s="71"/>
      <c r="AC18" s="72"/>
      <c r="AD18" s="74"/>
      <c r="AE18" s="73"/>
      <c r="AF18" s="11" t="s">
        <v>0</v>
      </c>
      <c r="AG18" s="11" t="s">
        <v>0</v>
      </c>
      <c r="AH18" s="11" t="s">
        <v>0</v>
      </c>
      <c r="AI18" s="7">
        <f>(1500)</f>
        <v>1500</v>
      </c>
      <c r="AJ18" s="7" t="s">
        <v>0</v>
      </c>
      <c r="AK18" s="8">
        <f>($AI$24*$AI$18)</f>
        <v>353.16749999999996</v>
      </c>
      <c r="AL18" s="8">
        <f>($AJ$24*$AI$18)</f>
        <v>500.40449999999998</v>
      </c>
      <c r="AM18" s="9">
        <f t="shared" si="138"/>
        <v>44682</v>
      </c>
      <c r="AN18" s="9">
        <f t="shared" si="100"/>
        <v>44712</v>
      </c>
      <c r="AO18" s="10">
        <f t="shared" si="101"/>
        <v>31</v>
      </c>
      <c r="AP18" s="10">
        <f t="shared" si="112"/>
        <v>26</v>
      </c>
      <c r="AQ18" s="10">
        <f t="shared" si="113"/>
        <v>5</v>
      </c>
      <c r="AR18" s="11" t="s">
        <v>0</v>
      </c>
      <c r="AS18" s="12">
        <f t="shared" si="102"/>
        <v>364.40688026020587</v>
      </c>
      <c r="AT18" s="12">
        <f t="shared" si="103"/>
        <v>306.98</v>
      </c>
      <c r="AU18" s="12">
        <f t="shared" si="104"/>
        <v>364.40688026020587</v>
      </c>
      <c r="AV18" s="12">
        <f t="shared" si="105"/>
        <v>306.98</v>
      </c>
      <c r="AW18" s="12">
        <f t="shared" si="106"/>
        <v>364.40688026020587</v>
      </c>
      <c r="AX18" s="12">
        <f t="shared" si="107"/>
        <v>306.98</v>
      </c>
      <c r="AY18" s="11" t="s">
        <v>0</v>
      </c>
      <c r="AZ18" s="5">
        <f t="shared" si="108"/>
        <v>11296.613288066383</v>
      </c>
      <c r="BA18" s="8">
        <f t="shared" si="114"/>
        <v>9516.380000000001</v>
      </c>
      <c r="BB18" s="8">
        <f t="shared" ref="BB18:BB23" si="151">(BC18/CL22)</f>
        <v>0</v>
      </c>
      <c r="BC18" s="8">
        <f t="shared" si="88"/>
        <v>0</v>
      </c>
      <c r="BD18" s="8">
        <f t="shared" ref="BD18:BD23" si="152">(BE18/CL22)</f>
        <v>2364.7630013888725</v>
      </c>
      <c r="BE18" s="8">
        <f t="shared" si="90"/>
        <v>1992.1</v>
      </c>
      <c r="BG18" s="8">
        <f ca="1">(BI18+BK18*-1+BH11*-1+BI11*-1+BL11*-1)</f>
        <v>1421.5576404000001</v>
      </c>
      <c r="BH18" s="8">
        <f>(48*F25)</f>
        <v>1248</v>
      </c>
      <c r="BI18" s="8">
        <f t="shared" si="144"/>
        <v>1248</v>
      </c>
      <c r="BJ18" s="8">
        <f ca="1">ROUND((BI18+BK18*-1+BH11*-1+BI11*-1+BL11*-1),2)</f>
        <v>1421.56</v>
      </c>
      <c r="BK18" s="8">
        <f t="shared" ca="1" si="145"/>
        <v>-10.7896404</v>
      </c>
      <c r="BL18" s="8">
        <f>($AL$9*F25)</f>
        <v>336.44</v>
      </c>
      <c r="BM18" s="8">
        <f t="shared" ca="1" si="146"/>
        <v>1085.1199999999999</v>
      </c>
      <c r="BN18" s="33">
        <v>0.35</v>
      </c>
      <c r="BO18" s="8">
        <f>$BP$17</f>
        <v>250000</v>
      </c>
      <c r="BP18" s="8">
        <v>880000</v>
      </c>
      <c r="BQ18" s="8">
        <f>(BP17-BO17)*BN17+BQ17</f>
        <v>61000</v>
      </c>
      <c r="BR18" s="8">
        <f>(0)</f>
        <v>0</v>
      </c>
      <c r="BS18" s="8">
        <f t="shared" si="115"/>
        <v>4253.3999999999996</v>
      </c>
      <c r="BT18" s="8">
        <f>SUM(BS$15:$BS18)</f>
        <v>17013.599999999999</v>
      </c>
      <c r="BU18" s="23">
        <f t="shared" si="116"/>
        <v>0.15</v>
      </c>
      <c r="BV18" s="24">
        <f t="shared" si="139"/>
        <v>0</v>
      </c>
      <c r="BW18" s="26">
        <f t="shared" si="117"/>
        <v>0.2</v>
      </c>
      <c r="BX18" s="8">
        <f t="shared" si="118"/>
        <v>1100.07</v>
      </c>
      <c r="BY18" s="26">
        <f t="shared" si="119"/>
        <v>0.80240999999999996</v>
      </c>
      <c r="BZ18" s="8">
        <f>AZ3</f>
        <v>6471</v>
      </c>
      <c r="CA18" s="8">
        <f>AZ3+BC3+BF3+BG3</f>
        <v>5500.3499999999995</v>
      </c>
      <c r="CB18" s="8" t="s">
        <v>0</v>
      </c>
      <c r="CC18" s="8">
        <f ca="1">(AZ23+AX7+BB21+BD21+BG17+CB4+CH4+CK4+CN4+CO24+CQ24+DL24+AM9)</f>
        <v>24799.015671168861</v>
      </c>
      <c r="CD18" s="8">
        <f ca="1">(AZ23+AX7+BB21+BD21+BG17+CB4+CH4+CK4+CN4+CO24+CQ24+DL24+AM9)</f>
        <v>24799.015671168861</v>
      </c>
      <c r="CE18" s="8">
        <f t="shared" ca="1" si="120"/>
        <v>-188.22452894417168</v>
      </c>
      <c r="CF18" s="8">
        <f>(BA3)</f>
        <v>6471</v>
      </c>
      <c r="CG18" s="8">
        <f t="shared" si="121"/>
        <v>-49.114890000000003</v>
      </c>
      <c r="CH18" s="8">
        <f t="shared" ca="1" si="122"/>
        <v>20767.062802475673</v>
      </c>
      <c r="CI18" s="8">
        <f t="shared" ca="1" si="123"/>
        <v>4257.2478745075132</v>
      </c>
      <c r="CJ18" s="8">
        <f t="shared" ca="1" si="124"/>
        <v>207.67062802475675</v>
      </c>
      <c r="CK18" s="8">
        <f t="shared" ca="1" si="125"/>
        <v>-1038.3531401237838</v>
      </c>
      <c r="CL18" s="8">
        <f t="shared" ca="1" si="126"/>
        <v>24193.628164884158</v>
      </c>
      <c r="CQ18" s="26">
        <f>(0)</f>
        <v>0</v>
      </c>
      <c r="CR18" s="8">
        <f>(0)</f>
        <v>0</v>
      </c>
      <c r="CS18" s="8">
        <f>(0)</f>
        <v>0</v>
      </c>
      <c r="CT18" s="8">
        <f t="shared" si="97"/>
        <v>0</v>
      </c>
      <c r="CU18" s="26">
        <f t="shared" si="109"/>
        <v>0.84240999999999999</v>
      </c>
      <c r="CV18" s="26">
        <f t="shared" si="98"/>
        <v>0.84240999999999999</v>
      </c>
      <c r="CW18" s="26">
        <f t="shared" si="99"/>
        <v>0.99241000000000001</v>
      </c>
      <c r="DC18" s="8">
        <f t="shared" si="127"/>
        <v>0</v>
      </c>
      <c r="DD18" s="8">
        <f t="shared" si="128"/>
        <v>0</v>
      </c>
      <c r="DE18" s="8">
        <f t="shared" si="129"/>
        <v>0</v>
      </c>
      <c r="DF18" s="8">
        <f t="shared" si="130"/>
        <v>0</v>
      </c>
      <c r="DG18" s="8">
        <f t="shared" si="131"/>
        <v>0</v>
      </c>
      <c r="DH18" s="8">
        <f t="shared" si="132"/>
        <v>0</v>
      </c>
      <c r="DI18" s="8">
        <f t="shared" si="133"/>
        <v>0</v>
      </c>
      <c r="DJ18" s="8">
        <f t="shared" si="134"/>
        <v>0</v>
      </c>
      <c r="DK18" s="34">
        <f t="shared" si="135"/>
        <v>0</v>
      </c>
      <c r="DL18" s="8">
        <f t="shared" si="136"/>
        <v>0</v>
      </c>
      <c r="DM18" s="8">
        <f t="shared" si="136"/>
        <v>0</v>
      </c>
      <c r="DN18" s="8">
        <f>IF(CY12+DC12+DE18+DI18&gt;=$AK$5*2,$AK$5*2,CY12+DC12+DE18+DI18)</f>
        <v>0</v>
      </c>
      <c r="DO18" s="8">
        <f>(CZ12+DD12+DF18+DJ18)</f>
        <v>0</v>
      </c>
      <c r="DW18" s="19" t="s">
        <v>10</v>
      </c>
      <c r="DX18" s="8">
        <v>2416.4</v>
      </c>
      <c r="DY18" s="7">
        <v>16</v>
      </c>
      <c r="DZ18" s="20">
        <v>8</v>
      </c>
      <c r="EA18" s="21">
        <v>0.18</v>
      </c>
      <c r="EB18" s="53"/>
    </row>
    <row r="19" spans="1:132" ht="39.950000000000003" customHeight="1" x14ac:dyDescent="0.25">
      <c r="A19" s="30">
        <f t="shared" si="110"/>
        <v>0</v>
      </c>
      <c r="B19" s="31" t="s">
        <v>16</v>
      </c>
      <c r="C19" s="55">
        <v>0</v>
      </c>
      <c r="D19" s="56">
        <v>0</v>
      </c>
      <c r="E19" s="56">
        <v>4</v>
      </c>
      <c r="F19" s="57">
        <v>26</v>
      </c>
      <c r="G19" s="57">
        <v>104</v>
      </c>
      <c r="H19" s="57">
        <v>0</v>
      </c>
      <c r="I19" s="58" t="s">
        <v>1</v>
      </c>
      <c r="J19" s="55">
        <v>0</v>
      </c>
      <c r="K19" s="55">
        <v>0</v>
      </c>
      <c r="L19" s="55">
        <v>0</v>
      </c>
      <c r="M19" s="55">
        <v>0</v>
      </c>
      <c r="N19" s="59" t="s">
        <v>1</v>
      </c>
      <c r="O19" s="59" t="s">
        <v>1</v>
      </c>
      <c r="P19" s="59" t="s">
        <v>1</v>
      </c>
      <c r="Q19" s="60">
        <v>0</v>
      </c>
      <c r="R19" s="32">
        <f t="shared" ca="1" si="111"/>
        <v>10068.579375433532</v>
      </c>
      <c r="S19" s="32">
        <f ca="1">(BC16+BE16+AT23+BO11)</f>
        <v>2475.92</v>
      </c>
      <c r="T19" s="61">
        <f t="shared" ca="1" si="137"/>
        <v>12544.499375433532</v>
      </c>
      <c r="U19" s="1" t="s">
        <v>35</v>
      </c>
      <c r="V19" s="2">
        <f t="shared" si="91"/>
        <v>0</v>
      </c>
      <c r="W19" s="35">
        <f>COUNTIF(X1,"Ocak")*(CT13)*-1
+COUNTIF(X1,"Şubat")*(CT14)*-1
+COUNTIF(X1,"Mart")*(CT15)*-1
+COUNTIF(X1,"Nisan")*(CT16)*-1
+COUNTIF(X1,"Mayıs")*(CT17)*-1
+COUNTIF(X1,"Haziran")*(CT18)*-1
+COUNTIF(X1,"Temmuz")*(CK22)*-1
+COUNTIF(X1,"Ağustos")*(CK23)*-1
+COUNTIF(X1,"Eylül")*(CK24)*-1
+COUNTIF(X1,"Ekim")*(CK25)*-1
+COUNTIF(X1,"Kasım")*(CK26)*-1
+COUNTIF(X1,"Aralık")*(CK27)*-1
+COUNTIF(X1,"Yıllık Toplam")*(CK28)*-1
+COUNTIF(X1,"Yıllık Ortalama")*(CK29)*-1</f>
        <v>0</v>
      </c>
      <c r="X19" s="82"/>
      <c r="Y19" s="70"/>
      <c r="Z19" s="37" t="s">
        <v>0</v>
      </c>
      <c r="AA19" s="22" t="s">
        <v>0</v>
      </c>
      <c r="AB19" s="71"/>
      <c r="AC19" s="72"/>
      <c r="AD19" s="74"/>
      <c r="AE19" s="73"/>
      <c r="AF19" s="11" t="s">
        <v>0</v>
      </c>
      <c r="AG19" s="11" t="s">
        <v>0</v>
      </c>
      <c r="AH19" s="11" t="s">
        <v>0</v>
      </c>
      <c r="AI19" s="7">
        <f>(8000)</f>
        <v>8000</v>
      </c>
      <c r="AJ19" s="7" t="s">
        <v>0</v>
      </c>
      <c r="AK19" s="8">
        <f>($AI$24*$AI$19)</f>
        <v>1883.56</v>
      </c>
      <c r="AL19" s="8">
        <f>($AJ$24*$AI$19)</f>
        <v>2668.8240000000001</v>
      </c>
      <c r="AM19" s="9">
        <f t="shared" si="138"/>
        <v>44713</v>
      </c>
      <c r="AN19" s="9">
        <f t="shared" si="100"/>
        <v>44742</v>
      </c>
      <c r="AO19" s="10">
        <f t="shared" si="101"/>
        <v>30</v>
      </c>
      <c r="AP19" s="10">
        <f t="shared" si="112"/>
        <v>26</v>
      </c>
      <c r="AQ19" s="10">
        <f t="shared" si="113"/>
        <v>4</v>
      </c>
      <c r="AR19" s="11" t="s">
        <v>0</v>
      </c>
      <c r="AS19" s="12">
        <f t="shared" si="102"/>
        <v>364.40688026020587</v>
      </c>
      <c r="AT19" s="12">
        <f t="shared" si="103"/>
        <v>306.98</v>
      </c>
      <c r="AU19" s="12">
        <f t="shared" si="104"/>
        <v>364.40688026020587</v>
      </c>
      <c r="AV19" s="12">
        <f t="shared" si="105"/>
        <v>306.98</v>
      </c>
      <c r="AW19" s="12">
        <f t="shared" si="106"/>
        <v>364.40688026020587</v>
      </c>
      <c r="AX19" s="12">
        <f t="shared" si="107"/>
        <v>306.98</v>
      </c>
      <c r="AY19" s="11" t="s">
        <v>0</v>
      </c>
      <c r="AZ19" s="5">
        <f t="shared" si="108"/>
        <v>10932.206407806178</v>
      </c>
      <c r="BA19" s="8">
        <f t="shared" si="114"/>
        <v>9209.4000000000015</v>
      </c>
      <c r="BB19" s="8">
        <f t="shared" si="151"/>
        <v>0</v>
      </c>
      <c r="BC19" s="8">
        <f t="shared" si="88"/>
        <v>0</v>
      </c>
      <c r="BD19" s="8">
        <f t="shared" si="152"/>
        <v>429.95690934343133</v>
      </c>
      <c r="BE19" s="8">
        <f t="shared" si="90"/>
        <v>362.2</v>
      </c>
      <c r="BG19" s="8">
        <f ca="1">(BI19+BK19*-1+BH12*-1+BI12*-1+BL12*-1)</f>
        <v>1476.2320857</v>
      </c>
      <c r="BH19" s="8">
        <f>(48*F26)</f>
        <v>1296</v>
      </c>
      <c r="BI19" s="8">
        <f t="shared" si="144"/>
        <v>1296</v>
      </c>
      <c r="BJ19" s="8">
        <f ca="1">ROUND((BI19+BK19*-1+BH12*-1+BI12*-1+BL12*-1),2)</f>
        <v>1476.23</v>
      </c>
      <c r="BK19" s="8">
        <f t="shared" ca="1" si="145"/>
        <v>-11.204585700000001</v>
      </c>
      <c r="BL19" s="8">
        <f>($AL$9*F26)</f>
        <v>349.38</v>
      </c>
      <c r="BM19" s="8">
        <f t="shared" ca="1" si="146"/>
        <v>1126.8499999999999</v>
      </c>
      <c r="BN19" s="33">
        <v>0.4</v>
      </c>
      <c r="BO19" s="38">
        <f>$BP$18</f>
        <v>880000</v>
      </c>
      <c r="BP19" s="8">
        <v>999999999</v>
      </c>
      <c r="BQ19" s="8">
        <f>(BP18-BO18)*BN18+BQ18</f>
        <v>281500</v>
      </c>
      <c r="BR19" s="8">
        <f>(0)</f>
        <v>0</v>
      </c>
      <c r="BS19" s="8">
        <f t="shared" si="115"/>
        <v>4253.3999999999996</v>
      </c>
      <c r="BT19" s="8">
        <f>SUM(BS$15:$BS19)</f>
        <v>21267</v>
      </c>
      <c r="BU19" s="23">
        <f t="shared" si="116"/>
        <v>0.15</v>
      </c>
      <c r="BV19" s="24">
        <f t="shared" si="139"/>
        <v>0</v>
      </c>
      <c r="BW19" s="26">
        <f t="shared" si="117"/>
        <v>0.2</v>
      </c>
      <c r="BX19" s="8">
        <f t="shared" si="118"/>
        <v>1100.07</v>
      </c>
      <c r="BY19" s="26">
        <f t="shared" si="119"/>
        <v>0.80240999999999996</v>
      </c>
      <c r="BZ19" s="8">
        <f>AZ4</f>
        <v>6471</v>
      </c>
      <c r="CA19" s="8">
        <f>AZ4+BC4+BF4+BG4</f>
        <v>5500.3499999999995</v>
      </c>
      <c r="CB19" s="8" t="s">
        <v>0</v>
      </c>
      <c r="CC19" s="8">
        <f ca="1">(AZ24+AX8+BB22+BD22+BG18+CB5+CH5+CK5+CN5+CO25+CQ25+DL25+AM10)</f>
        <v>15984.899029628523</v>
      </c>
      <c r="CD19" s="8">
        <f ca="1">(AZ24+AX8+BB22+BD22+BG18+CB5+CH5+CK5+CN5+CO25+CQ25+DL25+AM10)</f>
        <v>15984.899029628523</v>
      </c>
      <c r="CE19" s="8">
        <f t="shared" ca="1" si="120"/>
        <v>-121.3253836348805</v>
      </c>
      <c r="CF19" s="8">
        <f>(BA4)</f>
        <v>6471</v>
      </c>
      <c r="CG19" s="8">
        <f t="shared" si="121"/>
        <v>-49.114890000000003</v>
      </c>
      <c r="CH19" s="8">
        <f t="shared" ca="1" si="122"/>
        <v>15665.36647883279</v>
      </c>
      <c r="CI19" s="8">
        <f t="shared" ca="1" si="123"/>
        <v>3211.4001281607216</v>
      </c>
      <c r="CJ19" s="8">
        <f t="shared" ca="1" si="124"/>
        <v>156.65366478832789</v>
      </c>
      <c r="CK19" s="8">
        <f t="shared" ca="1" si="125"/>
        <v>-783.26832394163955</v>
      </c>
      <c r="CL19" s="8">
        <f t="shared" ca="1" si="126"/>
        <v>18250.151947840201</v>
      </c>
      <c r="CO19" s="8">
        <f>(CP19/CU17)</f>
        <v>0</v>
      </c>
      <c r="CP19" s="8">
        <f t="shared" ref="CP19:CP26" si="153">COUNTIFS($A$1,"Uzakyol Kaptan")*(1035.6/30*H19)
+COUNTIFS($A$1,"Uzakyol Baş Mühendis")*(1035.6/30*H19)
+COUNTIFS($A$1,"3000 KW Baş Makinist")*(1035.6/30*H19)
+COUNTIFS($A$1,"Kaptan")*(1035.6/30*H19)
+COUNTIFS($A$1,"Baş Makinist")*(1035.6/30*H19)</f>
        <v>0</v>
      </c>
      <c r="CQ19" s="8">
        <f>COUNTIF(I19,"Var")*($AK$12)</f>
        <v>0</v>
      </c>
      <c r="CR19" s="8">
        <f>COUNTIF(I19,"Var")*((CQ19+(CQ19*0.00759*-1)+((CQ19-CS19)*0.14*-1)+((CQ19-CS19)*0.01*-1)+(CQ19+((CQ19-CS19)*0.14*-1)+((CQ19-CS19)*0.01*-1))*CQ17*-1))</f>
        <v>0</v>
      </c>
      <c r="CS19" s="8">
        <f>COUNTIF(I19,"Var")*($AK$1)</f>
        <v>0</v>
      </c>
      <c r="CT19" s="8">
        <f>(0)</f>
        <v>0</v>
      </c>
      <c r="CU19" s="8">
        <f>($AK$13*J19)</f>
        <v>0</v>
      </c>
      <c r="CV19" s="8">
        <f>(CU19+(CU19*0.00759*-1)+((CU19-CW19)*0.14*-1)+((CU19-CW19)*0.01*-1)+(CU19+((CU19-CW19)*0.14*-1)+((CU19-CW19)*0.01*-1))*CQ17*-1)</f>
        <v>0</v>
      </c>
      <c r="CW19" s="8">
        <f>($AK$2*J19)</f>
        <v>0</v>
      </c>
      <c r="CX19" s="8">
        <f>($AK$5*J19)</f>
        <v>0</v>
      </c>
      <c r="CY19" s="8">
        <f>($AK$14*K19)</f>
        <v>0</v>
      </c>
      <c r="CZ19" s="8">
        <f>(CY19+(CY19*0.00759*-1)+((CY19-DA19)*0.14*-1)+((CY19-DA19)*0.01*-1)+(CY19+((CY19-DA19)*0.14*-1)+((CY19-DA19)*0.01*-1))*CQ17*-1)</f>
        <v>0</v>
      </c>
      <c r="DA19" s="8">
        <f>($AK$3*K19)</f>
        <v>0</v>
      </c>
      <c r="DB19" s="8">
        <f>($AK$6*K19)</f>
        <v>0</v>
      </c>
      <c r="DC19" s="8">
        <f t="shared" si="127"/>
        <v>0</v>
      </c>
      <c r="DD19" s="8">
        <f t="shared" si="128"/>
        <v>0</v>
      </c>
      <c r="DE19" s="8">
        <f t="shared" si="129"/>
        <v>0</v>
      </c>
      <c r="DF19" s="8">
        <f t="shared" si="130"/>
        <v>0</v>
      </c>
      <c r="DG19" s="8">
        <f t="shared" si="131"/>
        <v>0</v>
      </c>
      <c r="DH19" s="8">
        <f t="shared" si="132"/>
        <v>0</v>
      </c>
      <c r="DI19" s="8">
        <f t="shared" si="133"/>
        <v>0</v>
      </c>
      <c r="DJ19" s="8">
        <f t="shared" si="134"/>
        <v>0</v>
      </c>
      <c r="DK19" s="34">
        <f t="shared" si="135"/>
        <v>0</v>
      </c>
      <c r="DL19" s="8">
        <f t="shared" ref="DL19:DM26" si="154">(CU19+CY19+DC19+DG19)</f>
        <v>0</v>
      </c>
      <c r="DM19" s="8">
        <f t="shared" si="154"/>
        <v>0</v>
      </c>
      <c r="DN19" s="8">
        <f>IF(CW19+DA19+DE19+DI19&gt;=$AK$5*2,$AK$5*2,CW19+DA19+DE19+DI19)</f>
        <v>0</v>
      </c>
      <c r="DO19" s="8">
        <f t="shared" ref="DO19:DO26" si="155">(CX19+DB19+DF19+DJ19)</f>
        <v>0</v>
      </c>
      <c r="DW19" s="19" t="s">
        <v>37</v>
      </c>
      <c r="DX19" s="8">
        <v>3452</v>
      </c>
      <c r="DY19" s="7">
        <v>17</v>
      </c>
      <c r="DZ19" s="20">
        <v>8.5</v>
      </c>
      <c r="EA19" s="21">
        <v>0.19</v>
      </c>
      <c r="EB19" s="53"/>
    </row>
    <row r="20" spans="1:132" ht="39.950000000000003" customHeight="1" x14ac:dyDescent="0.25">
      <c r="A20" s="30">
        <f t="shared" si="110"/>
        <v>0</v>
      </c>
      <c r="B20" s="31" t="s">
        <v>17</v>
      </c>
      <c r="C20" s="55">
        <v>0</v>
      </c>
      <c r="D20" s="56">
        <v>0</v>
      </c>
      <c r="E20" s="56">
        <v>0</v>
      </c>
      <c r="F20" s="57">
        <v>26</v>
      </c>
      <c r="G20" s="57">
        <v>104</v>
      </c>
      <c r="H20" s="57">
        <v>0</v>
      </c>
      <c r="I20" s="58" t="s">
        <v>1</v>
      </c>
      <c r="J20" s="55">
        <v>0</v>
      </c>
      <c r="K20" s="55">
        <v>0</v>
      </c>
      <c r="L20" s="55">
        <v>0</v>
      </c>
      <c r="M20" s="55">
        <v>0</v>
      </c>
      <c r="N20" s="59" t="s">
        <v>1</v>
      </c>
      <c r="O20" s="59" t="s">
        <v>1</v>
      </c>
      <c r="P20" s="59" t="s">
        <v>1</v>
      </c>
      <c r="Q20" s="60">
        <v>0</v>
      </c>
      <c r="R20" s="32">
        <f t="shared" ca="1" si="111"/>
        <v>15287.239375433532</v>
      </c>
      <c r="S20" s="32">
        <f ca="1">(BC17+BE17+AT24+BO12)</f>
        <v>1248</v>
      </c>
      <c r="T20" s="61">
        <f t="shared" ca="1" si="137"/>
        <v>16535.239375433532</v>
      </c>
      <c r="U20" s="1" t="s">
        <v>68</v>
      </c>
      <c r="V20" s="2">
        <f t="shared" ca="1" si="91"/>
        <v>269004.98662332399</v>
      </c>
      <c r="W20" s="35">
        <f ca="1">COUNTIF(X1,"Ocak")*(CL15)
+COUNTIF(X1,"Şubat")*(CL16)
+COUNTIF(X1,"Mart")*(CL17)
+COUNTIF(X1,"Nisan")*(CL18)
+COUNTIF(X1,"Mayıs")*(CL19)
+COUNTIF(X1,"Haziran")*(CL20)
+COUNTIF(X1,"Temmuz")*(CL21)
+COUNTIF(X1,"Ağustos")*(CA23)
+COUNTIF(X1,"Eylül")*(CA24)
+COUNTIF(X1,"Ekim")*(CA25)
+COUNTIF(X1,"Kasım")*(CA26)
+COUNTIF(X1,"Aralık")*(CA27)
+COUNTIF(X1,"Yıllık Toplam")*(CA28)
+COUNTIF(X1,"Yıllık Ortalama")*(CF23)</f>
        <v>269004.98662332399</v>
      </c>
      <c r="X20" s="82"/>
      <c r="Y20" s="70"/>
      <c r="Z20" s="37" t="s">
        <v>0</v>
      </c>
      <c r="AA20" s="22" t="s">
        <v>0</v>
      </c>
      <c r="AB20" s="71"/>
      <c r="AC20" s="72"/>
      <c r="AD20" s="74"/>
      <c r="AE20" s="73"/>
      <c r="AF20" s="11" t="s">
        <v>0</v>
      </c>
      <c r="AG20" s="11" t="s">
        <v>0</v>
      </c>
      <c r="AH20" s="11" t="s">
        <v>0</v>
      </c>
      <c r="AI20" s="7">
        <f>(500)</f>
        <v>500</v>
      </c>
      <c r="AJ20" s="7" t="s">
        <v>0</v>
      </c>
      <c r="AK20" s="8">
        <f>($AI$24*$AI$20)</f>
        <v>117.7225</v>
      </c>
      <c r="AL20" s="8">
        <f>($AJ$24*$AI$20)</f>
        <v>166.8015</v>
      </c>
      <c r="AM20" s="9">
        <f t="shared" si="138"/>
        <v>44743</v>
      </c>
      <c r="AN20" s="9">
        <f t="shared" si="100"/>
        <v>44773</v>
      </c>
      <c r="AO20" s="10">
        <f t="shared" si="101"/>
        <v>31</v>
      </c>
      <c r="AP20" s="10">
        <f t="shared" si="112"/>
        <v>26</v>
      </c>
      <c r="AQ20" s="10">
        <f t="shared" si="113"/>
        <v>5</v>
      </c>
      <c r="AR20" s="11" t="s">
        <v>0</v>
      </c>
      <c r="AS20" s="12">
        <f>(AT20/CL22)</f>
        <v>429.95690934343133</v>
      </c>
      <c r="AT20"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U20" s="12">
        <f>(AV20/CL22)</f>
        <v>429.95690934343133</v>
      </c>
      <c r="AV20"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W20" s="12">
        <f>(AX20/CL22)</f>
        <v>429.95690934343133</v>
      </c>
      <c r="AX20" s="12">
        <f>COUNTIF($A$1,"Uzakyol Kaptan")*($AH$1+AW12)
+COUNTIF($A$1,"Uzakyol Baş Mühendis")*($AH$2+AW12)
+COUNTIF($A$1,"3000 KW Baş Makinist")*($AH$3+AW12)
+COUNTIF($A$1,"Kaptan")*($AH$4+AW12)
+COUNTIF($A$1,"Baş Makinist")*($AH$5+AW12)
+COUNTIF($A$1,"1S-Güverte Personeli")*($AH$6+AW12)
+COUNTIF($A$1,"1S-Makine Personeli")*($AH$7+AW12)
+COUNTIF($A$1,"2S-Güverte Personeli")*($AH$8+AW12)
+COUNTIF($A$1,"2S-Makine Personeli")*($AH$9+AW12)</f>
        <v>362.2</v>
      </c>
      <c r="AY20" s="11" t="s">
        <v>0</v>
      </c>
      <c r="AZ20" s="5">
        <f t="shared" ref="AZ20:AZ25" si="156">(BA20/CL22)</f>
        <v>13328.66418964637</v>
      </c>
      <c r="BA20" s="8">
        <f t="shared" si="114"/>
        <v>11228.199999999999</v>
      </c>
      <c r="BB20" s="8">
        <f t="shared" si="151"/>
        <v>0</v>
      </c>
      <c r="BC20" s="8">
        <f t="shared" si="88"/>
        <v>0</v>
      </c>
      <c r="BD20" s="8">
        <f t="shared" si="152"/>
        <v>0</v>
      </c>
      <c r="BE20" s="8">
        <f t="shared" si="90"/>
        <v>0</v>
      </c>
      <c r="BG20" s="8">
        <f t="shared" ref="BG20:BL20" ca="1" si="157">(AY8+AY9+AY10+AY11+AS23+AS24+AS25+AS26+AS27+BG17+BG18+BG19)</f>
        <v>16422.631761700002</v>
      </c>
      <c r="BH20" s="8">
        <f t="shared" si="157"/>
        <v>14374</v>
      </c>
      <c r="BI20" s="8">
        <f t="shared" si="157"/>
        <v>14374</v>
      </c>
      <c r="BJ20" s="8">
        <f t="shared" ca="1" si="157"/>
        <v>16422.629999999997</v>
      </c>
      <c r="BK20" s="8">
        <f t="shared" ca="1" si="157"/>
        <v>-124.64776169999998</v>
      </c>
      <c r="BL20" s="8">
        <f t="shared" si="157"/>
        <v>3596.07</v>
      </c>
      <c r="BM20" s="8">
        <f ca="1">(BE8+BE9+BE10+BE11+BM12+BM13+BM14+BM15+BM16+BM17+BM18+BM19)</f>
        <v>12826.559999999996</v>
      </c>
      <c r="BN20" s="8" t="s">
        <v>0</v>
      </c>
      <c r="BO20" s="8" t="s">
        <v>0</v>
      </c>
      <c r="BP20" s="8" t="s">
        <v>0</v>
      </c>
      <c r="BQ20" s="8" t="s">
        <v>0</v>
      </c>
      <c r="BR20" s="8">
        <f>(0)</f>
        <v>0</v>
      </c>
      <c r="BS20" s="8">
        <f t="shared" si="115"/>
        <v>4253.3999999999996</v>
      </c>
      <c r="BT20" s="8">
        <f>SUM(BS$15:$BS20)</f>
        <v>25520.400000000001</v>
      </c>
      <c r="BU20" s="23">
        <f t="shared" si="116"/>
        <v>0.15</v>
      </c>
      <c r="BV20" s="24">
        <f t="shared" si="139"/>
        <v>0</v>
      </c>
      <c r="BW20" s="26">
        <f t="shared" si="117"/>
        <v>0.2</v>
      </c>
      <c r="BX20" s="8">
        <f t="shared" si="118"/>
        <v>1100.07</v>
      </c>
      <c r="BY20" s="26">
        <f t="shared" si="119"/>
        <v>0.80240999999999996</v>
      </c>
      <c r="BZ20" s="8">
        <f>AZ5</f>
        <v>6471</v>
      </c>
      <c r="CA20" s="8">
        <f>AZ5+BC5+BF5+BG5</f>
        <v>5500.3499999999995</v>
      </c>
      <c r="CB20" s="8" t="s">
        <v>0</v>
      </c>
      <c r="CC20" s="8">
        <f ca="1">(AZ25+AX9+BB23+BD23+BG19+CB6+CH6+CK6+CN6+CO26+CQ26+DL26+AM11)</f>
        <v>25928.582389827439</v>
      </c>
      <c r="CD20" s="8">
        <f ca="1">(AZ25+AX9+BB23+BD23+BG19+CB6+CH6+CK6+CN6+CO26+CQ26+DL26+AM11)</f>
        <v>25928.582389827439</v>
      </c>
      <c r="CE20" s="8">
        <f t="shared" ca="1" si="120"/>
        <v>-196.79794033879028</v>
      </c>
      <c r="CF20" s="8">
        <f>(BA5)</f>
        <v>6471</v>
      </c>
      <c r="CG20" s="8">
        <f t="shared" si="121"/>
        <v>-49.114890000000003</v>
      </c>
      <c r="CH20" s="8">
        <f t="shared" ca="1" si="122"/>
        <v>20402.655922215468</v>
      </c>
      <c r="CI20" s="8">
        <f t="shared" ca="1" si="123"/>
        <v>4182.5444640541709</v>
      </c>
      <c r="CJ20" s="8">
        <f t="shared" ca="1" si="124"/>
        <v>204.02655922215467</v>
      </c>
      <c r="CK20" s="8">
        <f t="shared" ca="1" si="125"/>
        <v>-1020.1327961107735</v>
      </c>
      <c r="CL20" s="8">
        <f t="shared" ca="1" si="126"/>
        <v>23769.094149381021</v>
      </c>
      <c r="CO20" s="8">
        <f>(CP20/CU18)</f>
        <v>0</v>
      </c>
      <c r="CP20" s="8">
        <f t="shared" si="153"/>
        <v>0</v>
      </c>
      <c r="CQ20" s="8">
        <f>COUNTIF(I20,"Var")*($AK$12)</f>
        <v>0</v>
      </c>
      <c r="CR20" s="8">
        <f>COUNTIF(I20,"Var")*((CQ20+(CQ20*0.00759*-1)+((CQ20-CS20)*0.14*-1)+((CQ20-CS20)*0.01*-1)+(CQ20+((CQ20-CS20)*0.14*-1)+((CQ20-CS20)*0.01*-1))*CQ18*-1))</f>
        <v>0</v>
      </c>
      <c r="CS20" s="8">
        <f>COUNTIF(I20,"Var")*($AK$1)</f>
        <v>0</v>
      </c>
      <c r="CT20" s="8">
        <f>(0)</f>
        <v>0</v>
      </c>
      <c r="CU20" s="8">
        <f>($AK$13*J20)</f>
        <v>0</v>
      </c>
      <c r="CV20" s="8">
        <f>(CU20+(CU20*0.00759*-1)+((CU20-CW20)*0.14*-1)+((CU20-CW20)*0.01*-1)+(CU20+((CU20-CW20)*0.14*-1)+((CU20-CW20)*0.01*-1))*CQ18*-1)</f>
        <v>0</v>
      </c>
      <c r="CW20" s="8">
        <f>($AK$2*J20)</f>
        <v>0</v>
      </c>
      <c r="CX20" s="8">
        <f>($AK$5*J20)</f>
        <v>0</v>
      </c>
      <c r="CY20" s="8">
        <f>($AK$14*K20)</f>
        <v>0</v>
      </c>
      <c r="CZ20" s="8">
        <f>(CY20+(CY20*0.00759*-1)+((CY20-DA20)*0.14*-1)+((CY20-DA20)*0.01*-1)+(CY20+((CY20-DA20)*0.14*-1)+((CY20-DA20)*0.01*-1))*CQ18*-1)</f>
        <v>0</v>
      </c>
      <c r="DA20" s="8">
        <f>($AK$3*K20)</f>
        <v>0</v>
      </c>
      <c r="DB20" s="8">
        <f>($AK$6*K20)</f>
        <v>0</v>
      </c>
      <c r="DC20" s="8">
        <f t="shared" si="127"/>
        <v>0</v>
      </c>
      <c r="DD20" s="8">
        <f t="shared" si="128"/>
        <v>0</v>
      </c>
      <c r="DE20" s="8">
        <f t="shared" si="129"/>
        <v>0</v>
      </c>
      <c r="DF20" s="8">
        <f t="shared" si="130"/>
        <v>0</v>
      </c>
      <c r="DG20" s="8">
        <f t="shared" si="131"/>
        <v>0</v>
      </c>
      <c r="DH20" s="8">
        <f t="shared" si="132"/>
        <v>0</v>
      </c>
      <c r="DI20" s="8">
        <f t="shared" si="133"/>
        <v>0</v>
      </c>
      <c r="DJ20" s="8">
        <f t="shared" si="134"/>
        <v>0</v>
      </c>
      <c r="DK20" s="34">
        <f t="shared" si="135"/>
        <v>0</v>
      </c>
      <c r="DL20" s="8">
        <f t="shared" si="154"/>
        <v>0</v>
      </c>
      <c r="DM20" s="8">
        <f t="shared" si="154"/>
        <v>0</v>
      </c>
      <c r="DN20" s="8">
        <f>IF(CW20+DA20+DE20+DI20&gt;=$AK$5*2,$AK$5*2,CW20+DA20+DE20+DI20)</f>
        <v>0</v>
      </c>
      <c r="DO20" s="8">
        <f t="shared" si="155"/>
        <v>0</v>
      </c>
      <c r="DW20" s="19" t="s">
        <v>96</v>
      </c>
      <c r="DX20" s="8">
        <v>690.4</v>
      </c>
      <c r="DY20" s="7">
        <v>18</v>
      </c>
      <c r="DZ20" s="20">
        <v>9</v>
      </c>
      <c r="EA20" s="21">
        <v>0.2</v>
      </c>
      <c r="EB20" s="53"/>
    </row>
    <row r="21" spans="1:132" ht="39.950000000000003" customHeight="1" x14ac:dyDescent="0.25">
      <c r="A21" s="30">
        <f t="shared" ref="A21:A26" si="158">(CH22)</f>
        <v>0</v>
      </c>
      <c r="B21" s="31" t="s">
        <v>18</v>
      </c>
      <c r="C21" s="55">
        <v>0</v>
      </c>
      <c r="D21" s="56">
        <v>0</v>
      </c>
      <c r="E21" s="56">
        <v>5.5</v>
      </c>
      <c r="F21" s="57">
        <v>26</v>
      </c>
      <c r="G21" s="57">
        <v>104</v>
      </c>
      <c r="H21" s="57">
        <v>0</v>
      </c>
      <c r="I21" s="58" t="s">
        <v>1</v>
      </c>
      <c r="J21" s="55">
        <v>0</v>
      </c>
      <c r="K21" s="55">
        <v>0</v>
      </c>
      <c r="L21" s="55">
        <v>0</v>
      </c>
      <c r="M21" s="55">
        <v>0</v>
      </c>
      <c r="N21" s="59" t="s">
        <v>1</v>
      </c>
      <c r="O21" s="59" t="s">
        <v>1</v>
      </c>
      <c r="P21" s="59" t="s">
        <v>1</v>
      </c>
      <c r="Q21" s="60">
        <v>0</v>
      </c>
      <c r="R21" s="32">
        <f t="shared" ref="R21:R26" ca="1" si="159">(CD15-CC1+AQ6+AS6+CR1+DP10+DQ10+CK22-S21)</f>
        <v>11730.700291549359</v>
      </c>
      <c r="S21" s="32">
        <f ca="1">(BC18+BE18+AT25+AT6)</f>
        <v>3240.1</v>
      </c>
      <c r="T21" s="61">
        <f t="shared" ca="1" si="137"/>
        <v>14970.80029154936</v>
      </c>
      <c r="U21" s="37" t="s">
        <v>43</v>
      </c>
      <c r="V21" s="2">
        <f t="shared" ca="1" si="91"/>
        <v>185510.53696897373</v>
      </c>
      <c r="W21" s="2">
        <f ca="1">COUNTIF(X1,"Ocak")*T15
+COUNTIF(X1,"Şubat")*T16
+COUNTIF(X1,"Mart")*T17
+COUNTIF(X1,"Nisan")*T18
+COUNTIF(X1,"Mayıs")*T19
+COUNTIF(X1,"Haziran")*T20
+COUNTIF(X1,"Temmuz")*T21
+COUNTIF(X1,"Ağustos")*T22
+COUNTIF(X1,"Eylül")*T23
+COUNTIF(X1,"Ekim")*T24
+COUNTIF(X1,"Kasım")*T25
+COUNTIF(X1,"Aralık")*T26
+COUNTIF(X1,"Yıllık Toplam")*(T27)*-1
+COUNTIF(X1,"Yıllık Ortalama")*(T28)*-1</f>
        <v>-185510.53696897373</v>
      </c>
      <c r="X21" s="82"/>
      <c r="Y21" s="70"/>
      <c r="Z21" s="37" t="s">
        <v>0</v>
      </c>
      <c r="AA21" s="22" t="s">
        <v>0</v>
      </c>
      <c r="AB21" s="71"/>
      <c r="AC21" s="72"/>
      <c r="AD21" s="74"/>
      <c r="AE21" s="73"/>
      <c r="AF21" s="11" t="s">
        <v>0</v>
      </c>
      <c r="AG21" s="11" t="s">
        <v>0</v>
      </c>
      <c r="AH21" s="11" t="s">
        <v>0</v>
      </c>
      <c r="AI21" s="7">
        <f>(1000)</f>
        <v>1000</v>
      </c>
      <c r="AJ21" s="7" t="s">
        <v>0</v>
      </c>
      <c r="AK21" s="8">
        <f>($AI$25*$AI$21)</f>
        <v>3685.18</v>
      </c>
      <c r="AL21" s="8">
        <f>($AJ$25*$AI$21)</f>
        <v>5221.5320000000002</v>
      </c>
      <c r="AM21" s="9">
        <f t="shared" si="138"/>
        <v>44774</v>
      </c>
      <c r="AN21" s="9">
        <f t="shared" si="100"/>
        <v>44804</v>
      </c>
      <c r="AO21" s="10">
        <f t="shared" si="101"/>
        <v>31</v>
      </c>
      <c r="AP21" s="10">
        <f t="shared" si="112"/>
        <v>27</v>
      </c>
      <c r="AQ21" s="10">
        <f t="shared" si="113"/>
        <v>4</v>
      </c>
      <c r="AR21" s="11" t="s">
        <v>0</v>
      </c>
      <c r="AS21" s="12">
        <f>(AT21/CL23)</f>
        <v>429.95690934343133</v>
      </c>
      <c r="AT21"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U21" s="12">
        <f>(AV21/CL23)</f>
        <v>429.95690934343133</v>
      </c>
      <c r="AV21"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W21" s="12">
        <f>(AX21/CL23)</f>
        <v>429.95690934343133</v>
      </c>
      <c r="AX21" s="12">
        <f>COUNTIF($A$1,"Uzakyol Kaptan")*($AH$1+AW13)
+COUNTIF($A$1,"Uzakyol Baş Mühendis")*($AH$2+AW13)
+COUNTIF($A$1,"3000 KW Baş Makinist")*($AH$3+AW13)
+COUNTIF($A$1,"Kaptan")*($AH$4+AW13)
+COUNTIF($A$1,"Baş Makinist")*($AH$5+AW13)
+COUNTIF($A$1,"1S-Güverte Personeli")*($AH$6+AW13)
+COUNTIF($A$1,"1S-Makine Personeli")*($AH$7+AW13)
+COUNTIF($A$1,"2S-Güverte Personeli")*($AH$8+AW13)
+COUNTIF($A$1,"2S-Makine Personeli")*($AH$9+AW13)</f>
        <v>362.2</v>
      </c>
      <c r="AY21" s="11" t="s">
        <v>0</v>
      </c>
      <c r="AZ21" s="5">
        <f t="shared" si="156"/>
        <v>13328.66418964637</v>
      </c>
      <c r="BA21" s="8">
        <f t="shared" si="114"/>
        <v>11228.199999999999</v>
      </c>
      <c r="BB21" s="8">
        <f t="shared" si="151"/>
        <v>0</v>
      </c>
      <c r="BC21" s="8">
        <f>(AX1/8*1.6*D24)</f>
        <v>0</v>
      </c>
      <c r="BD21" s="8">
        <f t="shared" si="152"/>
        <v>644.935364015147</v>
      </c>
      <c r="BE21" s="8">
        <f>(AV1*E24)</f>
        <v>543.29999999999995</v>
      </c>
      <c r="BG21" s="8">
        <f ca="1">(BG20/12)</f>
        <v>1368.5526468083335</v>
      </c>
      <c r="BH21" s="8">
        <f>(BH20/12)</f>
        <v>1197.8333333333333</v>
      </c>
      <c r="BI21" s="8">
        <f t="shared" ref="BI21:BM21" si="160">(BI20/12)</f>
        <v>1197.8333333333333</v>
      </c>
      <c r="BJ21" s="8">
        <f t="shared" ca="1" si="160"/>
        <v>1368.5524999999998</v>
      </c>
      <c r="BK21" s="8">
        <f t="shared" ca="1" si="160"/>
        <v>-10.387313474999997</v>
      </c>
      <c r="BL21" s="8">
        <f t="shared" si="160"/>
        <v>299.67250000000001</v>
      </c>
      <c r="BM21" s="8">
        <f t="shared" ca="1" si="160"/>
        <v>1068.8799999999997</v>
      </c>
      <c r="BN21" s="8" t="s">
        <v>0</v>
      </c>
      <c r="BO21" s="8" t="s">
        <v>0</v>
      </c>
      <c r="BP21" s="8" t="s">
        <v>0</v>
      </c>
      <c r="BQ21" s="8" t="s">
        <v>0</v>
      </c>
      <c r="BR21" s="8">
        <f>(0)</f>
        <v>0</v>
      </c>
      <c r="BS21" s="8">
        <f t="shared" si="115"/>
        <v>5500.3499999999995</v>
      </c>
      <c r="BT21" s="8">
        <f>SUM(BS$15:$BS21)</f>
        <v>31020.75</v>
      </c>
      <c r="BU21" s="23">
        <f t="shared" si="116"/>
        <v>0.15</v>
      </c>
      <c r="BV21" s="24">
        <f t="shared" si="139"/>
        <v>0</v>
      </c>
      <c r="BW21" s="7" t="s">
        <v>0</v>
      </c>
      <c r="BX21" s="8">
        <f>(CA9+CA10+CA11+CA12+CA13+CA14+BX15+BX16+BX17+BX18+BX19+BX20)</f>
        <v>10104.5</v>
      </c>
      <c r="BY21" s="7" t="s">
        <v>0</v>
      </c>
      <c r="BZ21" s="8">
        <f>(CC9+CC10+CC11+CC12+CC13+CC14+BZ15+BZ16+BZ17+BZ18+BZ19+BZ20)</f>
        <v>68850</v>
      </c>
      <c r="CA21" s="8">
        <f>(CD9+CD10+CD11+CD12+CD13+CD14+CA15+CA16+CA17+CA18+CA19+CA20)</f>
        <v>58522.499999999993</v>
      </c>
      <c r="CB21" s="25" t="s">
        <v>0</v>
      </c>
      <c r="CC21" s="8">
        <f ca="1">(CF9+CF10+CF11+CF12+CF13+CF14+CC15+CC16+CC17+CC18+CC19+CC20)</f>
        <v>230905.56791701631</v>
      </c>
      <c r="CD21" s="8">
        <f ca="1">(CG9+CG10+CG11+CG12+CG13+CG14+CD15+CD16+CD17+CD18+CD19+CD20)</f>
        <v>230905.56791701631</v>
      </c>
      <c r="CE21" s="8">
        <f ca="1">(CH9+CH10+CH11+CH12+CH13+CH14+CE15+CE16+CE17+CE18+CE19+CE20)</f>
        <v>-1752.5732604901536</v>
      </c>
      <c r="CF21" s="8">
        <f>(CI9+CI10+CI11+CI12+CI13+CI14+CF15+CF16+CF17+CF18+CF19+CF20)</f>
        <v>68850</v>
      </c>
      <c r="CG21" s="8">
        <f>(CJ9+CJ10+CJ11+CJ12+CJ13+CJ14+CG15+CG16+CG17+CG18+CG19+CG20)</f>
        <v>-522.57150000000001</v>
      </c>
      <c r="CH21" s="8">
        <f ca="1">(CD15)</f>
        <v>18779.618940360822</v>
      </c>
      <c r="CI21" s="8">
        <f t="shared" ca="1" si="123"/>
        <v>3849.8218827739684</v>
      </c>
      <c r="CJ21" s="8">
        <f t="shared" ca="1" si="124"/>
        <v>187.79618940360822</v>
      </c>
      <c r="CK21" s="8">
        <f t="shared" ca="1" si="125"/>
        <v>-938.98094701804121</v>
      </c>
      <c r="CL21" s="8">
        <f t="shared" ca="1" si="126"/>
        <v>21878.25606552036</v>
      </c>
      <c r="CO21" s="8">
        <f t="shared" ref="CO21:CO26" si="161">(CP21/CL22)</f>
        <v>0</v>
      </c>
      <c r="CP21" s="8">
        <f t="shared" si="153"/>
        <v>0</v>
      </c>
      <c r="CQ21" s="8">
        <f t="shared" ref="CQ21:CQ26" si="162">COUNTIF(I21,"Var")*($AL$12)</f>
        <v>0</v>
      </c>
      <c r="CR21" s="8">
        <f t="shared" ref="CR21:CR26" si="163">COUNTIF(I21,"Var")*((CQ21+(CQ21*0.00759*-1)+((CQ21-CS21)*0.14*-1)+((CQ21-CS21)*0.01*-1)+(CQ21+((CQ21-CS21)*0.14*-1)+((CQ21-CS21)*0.01*-1))*CH22*-1))</f>
        <v>0</v>
      </c>
      <c r="CS21" s="8">
        <f t="shared" ref="CS21:CS26" si="164">COUNTIF(I21,"Var")*($AL$1)</f>
        <v>0</v>
      </c>
      <c r="CT21" s="8">
        <f>(0)</f>
        <v>0</v>
      </c>
      <c r="CU21" s="8">
        <f t="shared" ref="CU21:CU26" si="165">($AL$13*J21)</f>
        <v>0</v>
      </c>
      <c r="CV21" s="8">
        <f t="shared" ref="CV21:CV26" si="166">(CU21+(CU21*0.00759*-1)+((CU21-CW21)*0.14*-1)+((CU21-CW21)*0.01*-1)+(CU21+((CU21-CW21)*0.14*-1)+((CU21-CW21)*0.01*-1))*CH22*-1)</f>
        <v>0</v>
      </c>
      <c r="CW21" s="8">
        <f t="shared" ref="CW21:CW26" si="167">($AL$2*J21)</f>
        <v>0</v>
      </c>
      <c r="CX21" s="8">
        <f t="shared" ref="CX21:CX26" si="168">($AL$5*J21)</f>
        <v>0</v>
      </c>
      <c r="CY21" s="8">
        <f t="shared" ref="CY21:CY26" si="169">($AL$14*K21)</f>
        <v>0</v>
      </c>
      <c r="CZ21" s="8">
        <f t="shared" ref="CZ21:CZ26" si="170">(CY21+(CY21*0.00759*-1)+((CY21-DA21)*0.14*-1)+((CY21-DA21)*0.01*-1)+(CY21+((CY21-DA21)*0.14*-1)+((CY21-DA21)*0.01*-1))*CH22*-1)</f>
        <v>0</v>
      </c>
      <c r="DA21" s="8">
        <f t="shared" ref="DA21:DA26" si="171">($AL$3*K21)</f>
        <v>0</v>
      </c>
      <c r="DB21" s="8">
        <f t="shared" ref="DB21:DB26" si="172">($AL$6*K21)</f>
        <v>0</v>
      </c>
      <c r="DC21" s="8">
        <f t="shared" ref="DC21:DC26" si="173">($AL$15*L21)</f>
        <v>0</v>
      </c>
      <c r="DD21" s="8">
        <f t="shared" ref="DD21:DD26" si="174">(DC21+(DC21*0.00759*-1)+((DC21-DE21)*0.14*-1)+((DC21-DE21)*0.01*-1)+(DC21+((DC21-DE21)*0.14*-1)+((DC21-DE21)*0.01*-1))*CH22*-1)</f>
        <v>0</v>
      </c>
      <c r="DE21" s="8">
        <f t="shared" ref="DE21:DE26" si="175">($AL$2*L21)</f>
        <v>0</v>
      </c>
      <c r="DF21" s="8">
        <f t="shared" ref="DF21:DF26" si="176">($AL$5*L21)</f>
        <v>0</v>
      </c>
      <c r="DG21" s="8">
        <f t="shared" ref="DG21:DG26" si="177">($AL$16*M21)</f>
        <v>0</v>
      </c>
      <c r="DH21" s="8">
        <f t="shared" ref="DH21:DH26" si="178">(DG21+(DG21*0.00759*-1)+((DG21-DI21)*0.14*-1)+((DG21-DI21)*0.01*-1)+(DG21+((DG21-DI21)*0.14*-1)+((DG21-DI21)*0.01*-1))*CH22*-1)</f>
        <v>0</v>
      </c>
      <c r="DI21" s="8">
        <f t="shared" ref="DI21:DI26" si="179">($AL$3*M21)</f>
        <v>0</v>
      </c>
      <c r="DJ21" s="8">
        <f t="shared" ref="DJ21:DJ26" si="180">($AL$6*M21)</f>
        <v>0</v>
      </c>
      <c r="DK21" s="34">
        <f t="shared" si="135"/>
        <v>0</v>
      </c>
      <c r="DL21" s="8">
        <f t="shared" si="154"/>
        <v>0</v>
      </c>
      <c r="DM21" s="8">
        <f t="shared" si="154"/>
        <v>0</v>
      </c>
      <c r="DN21" s="8">
        <f t="shared" ref="DN21:DN26" si="181">IF(CW21+DA21+DE21+DI21&gt;=$AL$5*2,$AL$5*2,CW21+DA21+DE21+DI21)</f>
        <v>0</v>
      </c>
      <c r="DO21" s="8">
        <f t="shared" si="155"/>
        <v>0</v>
      </c>
      <c r="DW21" s="19" t="s">
        <v>2</v>
      </c>
      <c r="DX21" s="8">
        <v>276.16000000000003</v>
      </c>
      <c r="DY21" s="7">
        <v>19</v>
      </c>
      <c r="DZ21" s="20">
        <v>9.5</v>
      </c>
      <c r="EA21" s="21">
        <v>0.21</v>
      </c>
      <c r="EB21" s="53"/>
    </row>
    <row r="22" spans="1:132" ht="39.950000000000003" customHeight="1" x14ac:dyDescent="0.25">
      <c r="A22" s="30">
        <f t="shared" si="158"/>
        <v>0</v>
      </c>
      <c r="B22" s="31" t="s">
        <v>19</v>
      </c>
      <c r="C22" s="55">
        <v>0</v>
      </c>
      <c r="D22" s="56">
        <v>0</v>
      </c>
      <c r="E22" s="56">
        <v>1</v>
      </c>
      <c r="F22" s="57">
        <v>27</v>
      </c>
      <c r="G22" s="57">
        <v>104</v>
      </c>
      <c r="H22" s="57">
        <v>0</v>
      </c>
      <c r="I22" s="58" t="s">
        <v>1</v>
      </c>
      <c r="J22" s="55">
        <v>0</v>
      </c>
      <c r="K22" s="55">
        <v>0</v>
      </c>
      <c r="L22" s="55">
        <v>0</v>
      </c>
      <c r="M22" s="55">
        <v>0</v>
      </c>
      <c r="N22" s="59" t="s">
        <v>1</v>
      </c>
      <c r="O22" s="59" t="s">
        <v>1</v>
      </c>
      <c r="P22" s="59" t="s">
        <v>1</v>
      </c>
      <c r="Q22" s="60">
        <v>0</v>
      </c>
      <c r="R22" s="32">
        <f t="shared" ca="1" si="159"/>
        <v>18250.299591014533</v>
      </c>
      <c r="S22" s="32">
        <f ca="1">(BC19+BE19+AT26+AT7)</f>
        <v>1658.2</v>
      </c>
      <c r="T22" s="61">
        <f t="shared" ca="1" si="137"/>
        <v>19908.499591014534</v>
      </c>
      <c r="U22" s="37" t="s">
        <v>44</v>
      </c>
      <c r="V22" s="2">
        <f t="shared" ca="1" si="91"/>
        <v>45395.030948042579</v>
      </c>
      <c r="W22" s="2">
        <f ca="1">COUNTIF(X1,"Ocak")*(CG9-T15)
+COUNTIF(X1,"Şubat")*(CG10-T16)
+COUNTIF(X1,"Mart")*(CG11-T17)
+COUNTIF(X1,"Nisan")*(CG12-T18)
+COUNTIF(X1,"Mayıs")*(CG13-T19)
+COUNTIF(X1,"Haziran")*(CG14-T20)
+COUNTIF(X1,"Temmuz")*(CD15-T21)
+COUNTIF(X1,"Ağustos")*(CD16-T22)
+COUNTIF(X1,"Eylül")*(CD17-T23)
+COUNTIF(X1,"Ekim")*(CD18-T24)
+COUNTIF(X1,"Kasım")*(CD19-T25)
+COUNTIF(X1,"Aralık")*(CD20-T26)
+COUNTIF(X1,"Yıllık Toplam")*(CD21-T27)*-1
+COUNTIF(X1,"Yıllık Ortalama")*(CD22-T28)*-1</f>
        <v>-45395.030948042579</v>
      </c>
      <c r="X22" s="82"/>
      <c r="Y22" s="70"/>
      <c r="Z22" s="37" t="s">
        <v>0</v>
      </c>
      <c r="AA22" s="22" t="s">
        <v>0</v>
      </c>
      <c r="AB22" s="71"/>
      <c r="AC22" s="72"/>
      <c r="AD22" s="74"/>
      <c r="AE22" s="73"/>
      <c r="AF22" s="11" t="s">
        <v>0</v>
      </c>
      <c r="AG22" s="11" t="s">
        <v>0</v>
      </c>
      <c r="AH22" s="11" t="s">
        <v>0</v>
      </c>
      <c r="AI22" s="7">
        <f>($AI$18+$AI$19)</f>
        <v>9500</v>
      </c>
      <c r="AJ22" s="7">
        <f>(2.15)</f>
        <v>2.15</v>
      </c>
      <c r="AK22" s="8">
        <f>($AI$24*$AI$22*$AJ$22)</f>
        <v>4808.9641249999995</v>
      </c>
      <c r="AL22" s="8">
        <f>($AJ$24*$AI$22*$AJ$22)</f>
        <v>6813.8412749999989</v>
      </c>
      <c r="AM22" s="9">
        <f t="shared" si="138"/>
        <v>44805</v>
      </c>
      <c r="AN22" s="9">
        <f t="shared" si="100"/>
        <v>44834</v>
      </c>
      <c r="AO22" s="10">
        <f t="shared" si="101"/>
        <v>30</v>
      </c>
      <c r="AP22" s="10">
        <f t="shared" si="112"/>
        <v>26</v>
      </c>
      <c r="AQ22" s="10">
        <f t="shared" si="113"/>
        <v>4</v>
      </c>
      <c r="AR22" s="11" t="s">
        <v>0</v>
      </c>
      <c r="AS22" s="12">
        <f>(AT22/CL24)</f>
        <v>429.95690934343133</v>
      </c>
      <c r="AT22"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U22" s="12">
        <f>(AV22/CL24)</f>
        <v>429.95690934343133</v>
      </c>
      <c r="AV22" s="12">
        <f>COUNTIF($A$1,"Uzakyol Kaptan")*($AH$1)
+COUNTIF($A$1,"Uzakyol Baş Mühendis")*($AH$2)
+COUNTIF($A$1,"3000 KW Baş Makinist")*($AH$3)
+COUNTIF($A$1,"Kaptan")*($AH$4)
+COUNTIF($A$1,"Baş Makinist")*($AH$5)
+COUNTIF($A$1,"1S-Güverte Personeli")*($AH$6)
+COUNTIF($A$1,"1S-Makine Personeli")*($AH$7)
+COUNTIF($A$1,"2S-Güverte Personeli")*($AH$8)
+COUNTIF($A$1,"2S-Makine Personeli")*($AH$9)</f>
        <v>362.2</v>
      </c>
      <c r="AW22" s="12">
        <f>(AX22/CL24)</f>
        <v>429.95690934343133</v>
      </c>
      <c r="AX22" s="12">
        <f>COUNTIF($A$1,"Uzakyol Kaptan")*($AH$1+AX12)
+COUNTIF($A$1,"Uzakyol Baş Mühendis")*($AH$2+AX12)
+COUNTIF($A$1,"3000 KW Baş Makinist")*($AH$3+AX12)
+COUNTIF($A$1,"Kaptan")*($AH$4+AX12)
+COUNTIF($A$1,"Baş Makinist")*($AH$5+AX12)
+COUNTIF($A$1,"1S-Güverte Personeli")*($AH$6+AX12)
+COUNTIF($A$1,"1S-Makine Personeli")*($AH$7+AX12)
+COUNTIF($A$1,"2S-Güverte Personeli")*($AH$8+AX12)
+COUNTIF($A$1,"2S-Makine Personeli")*($AH$9+AX12)</f>
        <v>362.2</v>
      </c>
      <c r="AY22" s="11" t="s">
        <v>0</v>
      </c>
      <c r="AZ22" s="5">
        <f t="shared" si="156"/>
        <v>12898.70728030294</v>
      </c>
      <c r="BA22" s="8">
        <f t="shared" si="114"/>
        <v>10866</v>
      </c>
      <c r="BB22" s="8">
        <f t="shared" si="151"/>
        <v>0</v>
      </c>
      <c r="BC22" s="8">
        <f>(AX2/8*1.6*D25)</f>
        <v>0</v>
      </c>
      <c r="BD22" s="8">
        <f t="shared" si="152"/>
        <v>0</v>
      </c>
      <c r="BE22" s="8">
        <f>(AV2*E25)</f>
        <v>0</v>
      </c>
      <c r="BN22" s="8" t="s">
        <v>0</v>
      </c>
      <c r="BO22" s="8" t="s">
        <v>0</v>
      </c>
      <c r="BP22" s="8" t="s">
        <v>0</v>
      </c>
      <c r="BQ22" s="8" t="s">
        <v>0</v>
      </c>
      <c r="BR22" s="8">
        <f>(0)</f>
        <v>0</v>
      </c>
      <c r="BS22" s="8">
        <f>(AZ1+BF1+BG1-BR22)</f>
        <v>5500.3499999999995</v>
      </c>
      <c r="BT22" s="8">
        <f>SUM(BS$15:$BS22)</f>
        <v>36521.1</v>
      </c>
      <c r="BU22" s="23">
        <f t="shared" si="116"/>
        <v>0.2</v>
      </c>
      <c r="BV22" s="24">
        <f t="shared" si="139"/>
        <v>1</v>
      </c>
      <c r="BW22" s="11" t="s">
        <v>0</v>
      </c>
      <c r="BX22" s="8">
        <f t="shared" ref="BX22" si="182">(BX21/12)</f>
        <v>842.04166666666663</v>
      </c>
      <c r="BY22" s="11" t="s">
        <v>0</v>
      </c>
      <c r="BZ22" s="8">
        <f t="shared" ref="BZ22" si="183">(BZ21/12)</f>
        <v>5737.5</v>
      </c>
      <c r="CA22" s="8">
        <f t="shared" ref="CA22" si="184">(CA21/12)</f>
        <v>4876.8749999999991</v>
      </c>
      <c r="CB22" s="8" t="s">
        <v>0</v>
      </c>
      <c r="CC22" s="8">
        <f t="shared" ref="CC22" ca="1" si="185">(CC21/12)</f>
        <v>19242.130659751358</v>
      </c>
      <c r="CD22" s="8">
        <f t="shared" ref="CD22" ca="1" si="186">(CD21/12)</f>
        <v>19242.130659751358</v>
      </c>
      <c r="CE22" s="8">
        <f t="shared" ref="CE22" ca="1" si="187">(CE21/12)</f>
        <v>-146.04777170751279</v>
      </c>
      <c r="CF22" s="8">
        <f t="shared" ref="CF22" si="188">(CF21/12)</f>
        <v>5737.5</v>
      </c>
      <c r="CG22" s="8">
        <f t="shared" ref="CG22" si="189">(CG21/12)</f>
        <v>-43.547625000000004</v>
      </c>
      <c r="CH22" s="26">
        <f>(0)</f>
        <v>0</v>
      </c>
      <c r="CI22" s="8">
        <f>(0)</f>
        <v>0</v>
      </c>
      <c r="CJ22" s="8">
        <f>(0)</f>
        <v>0</v>
      </c>
      <c r="CK22" s="8">
        <f t="shared" ref="CK22:CK27" si="190">(CI22+CJ22)</f>
        <v>0</v>
      </c>
      <c r="CL22" s="26">
        <f t="shared" si="109"/>
        <v>0.84240999999999999</v>
      </c>
      <c r="CM22" s="26">
        <f t="shared" ref="CM22:CM27" si="191">(100+(100*0.00759*-1)+(100*0.14*-1)+(100*0.01*-1)+(100+100*0.14*-1+100*0.01*-1)*CH22*-1)/100</f>
        <v>0.84240999999999999</v>
      </c>
      <c r="CN22" s="26">
        <f t="shared" ref="CN22:CN27" si="192">(100+(100*0.00759*-1)+(100)*CH22*-1)/100</f>
        <v>0.99241000000000001</v>
      </c>
      <c r="CO22" s="8">
        <f t="shared" si="161"/>
        <v>0</v>
      </c>
      <c r="CP22" s="8">
        <f t="shared" si="153"/>
        <v>0</v>
      </c>
      <c r="CQ22" s="8">
        <f t="shared" si="162"/>
        <v>0</v>
      </c>
      <c r="CR22" s="8">
        <f t="shared" si="163"/>
        <v>0</v>
      </c>
      <c r="CS22" s="8">
        <f t="shared" si="164"/>
        <v>0</v>
      </c>
      <c r="CT22" s="8">
        <f>(0)</f>
        <v>0</v>
      </c>
      <c r="CU22" s="8">
        <f t="shared" si="165"/>
        <v>0</v>
      </c>
      <c r="CV22" s="8">
        <f t="shared" si="166"/>
        <v>0</v>
      </c>
      <c r="CW22" s="8">
        <f t="shared" si="167"/>
        <v>0</v>
      </c>
      <c r="CX22" s="8">
        <f t="shared" si="168"/>
        <v>0</v>
      </c>
      <c r="CY22" s="8">
        <f t="shared" si="169"/>
        <v>0</v>
      </c>
      <c r="CZ22" s="8">
        <f t="shared" si="170"/>
        <v>0</v>
      </c>
      <c r="DA22" s="8">
        <f t="shared" si="171"/>
        <v>0</v>
      </c>
      <c r="DB22" s="8">
        <f t="shared" si="172"/>
        <v>0</v>
      </c>
      <c r="DC22" s="8">
        <f t="shared" si="173"/>
        <v>0</v>
      </c>
      <c r="DD22" s="8">
        <f t="shared" si="174"/>
        <v>0</v>
      </c>
      <c r="DE22" s="8">
        <f t="shared" si="175"/>
        <v>0</v>
      </c>
      <c r="DF22" s="8">
        <f t="shared" si="176"/>
        <v>0</v>
      </c>
      <c r="DG22" s="8">
        <f t="shared" si="177"/>
        <v>0</v>
      </c>
      <c r="DH22" s="8">
        <f t="shared" si="178"/>
        <v>0</v>
      </c>
      <c r="DI22" s="8">
        <f t="shared" si="179"/>
        <v>0</v>
      </c>
      <c r="DJ22" s="8">
        <f t="shared" si="180"/>
        <v>0</v>
      </c>
      <c r="DK22" s="34">
        <f t="shared" si="135"/>
        <v>0</v>
      </c>
      <c r="DL22" s="8">
        <f t="shared" si="154"/>
        <v>0</v>
      </c>
      <c r="DM22" s="8">
        <f t="shared" si="154"/>
        <v>0</v>
      </c>
      <c r="DN22" s="8">
        <f t="shared" si="181"/>
        <v>0</v>
      </c>
      <c r="DO22" s="8">
        <f t="shared" si="155"/>
        <v>0</v>
      </c>
      <c r="DW22" s="39" t="s">
        <v>0</v>
      </c>
      <c r="DX22" s="11" t="s">
        <v>0</v>
      </c>
      <c r="DY22" s="7">
        <v>20</v>
      </c>
      <c r="DZ22" s="20">
        <v>10</v>
      </c>
      <c r="EA22" s="21">
        <v>0.22</v>
      </c>
      <c r="EB22" s="53"/>
    </row>
    <row r="23" spans="1:132" ht="39.950000000000003" customHeight="1" x14ac:dyDescent="0.25">
      <c r="A23" s="30">
        <f t="shared" si="158"/>
        <v>0</v>
      </c>
      <c r="B23" s="31" t="s">
        <v>20</v>
      </c>
      <c r="C23" s="55">
        <v>0</v>
      </c>
      <c r="D23" s="56">
        <v>0</v>
      </c>
      <c r="E23" s="56">
        <v>0</v>
      </c>
      <c r="F23" s="57">
        <v>26</v>
      </c>
      <c r="G23" s="57">
        <v>104</v>
      </c>
      <c r="H23" s="57">
        <v>0</v>
      </c>
      <c r="I23" s="58" t="s">
        <v>1</v>
      </c>
      <c r="J23" s="55">
        <v>0</v>
      </c>
      <c r="K23" s="55">
        <v>0</v>
      </c>
      <c r="L23" s="55">
        <v>0</v>
      </c>
      <c r="M23" s="55">
        <v>0</v>
      </c>
      <c r="N23" s="59" t="s">
        <v>1</v>
      </c>
      <c r="O23" s="59" t="s">
        <v>1</v>
      </c>
      <c r="P23" s="59" t="s">
        <v>1</v>
      </c>
      <c r="Q23" s="60">
        <v>0</v>
      </c>
      <c r="R23" s="32">
        <f t="shared" ca="1" si="159"/>
        <v>11368.500291549362</v>
      </c>
      <c r="S23" s="32">
        <f ca="1">(BC20+BE20+AT27+AT8)</f>
        <v>1248</v>
      </c>
      <c r="T23" s="61">
        <f t="shared" ca="1" si="137"/>
        <v>12616.500291549362</v>
      </c>
      <c r="U23" s="40" t="s">
        <v>0</v>
      </c>
      <c r="V23" s="40" t="s">
        <v>0</v>
      </c>
      <c r="W23" s="40" t="s">
        <v>0</v>
      </c>
      <c r="X23" s="82"/>
      <c r="Y23" s="70"/>
      <c r="Z23" s="37" t="s">
        <v>0</v>
      </c>
      <c r="AA23" s="22" t="s">
        <v>0</v>
      </c>
      <c r="AB23" s="71"/>
      <c r="AC23" s="72"/>
      <c r="AD23" s="74"/>
      <c r="AE23" s="73"/>
      <c r="AF23" s="11" t="s">
        <v>0</v>
      </c>
      <c r="AG23" s="11" t="s">
        <v>0</v>
      </c>
      <c r="AH23" s="11" t="s">
        <v>0</v>
      </c>
      <c r="AI23" s="7" t="s">
        <v>0</v>
      </c>
      <c r="AJ23" s="7" t="s">
        <v>0</v>
      </c>
      <c r="AK23" s="8">
        <f>($AK$18+$AK$19+$AK$20+$AK$21+$AK$22)</f>
        <v>10848.594125</v>
      </c>
      <c r="AL23" s="8">
        <f>($AL$18+$AL$19+$AL$20+$AL$21+$AL$22)</f>
        <v>15371.403274999999</v>
      </c>
      <c r="AM23" s="25">
        <f t="shared" ref="AM23:AM28" si="193">COUNTIF(N15,"Yok")*(0)
+COUNTIF(N15,"Bayram Yardımı (Kurban)")*($DX$2/CU13)
+COUNTIF(N15,"Bayram Yardımı (Ramazan)")*($DX$3/CU13)
+COUNTIF(N15,"Cenaze Yardımı (Anne-Baba)")*($DX$4)
+COUNTIF(N15,"Cenaze Yardımı (Eş-Çocuk)")*($DX$5)
+COUNTIF(N15,"Cenaze Yardımı (İşçi-İş Kazası Sonucu)")*($DX$6)
+COUNTIF(N15,"Cenaze Yardımı (İşçi-Tabii Sebepler Sonucu)")*($DX$7)
+COUNTIF(N15,"Doğal Afet Yardımı")*($DX$8+$DX$8*0.00759)
+COUNTIF(N15,"Doğum Yardımı (İşveren)")*($DX$9+$DX$9*0.00759)
+COUNTIF(N15,"Eğitim Yardımı (Çocuk-Zorunlu Anaokulu)")*($DX$10)
+COUNTIF(N15,"Eğitim Yardımı (Çocuk-İlköğretim)")*($DX$11)
+COUNTIF(N15,"Eğitim Yardımı (Çocuk-Ortaöğretim)")*($DX$12)
+COUNTIF(N15,"Eğitim Yardımı (Çocuk-Lise)")*($DX$13)
+COUNTIF(N15,"Eğitim Yardımı (Çocuk-Yükseköğretim)")*($DX$14)
+COUNTIF(N15,"Eğitim Yardımı (Çocuk-Engelli)")*($DX$15)
+COUNTIF(N15,"Eğitim Yardımı (İşçi-Lise)")*($DX$16)
+COUNTIF(N15,"Eğitim Yardımı (İşçi-Yükseköğretim)")*($DX$17)
+COUNTIF(N15,"Evlilik Yardımı")*($DX$18)
+COUNTIF(N15,"İş Kazası veya Meslek Hastalığı Tazminatı")*($DX$19+$DX$19*0.00759)
+COUNTIF(N15,"Sünnet Yardımı")*($DX$20)
+COUNTIF(N15,"Temizlik Yardımı")*($DX$21/CU13)
+COUNTIF(O15,"Yok")*(0)
+COUNTIF(O15,"Bayram Yardımı (Kurban)")*($DX$2/CU13)
+COUNTIF(O15,"Bayram Yardımı (Ramazan)")*($DX$3/CU13)
+COUNTIF(O15,"Cenaze Yardımı (Anne-Baba)")*($DX$4)
+COUNTIF(O15,"Cenaze Yardımı (Eş-Çocuk)")*($DX$5)
+COUNTIF(O15,"Cenaze Yardımı (İşçi-İş Kazası Sonucu)")*($DX$6)
+COUNTIF(O15,"Cenaze Yardımı (İşçi-Tabii Sebepler Sonucu)")*($DX$7)
+COUNTIF(O15,"Doğal Afet Yardımı")*($DX$8+$DX$8*0.00759)
+COUNTIF(O15,"Doğum Yardımı (İşveren)")*($DX$9+$DX$9*0.00759)
+COUNTIF(O15,"Eğitim Yardımı (Çocuk-Zorunlu Anaokulu)")*($DX$10)
+COUNTIF(O15,"Eğitim Yardımı (Çocuk-İlköğretim)")*($DX$11)
+COUNTIF(O15,"Eğitim Yardımı (Çocuk-Ortaöğretim)")*($DX$12)
+COUNTIF(O15,"Eğitim Yardımı (Çocuk-Lise)")*($DX$13)
+COUNTIF(O15,"Eğitim Yardımı (Çocuk-Yükseköğretim)")*($DX$14)
+COUNTIF(O15,"Eğitim Yardımı (Çocuk-Engelli)")*($DX$15)
+COUNTIF(O15,"Eğitim Yardımı (İşçi-Lise)")*($DX$16)
+COUNTIF(O15,"Eğitim Yardımı (İşçi-Yükseköğretim)")*($DX$17)
+COUNTIF(O15,"Evlilik Yardımı")*($DX$18)
+COUNTIF(O15,"İş Kazası veya Meslek Hastalığı Tazminatı")*($DX$19+$DX$19*0.00759)
+COUNTIF(O15,"Sünnet Yardımı")*($DX$20)
+COUNTIF(O15,"Temizlik Yardımı")*($DX$21/CU13)
+COUNTIF(P15,"Yok")*(0)
+COUNTIF(P15,"Bayram Yardımı (Kurban)")*($DX$2/CU13)
+COUNTIF(P15,"Bayram Yardımı (Ramazan)")*($DX$3/CU13)
+COUNTIF(P15,"Cenaze Yardımı (Anne-Baba)")*($DX$4)
+COUNTIF(P15,"Cenaze Yardımı (Eş-Çocuk)")*($DX$5)
+COUNTIF(P15,"Cenaze Yardımı (İşçi-İş Kazası Sonucu)")*($DX$6)
+COUNTIF(P15,"Cenaze Yardımı (İşçi-Tabii Sebepler Sonucu)")*($DX$7)
+COUNTIF(P15,"Doğal Afet Yardımı")*($DX$8+$DX$8*0.00759)
+COUNTIF(P15,"Doğum Yardımı (İşveren)")*($DX$9+$DX$9*0.00759)
+COUNTIF(P15,"Eğitim Yardımı (Çocuk-Zorunlu Anaokulu)")*($DX$10)
+COUNTIF(P15,"Eğitim Yardımı (Çocuk-İlköğretim)")*($DX$11)
+COUNTIF(P15,"Eğitim Yardımı (Çocuk-Ortaöğretim)")*($DX$12)
+COUNTIF(P15,"Eğitim Yardımı (Çocuk-Lise)")*($DX$13)
+COUNTIF(P15,"Eğitim Yardımı (Çocuk-Yükseköğretim)")*($DX$14)
+COUNTIF(P15,"Eğitim Yardımı (Çocuk-Engelli)")*($DX$15)
+COUNTIF(P15,"Eğitim Yardımı (İşçi-Lise)")*($DX$16)
+COUNTIF(P15,"Eğitim Yardımı (İşçi-Yükseköğretim)")*($DX$17)
+COUNTIF(P15,"Evlilik Yardımı")*($DX$18)
+COUNTIF(P15,"İş Kazası veya Meslek Hastalığı Tazminatı")*($DX$19+$DX$19*0.00759)
+COUNTIF(P15,"Sünnet Yardımı")*($DX$20)
+COUNTIF(P15,"Temizlik Yardımı")*($DX$21/CU13)</f>
        <v>327.82136964186088</v>
      </c>
      <c r="AN23" s="25">
        <f t="shared" ref="AN23:AN28" si="194">COUNTIF(N15,"Yok")*(0)
+COUNTIF(N15,"Bayram Yardımı (Kurban)")*(0)
+COUNTIF(N15,"Bayram Yardımı (Ramazan)")*(0)
+COUNTIF(N15,"Cenaze Yardımı (Anne-Baba)")*($DX$4)
+COUNTIF(N15,"Cenaze Yardımı (Eş-Çocuk)")*($DX$5)
+COUNTIF(N15,"Cenaze Yardımı (İşçi-İş Kazası Sonucu)")*($DX$6)
+COUNTIF(N15,"Cenaze Yardımı (İşçi-Tabii Sebepler Sonucu)")*($DX$7)
+COUNTIF(N15,"Doğal Afet Yardımı")*($DX$8+$DX$8*0.00759)
+COUNTIF(N15,"Doğum Yardımı (İşveren)")*($DX$9+$DX$9*0.00759)
+COUNTIF(N15,"Eğitim Yardımı (Çocuk-Zorunlu Anaokulu)")*(0)
+COUNTIF(N15,"Eğitim Yardımı (Çocuk-İlköğretim)")*(0)
+COUNTIF(N15,"Eğitim Yardımı (Çocuk-Ortaöğretim)")*(0)
+COUNTIF(N15,"Eğitim Yardımı (Çocuk-Lise)")*(0)
+COUNTIF(N15,"Eğitim Yardımı (Çocuk-Yükseköğretim)")*(0)
+COUNTIF(N15,"Eğitim Yardımı (Çocuk-Engelli)")*(0)
+COUNTIF(N15,"Eğitim Yardımı (İşçi-Lise)")*(0)
+COUNTIF(N15,"Eğitim Yardımı (İşçi-Yükseköğretim)")*(0)
+COUNTIF(N15,"Evlilik Yardımı")*($DX$18)
+COUNTIF(N15,"İş Kazası veya Meslek Hastalığı Tazminatı")*($DX$19+$DX$19*0.00759)
+COUNTIF(N15,"Sünnet Yardımı")*(0)
+COUNTIF(N15,"Temizlik Yardımı")*(0)
+COUNTIF(O15,"Yok")*(0)
+COUNTIF(O15,"Bayram Yardımı (Kurban)")*(0)
+COUNTIF(O15,"Bayram Yardımı (Ramazan)")*(0)
+COUNTIF(O15,"Cenaze Yardımı (Anne-Baba)")*($DX$4)
+COUNTIF(O15,"Cenaze Yardımı (Eş-Çocuk)")*($DX$5)
+COUNTIF(O15,"Cenaze Yardımı (İşçi-İş Kazası Sonucu)")*($DX$6)
+COUNTIF(O15,"Cenaze Yardımı (İşçi-Tabii Sebepler Sonucu)")*($DX$7)
+COUNTIF(O15,"Doğal Afet Yardımı")*($DX$8+$DX$8*0.00759)
+COUNTIF(O15,"Doğum Yardımı (İşveren)")*($DX$9+$DX$9*0.00759)
+COUNTIF(O15,"Eğitim Yardımı (Çocuk-Zorunlu Anaokulu)")*(0)
+COUNTIF(O15,"Eğitim Yardımı (Çocuk-İlköğretim)")*(0)
+COUNTIF(O15,"Eğitim Yardımı (Çocuk-Ortaöğretim)")*(0)
+COUNTIF(O15,"Eğitim Yardımı (Çocuk-Lise)")*(0)
+COUNTIF(O15,"Eğitim Yardımı (Çocuk-Yükseköğretim)")*(0)
+COUNTIF(O15,"Eğitim Yardımı (Çocuk-Engelli)")*(0)
+COUNTIF(O15,"Eğitim Yardımı (İşçi-Lise)")*(0)
+COUNTIF(O15,"Eğitim Yardımı (İşçi-Yükseköğretim)")*(0)
+COUNTIF(O15,"Evlilik Yardımı")*($DX$18)
+COUNTIF(O15,"İş Kazası veya Meslek Hastalığı Tazminatı")*($DX$19+$DX$19*0.00759)
+COUNTIF(O15,"Sünnet Yardımı")*(0)
+COUNTIF(O15,"Temizlik Yardımı")*(0)
+COUNTIF(P15,"Yok")*(0)
+COUNTIF(P15,"Bayram Yardımı (Kurban)")*(0)
+COUNTIF(P15,"Bayram Yardımı (Ramazan)")*(0)
+COUNTIF(P15,"Cenaze Yardımı (Anne-Baba)")*($DX$4)
+COUNTIF(P15,"Cenaze Yardımı (Eş-Çocuk)")*($DX$5)
+COUNTIF(P15,"Cenaze Yardımı (İşçi-İş Kazası Sonucu)")*($DX$6)
+COUNTIF(P15,"Cenaze Yardımı (İşçi-Tabii Sebepler Sonucu)")*($DX$7)
+COUNTIF(P15,"Doğal Afet Yardımı")*($DX$8+$DX$8*0.00759)
+COUNTIF(P15,"Doğum Yardımı (İşveren)")*($DX$9+$DX$9*0.00759)
+COUNTIF(P15,"Eğitim Yardımı (Çocuk-Zorunlu Anaokulu)")*(0)
+COUNTIF(P15,"Eğitim Yardımı (Çocuk-İlköğretim)")*(0)
+COUNTIF(P15,"Eğitim Yardımı (Çocuk-Ortaöğretim)")*(0)
+COUNTIF(P15,"Eğitim Yardımı (Çocuk-Lise)")*(0)
+COUNTIF(P15,"Eğitim Yardımı (Çocuk-Yükseköğretim)")*(0)
+COUNTIF(P15,"Eğitim Yardımı (Çocuk-Engelli)")*(0)
+COUNTIF(P15,"Eğitim Yardımı (İşçi-Lise)")*(0)
+COUNTIF(P15,"Eğitim Yardımı (İşçi-Yükseköğretim)")*(0)
+COUNTIF(P15,"Evlilik Yardımı")*($DX$18)
+COUNTIF(P15,"İş Kazası veya Meslek Hastalığı Tazminatı")*($DX$19+$DX$19*0.00759)
+COUNTIF(P15,"Sünnet Yardımı")*(0)
+COUNTIF(P15,"Temizlik Yardımı")*(0)</f>
        <v>0</v>
      </c>
      <c r="AO23" s="25">
        <f t="shared" ref="AO23:AO28" si="195">COUNTIF(N15,"Yok")*(0)
+COUNTIF(N15,"Bayram Yardımı (Kurban)")*($DX$2)
+COUNTIF(N15,"Bayram Yardımı (Ramazan)")*($DX$3)
+COUNTIF(N15,"Cenaze Yardımı (Anne-Baba)")*($DX$4-$DX$4*0.00759)
+COUNTIF(N15,"Cenaze Yardımı (Eş-Çocuk)")*($DX$5-$DX$5*0.00759)
+COUNTIF(N15,"Cenaze Yardımı (İşçi-İş Kazası Sonucu)")*($DX$6-$DX$6*0.00759)
+COUNTIF(N15,"Cenaze Yardımı (İşçi-Tabii Sebepler Sonucu)")*($DX$7-$DX$7*0.00759)
+COUNTIF(N15,"Doğal Afet Yardımı")*($DX$8)
+COUNTIF(N15,"Doğum Yardımı (İşveren)")*($DX$9)
+COUNTIF(N15,"Eğitim Yardımı (Çocuk-Zorunlu Anaokulu)")*($DX$10*CU13)
+COUNTIF(N15,"Eğitim Yardımı (Çocuk-İlköğretim)")*($DX$11*CU13)
+COUNTIF(N15,"Eğitim Yardımı (Çocuk-Ortaöğretim)")*($DX$12*CU13)
+COUNTIF(N15,"Eğitim Yardımı (Çocuk-Lise)")*($DX$13*CU13)
+COUNTIF(N15,"Eğitim Yardımı (Çocuk-Yükseköğretim)")*($DX$14*CU13)
+COUNTIF(N15,"Eğitim Yardımı (Çocuk-Engelli)")*($DX$15*CU13)
+COUNTIF(N15,"Eğitim Yardımı (İşçi-Lise)")*($DX$16*CU13)
+COUNTIF(N15,"Eğitim Yardımı (İşçi-Yükseköğretim)")*($DX$17*CU13)
+COUNTIF(N15,"Evlilik Yardımı")*($DX$18-$DX$18*0.00759)
+COUNTIF(N15,"İş Kazası veya Meslek Hastalığı Tazminatı")*($DX$19)
+COUNTIF(N15,"Sünnet Yardımı")*($DX$20*CU13)
+COUNTIF(N15,"Temizlik Yardımı")*($DX$21)
+COUNTIF(O15,"Yok")*(0)
+COUNTIF(O15,"Bayram Yardımı (Kurban)")*($DX$2)
+COUNTIF(O15,"Bayram Yardımı (Ramazan)")*($DX$3)
+COUNTIF(O15,"Cenaze Yardımı (Anne-Baba)")*($DX$4-$DX$4*0.00759)
+COUNTIF(O15,"Cenaze Yardımı (Eş-Çocuk)")*($DX$5-$DX$5*0.00759)
+COUNTIF(O15,"Cenaze Yardımı (İşçi-İş Kazası Sonucu)")*($DX$6-$DX$6*0.00759)
+COUNTIF(O15,"Cenaze Yardımı (İşçi-Tabii Sebepler Sonucu)")*($DX$7-$DX$7*0.00759)
+COUNTIF(O15,"Doğal Afet Yardımı")*($DX$8)
+COUNTIF(O15,"Doğum Yardımı (İşveren)")*($DX$9)
+COUNTIF(O15,"Eğitim Yardımı (Çocuk-Zorunlu Anaokulu)")*($DX$10*CU13)
+COUNTIF(O15,"Eğitim Yardımı (Çocuk-İlköğretim)")*($DX$11*CU13)
+COUNTIF(O15,"Eğitim Yardımı (Çocuk-Ortaöğretim)")*($DX$12*CU13)
+COUNTIF(O15,"Eğitim Yardımı (Çocuk-Lise)")*($DX$13*CU13)
+COUNTIF(O15,"Eğitim Yardımı (Çocuk-Yükseköğretim)")*($DX$14*CU13)
+COUNTIF(O15,"Eğitim Yardımı (Çocuk-Engelli)")*($DX$15*CU13)
+COUNTIF(O15,"Eğitim Yardımı (İşçi-Lise)")*($DX$16*CU13)
+COUNTIF(O15,"Eğitim Yardımı (İşçi-Yükseköğretim)")*($DX$17*CU13)
+COUNTIF(O15,"Evlilik Yardımı")*($DX$18-$DX$18*0.00759)
+COUNTIF(O15,"İş Kazası veya Meslek Hastalığı Tazminatı")*($DX$19)
+COUNTIF(O15,"Sünnet Yardımı")*($DX$20*CU13)
+COUNTIF(O15,"Temizlik Yardımı")*($DX$21)
+COUNTIF(P15,"Yok")*(0)
+COUNTIF(P15,"Bayram Yardımı (Kurban)")*($DX$2)
+COUNTIF(P15,"Bayram Yardımı (Ramazan)")*($DX$3)
+COUNTIF(P15,"Cenaze Yardımı (Anne-Baba)")*($DX$4-$DX$4*0.00759)
+COUNTIF(P15,"Cenaze Yardımı (Eş-Çocuk)")*($DX$5-$DX$5*0.00759)
+COUNTIF(P15,"Cenaze Yardımı (İşçi-İş Kazası Sonucu)")*($DX$6-$DX$6*0.00759)
+COUNTIF(P15,"Cenaze Yardımı (İşçi-Tabii Sebepler Sonucu)")*($DX$7-$DX$7*0.00759)
+COUNTIF(P15,"Doğal Afet Yardımı")*($DX$8)
+COUNTIF(P15,"Doğum Yardımı (İşveren)")*($DX$9)
+COUNTIF(P15,"Eğitim Yardımı (Çocuk-Zorunlu Anaokulu)")*($DX$10*CU13)
+COUNTIF(P15,"Eğitim Yardımı (Çocuk-İlköğretim)")*($DX$11*CU13)
+COUNTIF(P15,"Eğitim Yardımı (Çocuk-Ortaöğretim)")*($DX$12*CU13)
+COUNTIF(P15,"Eğitim Yardımı (Çocuk-Lise)")*($DX$13*CU13)
+COUNTIF(P15,"Eğitim Yardımı (Çocuk-Yükseköğretim)")*($DX$14*CU13)
+COUNTIF(P15,"Eğitim Yardımı (Çocuk-Engelli)")*($DX$15*CU13)
+COUNTIF(P15,"Eğitim Yardımı (İşçi-Lise)")*($DX$16*CU13)
+COUNTIF(P15,"Eğitim Yardımı (İşçi-Yükseköğretim)")*($DX$17*CU13)
+COUNTIF(P15,"Evlilik Yardımı")*($DX$18-$DX$18*0.00759)
+COUNTIF(P15,"İş Kazası veya Meslek Hastalığı Tazminatı")*($DX$19)
+COUNTIF(P15,"Sünnet Yardımı")*($DX$20*CU13)
+COUNTIF(P15,"Temizlik Yardımı")*($DX$21)</f>
        <v>276.16000000000003</v>
      </c>
      <c r="AP23" s="24" t="s">
        <v>11</v>
      </c>
      <c r="AQ23" s="8">
        <f t="shared" ref="AQ23:AQ28" si="196">COUNTIF(AP23,"Var")*(AT14*0.9*-1)</f>
        <v>-276.28200000000004</v>
      </c>
      <c r="AR23" s="8">
        <f t="shared" ref="AR23:AR28" si="197">(AQ23*-1)</f>
        <v>276.28200000000004</v>
      </c>
      <c r="AS23" s="8">
        <f ca="1">(AU23+AW23*-1+BH5*-1+BI5*-1+BL5*-1)</f>
        <v>1435.1215607999998</v>
      </c>
      <c r="AT23" s="8">
        <f>(48*F19)</f>
        <v>1248</v>
      </c>
      <c r="AU23" s="8">
        <f>(AT23)</f>
        <v>1248</v>
      </c>
      <c r="AV23" s="8">
        <f ca="1">ROUND((AU23+AW23*-1+BH5*-1+BI5*-1+BL5*-1),2)</f>
        <v>1435.12</v>
      </c>
      <c r="AW23" s="8">
        <f ca="1">(AV23*0.00759*-1)</f>
        <v>-10.8925608</v>
      </c>
      <c r="AX23" s="8">
        <f>($AK$9*F19)</f>
        <v>260.26</v>
      </c>
      <c r="AY23" s="11" t="s">
        <v>0</v>
      </c>
      <c r="AZ23" s="5">
        <f t="shared" si="156"/>
        <v>13328.66418964637</v>
      </c>
      <c r="BA23" s="8">
        <f>(AX1*AO1)</f>
        <v>11228.199999999999</v>
      </c>
      <c r="BB23" s="8">
        <f t="shared" si="151"/>
        <v>0</v>
      </c>
      <c r="BC23" s="8">
        <f>(AX3/8*1.6*D26)</f>
        <v>0</v>
      </c>
      <c r="BD23" s="8">
        <f t="shared" si="152"/>
        <v>0</v>
      </c>
      <c r="BE23" s="8">
        <f>(AV3*E26)</f>
        <v>0</v>
      </c>
      <c r="BN23" s="8" t="s">
        <v>0</v>
      </c>
      <c r="BO23" s="8" t="s">
        <v>0</v>
      </c>
      <c r="BP23" s="8" t="s">
        <v>0</v>
      </c>
      <c r="BQ23" s="8" t="s">
        <v>0</v>
      </c>
      <c r="BR23" s="8">
        <f>(0)</f>
        <v>0</v>
      </c>
      <c r="BS23" s="8">
        <f>(AZ2+BF2+BG2-BR23)</f>
        <v>5500.3499999999995</v>
      </c>
      <c r="BT23" s="8">
        <f>SUM(BS$15:$BS23)</f>
        <v>42021.45</v>
      </c>
      <c r="BU23" s="23">
        <f t="shared" si="116"/>
        <v>0.2</v>
      </c>
      <c r="BV23" s="24">
        <f t="shared" si="139"/>
        <v>0</v>
      </c>
      <c r="BW23" s="8">
        <f ca="1">(CD16)</f>
        <v>24638.711661797148</v>
      </c>
      <c r="BX23" s="8">
        <f ca="1">(BW23*0.205)</f>
        <v>5050.9358906684147</v>
      </c>
      <c r="BY23" s="8">
        <f ca="1">(BW23*0.01)</f>
        <v>246.38711661797149</v>
      </c>
      <c r="BZ23" s="8">
        <f ca="1">(BW23*0.05*-1)</f>
        <v>-1231.9355830898576</v>
      </c>
      <c r="CA23" s="8">
        <f ca="1">(BW23+BX23+BY23+BZ23)</f>
        <v>28704.099085993676</v>
      </c>
      <c r="CB23" s="8">
        <f ca="1">(BW28/12)</f>
        <v>19242.130659751358</v>
      </c>
      <c r="CC23" s="8">
        <f ca="1">(BX28/12)</f>
        <v>3944.636785249028</v>
      </c>
      <c r="CD23" s="8">
        <f ca="1">(BY28/12)</f>
        <v>192.42130659751356</v>
      </c>
      <c r="CE23" s="8">
        <f ca="1">(BZ28/12)</f>
        <v>-962.1065329875679</v>
      </c>
      <c r="CF23" s="8">
        <f ca="1">(CA28/12)</f>
        <v>22417.082218610332</v>
      </c>
      <c r="CH23" s="26">
        <f>(0)</f>
        <v>0</v>
      </c>
      <c r="CI23" s="8">
        <f>(0)</f>
        <v>0</v>
      </c>
      <c r="CJ23" s="8">
        <f>(0)</f>
        <v>0</v>
      </c>
      <c r="CK23" s="8">
        <f t="shared" si="190"/>
        <v>0</v>
      </c>
      <c r="CL23" s="26">
        <f t="shared" si="109"/>
        <v>0.84240999999999999</v>
      </c>
      <c r="CM23" s="26">
        <f t="shared" si="191"/>
        <v>0.84240999999999999</v>
      </c>
      <c r="CN23" s="26">
        <f t="shared" si="192"/>
        <v>0.99241000000000001</v>
      </c>
      <c r="CO23" s="8">
        <f t="shared" si="161"/>
        <v>0</v>
      </c>
      <c r="CP23" s="8">
        <f t="shared" si="153"/>
        <v>0</v>
      </c>
      <c r="CQ23" s="8">
        <f t="shared" si="162"/>
        <v>0</v>
      </c>
      <c r="CR23" s="8">
        <f t="shared" si="163"/>
        <v>0</v>
      </c>
      <c r="CS23" s="8">
        <f t="shared" si="164"/>
        <v>0</v>
      </c>
      <c r="CT23" s="8">
        <f>(0)</f>
        <v>0</v>
      </c>
      <c r="CU23" s="8">
        <f t="shared" si="165"/>
        <v>0</v>
      </c>
      <c r="CV23" s="8">
        <f t="shared" si="166"/>
        <v>0</v>
      </c>
      <c r="CW23" s="8">
        <f t="shared" si="167"/>
        <v>0</v>
      </c>
      <c r="CX23" s="8">
        <f t="shared" si="168"/>
        <v>0</v>
      </c>
      <c r="CY23" s="8">
        <f t="shared" si="169"/>
        <v>0</v>
      </c>
      <c r="CZ23" s="8">
        <f t="shared" si="170"/>
        <v>0</v>
      </c>
      <c r="DA23" s="8">
        <f t="shared" si="171"/>
        <v>0</v>
      </c>
      <c r="DB23" s="8">
        <f t="shared" si="172"/>
        <v>0</v>
      </c>
      <c r="DC23" s="8">
        <f t="shared" si="173"/>
        <v>0</v>
      </c>
      <c r="DD23" s="8">
        <f t="shared" si="174"/>
        <v>0</v>
      </c>
      <c r="DE23" s="8">
        <f t="shared" si="175"/>
        <v>0</v>
      </c>
      <c r="DF23" s="8">
        <f t="shared" si="176"/>
        <v>0</v>
      </c>
      <c r="DG23" s="8">
        <f t="shared" si="177"/>
        <v>0</v>
      </c>
      <c r="DH23" s="8">
        <f t="shared" si="178"/>
        <v>0</v>
      </c>
      <c r="DI23" s="8">
        <f t="shared" si="179"/>
        <v>0</v>
      </c>
      <c r="DJ23" s="8">
        <f t="shared" si="180"/>
        <v>0</v>
      </c>
      <c r="DK23" s="34">
        <f t="shared" si="135"/>
        <v>0</v>
      </c>
      <c r="DL23" s="8">
        <f t="shared" si="154"/>
        <v>0</v>
      </c>
      <c r="DM23" s="8">
        <f t="shared" si="154"/>
        <v>0</v>
      </c>
      <c r="DN23" s="8">
        <f t="shared" si="181"/>
        <v>0</v>
      </c>
      <c r="DO23" s="8">
        <f t="shared" si="155"/>
        <v>0</v>
      </c>
      <c r="DW23" s="39" t="s">
        <v>0</v>
      </c>
      <c r="DX23" s="11" t="s">
        <v>0</v>
      </c>
      <c r="DY23" s="7">
        <v>21</v>
      </c>
      <c r="DZ23" s="20">
        <v>10.5</v>
      </c>
      <c r="EA23" s="21">
        <v>0.23</v>
      </c>
      <c r="EB23" s="53"/>
    </row>
    <row r="24" spans="1:132" ht="39.950000000000003" customHeight="1" x14ac:dyDescent="0.25">
      <c r="A24" s="30">
        <f t="shared" si="158"/>
        <v>0</v>
      </c>
      <c r="B24" s="31" t="s">
        <v>21</v>
      </c>
      <c r="C24" s="55">
        <v>0</v>
      </c>
      <c r="D24" s="56">
        <v>0</v>
      </c>
      <c r="E24" s="56">
        <v>1.5</v>
      </c>
      <c r="F24" s="57">
        <v>26</v>
      </c>
      <c r="G24" s="57">
        <v>104</v>
      </c>
      <c r="H24" s="57">
        <v>0</v>
      </c>
      <c r="I24" s="58" t="s">
        <v>1</v>
      </c>
      <c r="J24" s="55">
        <v>0</v>
      </c>
      <c r="K24" s="55">
        <v>0</v>
      </c>
      <c r="L24" s="55">
        <v>0</v>
      </c>
      <c r="M24" s="55">
        <v>0</v>
      </c>
      <c r="N24" s="59" t="s">
        <v>1</v>
      </c>
      <c r="O24" s="59" t="s">
        <v>1</v>
      </c>
      <c r="P24" s="59" t="s">
        <v>1</v>
      </c>
      <c r="Q24" s="60">
        <v>0</v>
      </c>
      <c r="R24" s="32">
        <f t="shared" ca="1" si="159"/>
        <v>18250.30029154936</v>
      </c>
      <c r="S24" s="32">
        <f ca="1">(BC21+BE21+BH17+AT9)</f>
        <v>1791.3</v>
      </c>
      <c r="T24" s="61">
        <f t="shared" ca="1" si="137"/>
        <v>20041.600291549359</v>
      </c>
      <c r="U24" s="40" t="s">
        <v>0</v>
      </c>
      <c r="V24" s="40" t="s">
        <v>0</v>
      </c>
      <c r="W24" s="40" t="s">
        <v>0</v>
      </c>
      <c r="X24" s="82"/>
      <c r="Y24" s="70"/>
      <c r="Z24" s="37" t="s">
        <v>0</v>
      </c>
      <c r="AA24" s="22" t="s">
        <v>0</v>
      </c>
      <c r="AB24" s="71"/>
      <c r="AC24" s="72"/>
      <c r="AD24" s="74"/>
      <c r="AE24" s="73"/>
      <c r="AF24" s="11" t="s">
        <v>0</v>
      </c>
      <c r="AG24" s="11" t="s">
        <v>0</v>
      </c>
      <c r="AH24" s="11" t="s">
        <v>0</v>
      </c>
      <c r="AI24" s="41">
        <f>(0.235445)</f>
        <v>0.23544499999999999</v>
      </c>
      <c r="AJ24" s="41">
        <f>(0.333603)</f>
        <v>0.33360299999999998</v>
      </c>
      <c r="AK24" s="7" t="s">
        <v>0</v>
      </c>
      <c r="AL24" s="19" t="s">
        <v>0</v>
      </c>
      <c r="AM24" s="25">
        <f t="shared" si="193"/>
        <v>0</v>
      </c>
      <c r="AN24" s="25">
        <f t="shared" si="194"/>
        <v>0</v>
      </c>
      <c r="AO24" s="25">
        <f t="shared" si="195"/>
        <v>0</v>
      </c>
      <c r="AP24" s="24" t="s">
        <v>11</v>
      </c>
      <c r="AQ24" s="8">
        <f t="shared" si="196"/>
        <v>-276.28200000000004</v>
      </c>
      <c r="AR24" s="8">
        <f t="shared" si="197"/>
        <v>276.28200000000004</v>
      </c>
      <c r="AS24" s="8">
        <f ca="1">(AU24+AW24*-1+BH6*-1+BI6*-1+BL6*-1)</f>
        <v>1435.1215607999998</v>
      </c>
      <c r="AT24" s="8">
        <f>(48*F20)</f>
        <v>1248</v>
      </c>
      <c r="AU24" s="8">
        <f>(AT24)</f>
        <v>1248</v>
      </c>
      <c r="AV24" s="8">
        <f ca="1">ROUND((AU24+AW24*-1+BH6*-1+BI6*-1+BL6*-1),2)</f>
        <v>1435.12</v>
      </c>
      <c r="AW24" s="8">
        <f ca="1">(AV24*0.00759*-1)</f>
        <v>-10.8925608</v>
      </c>
      <c r="AX24" s="8">
        <f>($AK$9*F20)</f>
        <v>260.26</v>
      </c>
      <c r="AY24" s="11" t="s">
        <v>0</v>
      </c>
      <c r="AZ24" s="5">
        <f t="shared" si="156"/>
        <v>12898.70728030294</v>
      </c>
      <c r="BA24" s="8">
        <f>(AX2*AO2)</f>
        <v>10866</v>
      </c>
      <c r="BB24" s="8">
        <f t="shared" ref="BB24:BC24" si="198">(BB12+BB13+BB14+BB15+BB16+BB17+BB18+BB19+BB20+BB21+BB22+BB23)</f>
        <v>0</v>
      </c>
      <c r="BC24" s="8">
        <f t="shared" si="198"/>
        <v>0</v>
      </c>
      <c r="BD24" s="8">
        <f t="shared" ref="BD24:BE24" si="199">(BD12+BD13+BD14+BD15+BD16+BD17+BD18+BD19+BD20+BD21+BD22+BD23)</f>
        <v>5626.0965563086856</v>
      </c>
      <c r="BE24" s="8">
        <f t="shared" si="199"/>
        <v>4739.4800000000005</v>
      </c>
      <c r="BN24" s="8" t="s">
        <v>0</v>
      </c>
      <c r="BO24" s="8" t="s">
        <v>0</v>
      </c>
      <c r="BP24" s="8" t="s">
        <v>0</v>
      </c>
      <c r="BQ24" s="8" t="s">
        <v>0</v>
      </c>
      <c r="BR24" s="8">
        <f>(0)</f>
        <v>0</v>
      </c>
      <c r="BS24" s="8">
        <f>(AZ3+BF3+BG3-BR24)</f>
        <v>5500.3499999999995</v>
      </c>
      <c r="BT24" s="8">
        <f>SUM(BS$15:$BS24)</f>
        <v>47521.799999999996</v>
      </c>
      <c r="BU24" s="23">
        <f t="shared" si="116"/>
        <v>0.2</v>
      </c>
      <c r="BV24" s="24">
        <f t="shared" si="139"/>
        <v>0</v>
      </c>
      <c r="BW24" s="8">
        <f ca="1">(CD17)</f>
        <v>15984.899029628523</v>
      </c>
      <c r="BX24" s="8">
        <f ca="1">(BW24*0.205)</f>
        <v>3276.9043010738469</v>
      </c>
      <c r="BY24" s="8">
        <f ca="1">(BW24*0.01)</f>
        <v>159.84899029628522</v>
      </c>
      <c r="BZ24" s="8">
        <f ca="1">(BW24*0.05*-1)</f>
        <v>-799.24495148142614</v>
      </c>
      <c r="CA24" s="8">
        <f ca="1">(BW24+BX24+BY24+BZ24)</f>
        <v>18622.40736951723</v>
      </c>
      <c r="CH24" s="26">
        <f>(0)</f>
        <v>0</v>
      </c>
      <c r="CI24" s="8">
        <f>(0)</f>
        <v>0</v>
      </c>
      <c r="CJ24" s="8">
        <f>(0)</f>
        <v>0</v>
      </c>
      <c r="CK24" s="8">
        <f t="shared" si="190"/>
        <v>0</v>
      </c>
      <c r="CL24" s="26">
        <f t="shared" si="109"/>
        <v>0.84240999999999999</v>
      </c>
      <c r="CM24" s="26">
        <f t="shared" si="191"/>
        <v>0.84240999999999999</v>
      </c>
      <c r="CN24" s="26">
        <f t="shared" si="192"/>
        <v>0.99241000000000001</v>
      </c>
      <c r="CO24" s="8">
        <f t="shared" si="161"/>
        <v>0</v>
      </c>
      <c r="CP24" s="8">
        <f t="shared" si="153"/>
        <v>0</v>
      </c>
      <c r="CQ24" s="8">
        <f t="shared" si="162"/>
        <v>0</v>
      </c>
      <c r="CR24" s="8">
        <f t="shared" si="163"/>
        <v>0</v>
      </c>
      <c r="CS24" s="8">
        <f t="shared" si="164"/>
        <v>0</v>
      </c>
      <c r="CT24" s="8">
        <f>(0)</f>
        <v>0</v>
      </c>
      <c r="CU24" s="8">
        <f t="shared" si="165"/>
        <v>0</v>
      </c>
      <c r="CV24" s="8">
        <f t="shared" si="166"/>
        <v>0</v>
      </c>
      <c r="CW24" s="8">
        <f t="shared" si="167"/>
        <v>0</v>
      </c>
      <c r="CX24" s="8">
        <f t="shared" si="168"/>
        <v>0</v>
      </c>
      <c r="CY24" s="8">
        <f t="shared" si="169"/>
        <v>0</v>
      </c>
      <c r="CZ24" s="8">
        <f t="shared" si="170"/>
        <v>0</v>
      </c>
      <c r="DA24" s="8">
        <f t="shared" si="171"/>
        <v>0</v>
      </c>
      <c r="DB24" s="8">
        <f t="shared" si="172"/>
        <v>0</v>
      </c>
      <c r="DC24" s="8">
        <f t="shared" si="173"/>
        <v>0</v>
      </c>
      <c r="DD24" s="8">
        <f t="shared" si="174"/>
        <v>0</v>
      </c>
      <c r="DE24" s="8">
        <f t="shared" si="175"/>
        <v>0</v>
      </c>
      <c r="DF24" s="8">
        <f t="shared" si="176"/>
        <v>0</v>
      </c>
      <c r="DG24" s="8">
        <f t="shared" si="177"/>
        <v>0</v>
      </c>
      <c r="DH24" s="8">
        <f t="shared" si="178"/>
        <v>0</v>
      </c>
      <c r="DI24" s="8">
        <f t="shared" si="179"/>
        <v>0</v>
      </c>
      <c r="DJ24" s="8">
        <f t="shared" si="180"/>
        <v>0</v>
      </c>
      <c r="DK24" s="34">
        <f t="shared" si="135"/>
        <v>0</v>
      </c>
      <c r="DL24" s="8">
        <f t="shared" si="154"/>
        <v>0</v>
      </c>
      <c r="DM24" s="8">
        <f t="shared" si="154"/>
        <v>0</v>
      </c>
      <c r="DN24" s="8">
        <f t="shared" si="181"/>
        <v>0</v>
      </c>
      <c r="DO24" s="8">
        <f t="shared" si="155"/>
        <v>0</v>
      </c>
      <c r="DW24" s="39" t="s">
        <v>0</v>
      </c>
      <c r="DX24" s="11" t="s">
        <v>0</v>
      </c>
      <c r="DY24" s="7">
        <v>22</v>
      </c>
      <c r="DZ24" s="20">
        <v>11</v>
      </c>
      <c r="EA24" s="21">
        <v>0.24</v>
      </c>
      <c r="EB24" s="53"/>
    </row>
    <row r="25" spans="1:132" ht="39.950000000000003" customHeight="1" x14ac:dyDescent="0.25">
      <c r="A25" s="30">
        <f t="shared" si="158"/>
        <v>0</v>
      </c>
      <c r="B25" s="31" t="s">
        <v>22</v>
      </c>
      <c r="C25" s="55">
        <v>0</v>
      </c>
      <c r="D25" s="56">
        <v>0</v>
      </c>
      <c r="E25" s="56">
        <v>0</v>
      </c>
      <c r="F25" s="57">
        <v>26</v>
      </c>
      <c r="G25" s="57">
        <v>104</v>
      </c>
      <c r="H25" s="57">
        <v>0</v>
      </c>
      <c r="I25" s="58" t="s">
        <v>1</v>
      </c>
      <c r="J25" s="55">
        <v>0</v>
      </c>
      <c r="K25" s="55">
        <v>0</v>
      </c>
      <c r="L25" s="55">
        <v>0</v>
      </c>
      <c r="M25" s="55">
        <v>0</v>
      </c>
      <c r="N25" s="59" t="s">
        <v>1</v>
      </c>
      <c r="O25" s="59" t="s">
        <v>1</v>
      </c>
      <c r="P25" s="59" t="s">
        <v>1</v>
      </c>
      <c r="Q25" s="60">
        <v>0</v>
      </c>
      <c r="R25" s="32">
        <f t="shared" ca="1" si="159"/>
        <v>11368.500291549362</v>
      </c>
      <c r="S25" s="32">
        <f ca="1">(BC22+BE22+BH18+AT10)</f>
        <v>1248</v>
      </c>
      <c r="T25" s="61">
        <f t="shared" ca="1" si="137"/>
        <v>12616.500291549362</v>
      </c>
      <c r="U25" s="40" t="s">
        <v>0</v>
      </c>
      <c r="V25" s="40" t="s">
        <v>0</v>
      </c>
      <c r="W25" s="40" t="s">
        <v>0</v>
      </c>
      <c r="X25" s="82"/>
      <c r="Y25" s="70"/>
      <c r="Z25" s="37" t="s">
        <v>0</v>
      </c>
      <c r="AA25" s="22" t="s">
        <v>0</v>
      </c>
      <c r="AB25" s="71"/>
      <c r="AC25" s="72"/>
      <c r="AD25" s="74"/>
      <c r="AE25" s="73"/>
      <c r="AF25" s="11" t="s">
        <v>0</v>
      </c>
      <c r="AG25" s="11" t="s">
        <v>0</v>
      </c>
      <c r="AH25" s="11" t="s">
        <v>0</v>
      </c>
      <c r="AI25" s="41">
        <f>(3.68518)</f>
        <v>3.6851799999999999</v>
      </c>
      <c r="AJ25" s="41">
        <f>(5.221532)</f>
        <v>5.2215319999999998</v>
      </c>
      <c r="AK25" s="7" t="s">
        <v>0</v>
      </c>
      <c r="AL25" s="19" t="s">
        <v>0</v>
      </c>
      <c r="AM25" s="25">
        <f t="shared" si="193"/>
        <v>0</v>
      </c>
      <c r="AN25" s="25">
        <f t="shared" si="194"/>
        <v>0</v>
      </c>
      <c r="AO25" s="25">
        <f t="shared" si="195"/>
        <v>0</v>
      </c>
      <c r="AP25" s="24" t="s">
        <v>11</v>
      </c>
      <c r="AQ25" s="8">
        <f t="shared" si="196"/>
        <v>-276.28200000000004</v>
      </c>
      <c r="AR25" s="8">
        <f t="shared" si="197"/>
        <v>276.28200000000004</v>
      </c>
      <c r="AS25" s="8">
        <f ca="1">(AU25+AW25*-1+BH7*-1+BI7*-1+BL7*-1)</f>
        <v>1421.5576404000001</v>
      </c>
      <c r="AT25" s="8">
        <f>(48*F21)</f>
        <v>1248</v>
      </c>
      <c r="AU25" s="8">
        <f>(AT25)</f>
        <v>1248</v>
      </c>
      <c r="AV25" s="8">
        <f ca="1">ROUND((AU25+AW25*-1+BH7*-1+BI7*-1+BL7*-1),2)</f>
        <v>1421.56</v>
      </c>
      <c r="AW25" s="8">
        <f ca="1">(AV25*0.00759*-1)</f>
        <v>-10.7896404</v>
      </c>
      <c r="AX25" s="8">
        <f>($AL$9*F21)</f>
        <v>336.44</v>
      </c>
      <c r="AY25" s="11" t="s">
        <v>0</v>
      </c>
      <c r="AZ25" s="5">
        <f t="shared" si="156"/>
        <v>13328.66418964637</v>
      </c>
      <c r="BA25" s="8">
        <f>(AX3*AO3)</f>
        <v>11228.199999999999</v>
      </c>
      <c r="BB25" s="8">
        <f t="shared" ref="BB25:BC25" si="200">(BB24/12)</f>
        <v>0</v>
      </c>
      <c r="BC25" s="8">
        <f t="shared" si="200"/>
        <v>0</v>
      </c>
      <c r="BD25" s="8">
        <f t="shared" ref="BD25:BE25" si="201">(BD24/12)</f>
        <v>468.84137969239049</v>
      </c>
      <c r="BE25" s="8">
        <f t="shared" si="201"/>
        <v>394.95666666666671</v>
      </c>
      <c r="BN25" s="8" t="s">
        <v>0</v>
      </c>
      <c r="BO25" s="8" t="s">
        <v>0</v>
      </c>
      <c r="BP25" s="8" t="s">
        <v>0</v>
      </c>
      <c r="BQ25" s="8" t="s">
        <v>0</v>
      </c>
      <c r="BR25" s="8">
        <f>(0)</f>
        <v>0</v>
      </c>
      <c r="BS25" s="8">
        <f>(AZ4+BF4+BG4-BR25)</f>
        <v>5500.3499999999995</v>
      </c>
      <c r="BT25" s="8">
        <f>SUM(BS$15:$BS25)</f>
        <v>53022.149999999994</v>
      </c>
      <c r="BU25" s="23">
        <f t="shared" si="116"/>
        <v>0.2</v>
      </c>
      <c r="BV25" s="24">
        <f t="shared" si="139"/>
        <v>0</v>
      </c>
      <c r="BW25" s="8">
        <f ca="1">(CD18)</f>
        <v>24799.015671168861</v>
      </c>
      <c r="BX25" s="8">
        <f ca="1">(BW25*0.205)</f>
        <v>5083.798212589616</v>
      </c>
      <c r="BY25" s="8">
        <f ca="1">(BW25*0.01)</f>
        <v>247.99015671168863</v>
      </c>
      <c r="BZ25" s="8">
        <f ca="1">(BW25*0.05*-1)</f>
        <v>-1239.9507835584432</v>
      </c>
      <c r="CA25" s="8">
        <f ca="1">(BW25+BX25+BY25+BZ25)</f>
        <v>28890.853256911723</v>
      </c>
      <c r="CH25" s="26">
        <f>(0)</f>
        <v>0</v>
      </c>
      <c r="CI25" s="8">
        <f>(0)</f>
        <v>0</v>
      </c>
      <c r="CJ25" s="8">
        <f>(0)</f>
        <v>0</v>
      </c>
      <c r="CK25" s="8">
        <f t="shared" si="190"/>
        <v>0</v>
      </c>
      <c r="CL25" s="26">
        <f t="shared" si="109"/>
        <v>0.84240999999999999</v>
      </c>
      <c r="CM25" s="26">
        <f t="shared" si="191"/>
        <v>0.84240999999999999</v>
      </c>
      <c r="CN25" s="26">
        <f t="shared" si="192"/>
        <v>0.99241000000000001</v>
      </c>
      <c r="CO25" s="8">
        <f t="shared" si="161"/>
        <v>0</v>
      </c>
      <c r="CP25" s="8">
        <f t="shared" si="153"/>
        <v>0</v>
      </c>
      <c r="CQ25" s="8">
        <f t="shared" si="162"/>
        <v>0</v>
      </c>
      <c r="CR25" s="8">
        <f t="shared" si="163"/>
        <v>0</v>
      </c>
      <c r="CS25" s="8">
        <f t="shared" si="164"/>
        <v>0</v>
      </c>
      <c r="CT25" s="8">
        <f>(0)</f>
        <v>0</v>
      </c>
      <c r="CU25" s="8">
        <f t="shared" si="165"/>
        <v>0</v>
      </c>
      <c r="CV25" s="8">
        <f t="shared" si="166"/>
        <v>0</v>
      </c>
      <c r="CW25" s="8">
        <f t="shared" si="167"/>
        <v>0</v>
      </c>
      <c r="CX25" s="8">
        <f t="shared" si="168"/>
        <v>0</v>
      </c>
      <c r="CY25" s="8">
        <f t="shared" si="169"/>
        <v>0</v>
      </c>
      <c r="CZ25" s="8">
        <f t="shared" si="170"/>
        <v>0</v>
      </c>
      <c r="DA25" s="8">
        <f t="shared" si="171"/>
        <v>0</v>
      </c>
      <c r="DB25" s="8">
        <f t="shared" si="172"/>
        <v>0</v>
      </c>
      <c r="DC25" s="8">
        <f t="shared" si="173"/>
        <v>0</v>
      </c>
      <c r="DD25" s="8">
        <f t="shared" si="174"/>
        <v>0</v>
      </c>
      <c r="DE25" s="8">
        <f t="shared" si="175"/>
        <v>0</v>
      </c>
      <c r="DF25" s="8">
        <f t="shared" si="176"/>
        <v>0</v>
      </c>
      <c r="DG25" s="8">
        <f t="shared" si="177"/>
        <v>0</v>
      </c>
      <c r="DH25" s="8">
        <f t="shared" si="178"/>
        <v>0</v>
      </c>
      <c r="DI25" s="8">
        <f t="shared" si="179"/>
        <v>0</v>
      </c>
      <c r="DJ25" s="8">
        <f t="shared" si="180"/>
        <v>0</v>
      </c>
      <c r="DK25" s="34">
        <f t="shared" si="135"/>
        <v>0</v>
      </c>
      <c r="DL25" s="8">
        <f t="shared" si="154"/>
        <v>0</v>
      </c>
      <c r="DM25" s="8">
        <f t="shared" si="154"/>
        <v>0</v>
      </c>
      <c r="DN25" s="8">
        <f t="shared" si="181"/>
        <v>0</v>
      </c>
      <c r="DO25" s="8">
        <f t="shared" si="155"/>
        <v>0</v>
      </c>
      <c r="DW25" s="39" t="s">
        <v>0</v>
      </c>
      <c r="DX25" s="11" t="s">
        <v>0</v>
      </c>
      <c r="DY25" s="7">
        <v>23</v>
      </c>
      <c r="DZ25" s="20">
        <v>11.5</v>
      </c>
      <c r="EA25" s="21">
        <v>0.25</v>
      </c>
      <c r="EB25" s="53"/>
    </row>
    <row r="26" spans="1:132" ht="39.950000000000003" customHeight="1" x14ac:dyDescent="0.25">
      <c r="A26" s="30">
        <f t="shared" si="158"/>
        <v>0</v>
      </c>
      <c r="B26" s="31" t="s">
        <v>23</v>
      </c>
      <c r="C26" s="55">
        <v>0</v>
      </c>
      <c r="D26" s="56">
        <v>0</v>
      </c>
      <c r="E26" s="56">
        <v>0</v>
      </c>
      <c r="F26" s="57">
        <v>27</v>
      </c>
      <c r="G26" s="57">
        <v>104</v>
      </c>
      <c r="H26" s="57">
        <v>0</v>
      </c>
      <c r="I26" s="58" t="s">
        <v>1</v>
      </c>
      <c r="J26" s="55">
        <v>0</v>
      </c>
      <c r="K26" s="55">
        <v>0</v>
      </c>
      <c r="L26" s="55">
        <v>0</v>
      </c>
      <c r="M26" s="55">
        <v>0</v>
      </c>
      <c r="N26" s="59" t="s">
        <v>1</v>
      </c>
      <c r="O26" s="59" t="s">
        <v>1</v>
      </c>
      <c r="P26" s="59" t="s">
        <v>1</v>
      </c>
      <c r="Q26" s="60">
        <v>0</v>
      </c>
      <c r="R26" s="32">
        <f t="shared" ca="1" si="159"/>
        <v>19699.099591014532</v>
      </c>
      <c r="S26" s="32">
        <f ca="1">(BC23+BE23+BH19+AT11)</f>
        <v>1296</v>
      </c>
      <c r="T26" s="61">
        <f t="shared" ca="1" si="137"/>
        <v>20995.099591014532</v>
      </c>
      <c r="U26" s="40" t="s">
        <v>0</v>
      </c>
      <c r="V26" s="40" t="s">
        <v>0</v>
      </c>
      <c r="W26" s="40" t="s">
        <v>0</v>
      </c>
      <c r="X26" s="82"/>
      <c r="Y26" s="70"/>
      <c r="Z26" s="37" t="s">
        <v>0</v>
      </c>
      <c r="AA26" s="22" t="s">
        <v>0</v>
      </c>
      <c r="AB26" s="71"/>
      <c r="AC26" s="72"/>
      <c r="AD26" s="74"/>
      <c r="AE26" s="73"/>
      <c r="AF26" s="11" t="s">
        <v>0</v>
      </c>
      <c r="AG26" s="11" t="s">
        <v>0</v>
      </c>
      <c r="AH26" s="11" t="s">
        <v>0</v>
      </c>
      <c r="AI26" s="41">
        <f>(0.074667)</f>
        <v>7.4666999999999997E-2</v>
      </c>
      <c r="AJ26" s="41">
        <f>(0.105796)</f>
        <v>0.105796</v>
      </c>
      <c r="AK26" s="7" t="s">
        <v>0</v>
      </c>
      <c r="AL26" s="19" t="s">
        <v>0</v>
      </c>
      <c r="AM26" s="25">
        <f t="shared" si="193"/>
        <v>0</v>
      </c>
      <c r="AN26" s="25">
        <f t="shared" si="194"/>
        <v>0</v>
      </c>
      <c r="AO26" s="25">
        <f t="shared" si="195"/>
        <v>0</v>
      </c>
      <c r="AP26" s="24" t="s">
        <v>11</v>
      </c>
      <c r="AQ26" s="8">
        <f t="shared" si="196"/>
        <v>-276.28200000000004</v>
      </c>
      <c r="AR26" s="8">
        <f t="shared" si="197"/>
        <v>276.28200000000004</v>
      </c>
      <c r="AS26" s="8">
        <f ca="1">(AU26+AW26*-1+BH8*-1+BI8*-1+BL8*-1)</f>
        <v>1476.2320857</v>
      </c>
      <c r="AT26" s="8">
        <f>(48*F22)</f>
        <v>1296</v>
      </c>
      <c r="AU26" s="8">
        <f>(AT26)</f>
        <v>1296</v>
      </c>
      <c r="AV26" s="8">
        <f ca="1">ROUND((AU26+AW26*-1+BH8*-1+BI8*-1+BL8*-1),2)</f>
        <v>1476.23</v>
      </c>
      <c r="AW26" s="8">
        <f ca="1">(AV26*0.00759*-1)</f>
        <v>-11.204585700000001</v>
      </c>
      <c r="AX26" s="8">
        <f>($AL$9*F22)</f>
        <v>349.38</v>
      </c>
      <c r="AY26" s="11" t="s">
        <v>0</v>
      </c>
      <c r="AZ26" s="8">
        <f t="shared" ref="AZ26:BA26" si="202">(AZ14+AZ15+AZ16+AZ17+AZ18+AZ19+AZ20+AZ21+AZ22+AZ23+AZ24+AZ25)</f>
        <v>145069.71664628864</v>
      </c>
      <c r="BA26" s="8">
        <f t="shared" si="202"/>
        <v>122208.18000000001</v>
      </c>
      <c r="BN26" s="8" t="s">
        <v>0</v>
      </c>
      <c r="BO26" s="8" t="s">
        <v>0</v>
      </c>
      <c r="BP26" s="8" t="s">
        <v>0</v>
      </c>
      <c r="BQ26" s="8" t="s">
        <v>0</v>
      </c>
      <c r="BR26" s="8">
        <f>(0)</f>
        <v>0</v>
      </c>
      <c r="BS26" s="8">
        <f>(AZ5+BF5+BG5-BR26)</f>
        <v>5500.3499999999995</v>
      </c>
      <c r="BT26" s="8">
        <f>SUM(BS$15:$BS26)</f>
        <v>58522.499999999993</v>
      </c>
      <c r="BU26" s="23">
        <f t="shared" si="116"/>
        <v>0.2</v>
      </c>
      <c r="BV26" s="24">
        <f t="shared" si="139"/>
        <v>0</v>
      </c>
      <c r="BW26" s="8">
        <f ca="1">(CD19)</f>
        <v>15984.899029628523</v>
      </c>
      <c r="BX26" s="8">
        <f ca="1">(BW26*0.205)</f>
        <v>3276.9043010738469</v>
      </c>
      <c r="BY26" s="8">
        <f ca="1">(BW26*0.01)</f>
        <v>159.84899029628522</v>
      </c>
      <c r="BZ26" s="8">
        <f ca="1">(BW26*0.05*-1)</f>
        <v>-799.24495148142614</v>
      </c>
      <c r="CA26" s="8">
        <f ca="1">(BW26+BX26+BY26+BZ26)</f>
        <v>18622.40736951723</v>
      </c>
      <c r="CH26" s="26">
        <f>(0)</f>
        <v>0</v>
      </c>
      <c r="CI26" s="8">
        <f>(0)</f>
        <v>0</v>
      </c>
      <c r="CJ26" s="8">
        <f>(0)</f>
        <v>0</v>
      </c>
      <c r="CK26" s="8">
        <f t="shared" si="190"/>
        <v>0</v>
      </c>
      <c r="CL26" s="26">
        <f t="shared" si="109"/>
        <v>0.84240999999999999</v>
      </c>
      <c r="CM26" s="26">
        <f t="shared" si="191"/>
        <v>0.84240999999999999</v>
      </c>
      <c r="CN26" s="26">
        <f t="shared" si="192"/>
        <v>0.99241000000000001</v>
      </c>
      <c r="CO26" s="8">
        <f t="shared" si="161"/>
        <v>0</v>
      </c>
      <c r="CP26" s="8">
        <f t="shared" si="153"/>
        <v>0</v>
      </c>
      <c r="CQ26" s="8">
        <f t="shared" si="162"/>
        <v>0</v>
      </c>
      <c r="CR26" s="8">
        <f t="shared" si="163"/>
        <v>0</v>
      </c>
      <c r="CS26" s="8">
        <f t="shared" si="164"/>
        <v>0</v>
      </c>
      <c r="CT26" s="8">
        <f>(0)</f>
        <v>0</v>
      </c>
      <c r="CU26" s="8">
        <f t="shared" si="165"/>
        <v>0</v>
      </c>
      <c r="CV26" s="8">
        <f t="shared" si="166"/>
        <v>0</v>
      </c>
      <c r="CW26" s="8">
        <f t="shared" si="167"/>
        <v>0</v>
      </c>
      <c r="CX26" s="8">
        <f t="shared" si="168"/>
        <v>0</v>
      </c>
      <c r="CY26" s="8">
        <f t="shared" si="169"/>
        <v>0</v>
      </c>
      <c r="CZ26" s="8">
        <f t="shared" si="170"/>
        <v>0</v>
      </c>
      <c r="DA26" s="8">
        <f t="shared" si="171"/>
        <v>0</v>
      </c>
      <c r="DB26" s="8">
        <f t="shared" si="172"/>
        <v>0</v>
      </c>
      <c r="DC26" s="8">
        <f t="shared" si="173"/>
        <v>0</v>
      </c>
      <c r="DD26" s="8">
        <f t="shared" si="174"/>
        <v>0</v>
      </c>
      <c r="DE26" s="8">
        <f t="shared" si="175"/>
        <v>0</v>
      </c>
      <c r="DF26" s="8">
        <f t="shared" si="176"/>
        <v>0</v>
      </c>
      <c r="DG26" s="8">
        <f t="shared" si="177"/>
        <v>0</v>
      </c>
      <c r="DH26" s="8">
        <f t="shared" si="178"/>
        <v>0</v>
      </c>
      <c r="DI26" s="8">
        <f t="shared" si="179"/>
        <v>0</v>
      </c>
      <c r="DJ26" s="8">
        <f t="shared" si="180"/>
        <v>0</v>
      </c>
      <c r="DK26" s="34">
        <f t="shared" si="135"/>
        <v>0</v>
      </c>
      <c r="DL26" s="8">
        <f t="shared" si="154"/>
        <v>0</v>
      </c>
      <c r="DM26" s="8">
        <f t="shared" si="154"/>
        <v>0</v>
      </c>
      <c r="DN26" s="8">
        <f t="shared" si="181"/>
        <v>0</v>
      </c>
      <c r="DO26" s="8">
        <f t="shared" si="155"/>
        <v>0</v>
      </c>
      <c r="DW26" s="39" t="s">
        <v>0</v>
      </c>
      <c r="DX26" s="11" t="s">
        <v>0</v>
      </c>
      <c r="DY26" s="7">
        <v>24</v>
      </c>
      <c r="DZ26" s="20">
        <v>12</v>
      </c>
      <c r="EA26" s="21">
        <v>0.26</v>
      </c>
      <c r="EB26" s="53"/>
    </row>
    <row r="27" spans="1:132" ht="39.950000000000003" customHeight="1" x14ac:dyDescent="0.25">
      <c r="A27" s="68" t="s">
        <v>50</v>
      </c>
      <c r="B27" s="69"/>
      <c r="C27" s="42" t="s">
        <v>0</v>
      </c>
      <c r="D27" s="43">
        <f>(D15+D16+D17+D18+D19+D20+D21+D22+D23+D24+D25+D26)</f>
        <v>0</v>
      </c>
      <c r="E27" s="43">
        <f>(E15+E16+E17+E18+E19+E20+E21+E22+E23+E24+E25+E26)</f>
        <v>14</v>
      </c>
      <c r="F27" s="44">
        <f>(F15+F16+F17+F18+F19+F20+F21+F22+F23+F24+F25+F26)</f>
        <v>313</v>
      </c>
      <c r="G27" s="44">
        <f>(G15+G16+G17+G18+G19+G20+G21+G22+G23+G24+G25+G26)</f>
        <v>1248</v>
      </c>
      <c r="H27" s="44">
        <f>(H15+H16+H17+H18+H19+H20+H21+H22+H23+H24+H25+H26)</f>
        <v>0</v>
      </c>
      <c r="I27" s="45" t="s">
        <v>0</v>
      </c>
      <c r="J27" s="42" t="s">
        <v>0</v>
      </c>
      <c r="K27" s="42" t="s">
        <v>0</v>
      </c>
      <c r="L27" s="42" t="s">
        <v>0</v>
      </c>
      <c r="M27" s="42" t="s">
        <v>0</v>
      </c>
      <c r="N27" s="42" t="s">
        <v>0</v>
      </c>
      <c r="O27" s="42" t="s">
        <v>0</v>
      </c>
      <c r="P27" s="42" t="s">
        <v>0</v>
      </c>
      <c r="Q27" s="46" t="s">
        <v>0</v>
      </c>
      <c r="R27" s="47">
        <f t="shared" ref="R27" ca="1" si="203">(R15+R16+R17+R18+R19+R20+R21+R22+R23+R24+R25+R26)</f>
        <v>166397.05696897372</v>
      </c>
      <c r="S27" s="47">
        <f t="shared" ref="S27" ca="1" si="204">(S15+S16+S17+S18+S19+S20+S21+S22+S23+S24+S25+S26)</f>
        <v>19113.480000000003</v>
      </c>
      <c r="T27" s="62">
        <f t="shared" ref="T27" ca="1" si="205">(T15+T16+T17+T18+T19+T20+T21+T22+T23+T24+T25+T26)</f>
        <v>185510.53696897373</v>
      </c>
      <c r="U27" s="40" t="s">
        <v>0</v>
      </c>
      <c r="V27" s="40" t="s">
        <v>0</v>
      </c>
      <c r="W27" s="40" t="s">
        <v>0</v>
      </c>
      <c r="X27" s="82"/>
      <c r="Y27" s="70"/>
      <c r="Z27" s="37" t="s">
        <v>0</v>
      </c>
      <c r="AA27" s="22" t="s">
        <v>0</v>
      </c>
      <c r="AB27" s="71"/>
      <c r="AC27" s="72"/>
      <c r="AD27" s="74"/>
      <c r="AE27" s="73"/>
      <c r="AF27" s="11" t="s">
        <v>0</v>
      </c>
      <c r="AG27" s="11" t="s">
        <v>0</v>
      </c>
      <c r="AH27" s="11" t="s">
        <v>0</v>
      </c>
      <c r="AM27" s="25">
        <f t="shared" si="193"/>
        <v>0</v>
      </c>
      <c r="AN27" s="25">
        <f t="shared" si="194"/>
        <v>0</v>
      </c>
      <c r="AO27" s="25">
        <f t="shared" si="195"/>
        <v>0</v>
      </c>
      <c r="AP27" s="24" t="s">
        <v>11</v>
      </c>
      <c r="AQ27" s="8">
        <f t="shared" si="196"/>
        <v>-276.28200000000004</v>
      </c>
      <c r="AR27" s="8">
        <f t="shared" si="197"/>
        <v>276.28200000000004</v>
      </c>
      <c r="AS27" s="8">
        <f ca="1">(AU27+AW27*-1+BH9*-1+BI9*-1+BL9*-1)</f>
        <v>1421.5576404000001</v>
      </c>
      <c r="AT27" s="8">
        <f>(48*F23)</f>
        <v>1248</v>
      </c>
      <c r="AU27" s="8">
        <f>(AT27)</f>
        <v>1248</v>
      </c>
      <c r="AV27" s="8">
        <f ca="1">ROUND((AU27+AW27*-1+BH9*-1+BI9*-1+BL9*-1),2)</f>
        <v>1421.56</v>
      </c>
      <c r="AW27" s="8">
        <f ca="1">(AV27*0.00759*-1)</f>
        <v>-10.7896404</v>
      </c>
      <c r="AX27" s="8">
        <f>($AL$9*F23)</f>
        <v>336.44</v>
      </c>
      <c r="AY27" s="11" t="s">
        <v>0</v>
      </c>
      <c r="AZ27" s="8">
        <f t="shared" ref="AZ27:BA27" si="206">(AZ26/12)</f>
        <v>12089.143053857386</v>
      </c>
      <c r="BA27" s="8">
        <f t="shared" si="206"/>
        <v>10184.015000000001</v>
      </c>
      <c r="BN27" s="11" t="s">
        <v>0</v>
      </c>
      <c r="BO27" s="11" t="s">
        <v>0</v>
      </c>
      <c r="BP27" s="11" t="s">
        <v>0</v>
      </c>
      <c r="BQ27" s="11" t="s">
        <v>0</v>
      </c>
      <c r="BR27" s="8">
        <f t="shared" ref="BR27" si="207">(BR15+BR16+BR17+BR18+BR19+BR20+BR21+BR22+BR23+BR24+BR25+BR26)</f>
        <v>0</v>
      </c>
      <c r="BS27" s="8">
        <f t="shared" ref="BS27" si="208">(BS15+BS16+BS17+BS18+BS19+BS20+BS21+BS22+BS23+BS24+BS25+BS26)</f>
        <v>58522.499999999993</v>
      </c>
      <c r="BT27" s="11" t="s">
        <v>0</v>
      </c>
      <c r="BU27" s="7" t="s">
        <v>0</v>
      </c>
      <c r="BV27" s="7" t="s">
        <v>0</v>
      </c>
      <c r="BW27" s="8">
        <f ca="1">(CD20)</f>
        <v>25928.582389827439</v>
      </c>
      <c r="BX27" s="8">
        <f ca="1">(BW27*0.205)</f>
        <v>5315.3593899146244</v>
      </c>
      <c r="BY27" s="8">
        <f ca="1">(BW27*0.01)</f>
        <v>259.28582389827437</v>
      </c>
      <c r="BZ27" s="8">
        <f ca="1">(BW27*0.05*-1)</f>
        <v>-1296.4291194913721</v>
      </c>
      <c r="CA27" s="8">
        <f ca="1">(BW27+BX27+BY27+BZ27)</f>
        <v>30206.798484148967</v>
      </c>
      <c r="CH27" s="26">
        <f>(0)</f>
        <v>0</v>
      </c>
      <c r="CI27" s="8">
        <f>(0)</f>
        <v>0</v>
      </c>
      <c r="CJ27" s="8">
        <f>(0)</f>
        <v>0</v>
      </c>
      <c r="CK27" s="8">
        <f t="shared" si="190"/>
        <v>0</v>
      </c>
      <c r="CL27" s="26">
        <f t="shared" si="109"/>
        <v>0.84240999999999999</v>
      </c>
      <c r="CM27" s="26">
        <f t="shared" si="191"/>
        <v>0.84240999999999999</v>
      </c>
      <c r="CN27" s="26">
        <f t="shared" si="192"/>
        <v>0.99241000000000001</v>
      </c>
      <c r="CO27" s="8">
        <f t="shared" ref="CO27:DB27" si="209">(CQ9+CQ10+CQ11+CQ12+CO19+CO20+CO21+CO22+CO23+CO24+CO25+CO26)</f>
        <v>0</v>
      </c>
      <c r="CP27" s="8">
        <f t="shared" si="209"/>
        <v>0</v>
      </c>
      <c r="CQ27" s="8">
        <f t="shared" si="209"/>
        <v>0</v>
      </c>
      <c r="CR27" s="8">
        <f t="shared" si="209"/>
        <v>0</v>
      </c>
      <c r="CS27" s="8">
        <f t="shared" si="209"/>
        <v>0</v>
      </c>
      <c r="CT27" s="8">
        <f t="shared" si="209"/>
        <v>0</v>
      </c>
      <c r="CU27" s="8">
        <f t="shared" si="209"/>
        <v>0</v>
      </c>
      <c r="CV27" s="8">
        <f t="shared" si="209"/>
        <v>0</v>
      </c>
      <c r="CW27" s="8">
        <f t="shared" si="209"/>
        <v>0</v>
      </c>
      <c r="CX27" s="8">
        <f t="shared" si="209"/>
        <v>0</v>
      </c>
      <c r="CY27" s="8">
        <f t="shared" si="209"/>
        <v>0</v>
      </c>
      <c r="CZ27" s="8">
        <f t="shared" si="209"/>
        <v>0</v>
      </c>
      <c r="DA27" s="8">
        <f t="shared" si="209"/>
        <v>0</v>
      </c>
      <c r="DB27" s="8">
        <f t="shared" si="209"/>
        <v>0</v>
      </c>
      <c r="DC27" s="8">
        <f t="shared" ref="DC27:DF27" si="210">(DC15+DC16+DC17+DC18+DC19+DC20+DC21+DC22+DC23+DC24+DC25+DC26)</f>
        <v>0</v>
      </c>
      <c r="DD27" s="8">
        <f t="shared" si="210"/>
        <v>0</v>
      </c>
      <c r="DE27" s="8">
        <f t="shared" si="210"/>
        <v>0</v>
      </c>
      <c r="DF27" s="8">
        <f t="shared" si="210"/>
        <v>0</v>
      </c>
      <c r="DG27" s="8">
        <f t="shared" ref="DG27:DJ27" si="211">(DG15+DG16+DG17+DG18+DG19+DG20+DG21+DG22+DG23+DG24+DG25+DG26)</f>
        <v>0</v>
      </c>
      <c r="DH27" s="8">
        <f t="shared" si="211"/>
        <v>0</v>
      </c>
      <c r="DI27" s="8">
        <f t="shared" si="211"/>
        <v>0</v>
      </c>
      <c r="DJ27" s="8">
        <f t="shared" si="211"/>
        <v>0</v>
      </c>
      <c r="DK27" s="11" t="s">
        <v>0</v>
      </c>
      <c r="DL27" s="8">
        <f t="shared" ref="DL27:DO27" si="212">(DL15+DL16+DL17+DL18+DL19+DL20+DL21+DL22+DL23+DL24+DL25+DL26)</f>
        <v>0</v>
      </c>
      <c r="DM27" s="8">
        <f t="shared" si="212"/>
        <v>0</v>
      </c>
      <c r="DN27" s="8">
        <f t="shared" si="212"/>
        <v>0</v>
      </c>
      <c r="DO27" s="8">
        <f t="shared" si="212"/>
        <v>0</v>
      </c>
      <c r="DW27" s="39" t="s">
        <v>0</v>
      </c>
      <c r="DX27" s="11" t="s">
        <v>0</v>
      </c>
      <c r="DY27" s="7">
        <v>25</v>
      </c>
      <c r="DZ27" s="20">
        <v>12.5</v>
      </c>
      <c r="EA27" s="21">
        <v>0.27</v>
      </c>
      <c r="EB27" s="53"/>
    </row>
    <row r="28" spans="1:132" ht="39.950000000000003" customHeight="1" x14ac:dyDescent="0.25">
      <c r="A28" s="68" t="s">
        <v>51</v>
      </c>
      <c r="B28" s="69"/>
      <c r="C28" s="42" t="s">
        <v>0</v>
      </c>
      <c r="D28" s="48" t="s">
        <v>0</v>
      </c>
      <c r="E28" s="42" t="s">
        <v>0</v>
      </c>
      <c r="F28" s="42" t="s">
        <v>0</v>
      </c>
      <c r="G28" s="42" t="s">
        <v>0</v>
      </c>
      <c r="H28" s="42" t="s">
        <v>0</v>
      </c>
      <c r="I28" s="45" t="s">
        <v>0</v>
      </c>
      <c r="J28" s="42" t="s">
        <v>0</v>
      </c>
      <c r="K28" s="42" t="s">
        <v>0</v>
      </c>
      <c r="L28" s="42" t="s">
        <v>0</v>
      </c>
      <c r="M28" s="42" t="s">
        <v>0</v>
      </c>
      <c r="N28" s="42" t="s">
        <v>0</v>
      </c>
      <c r="O28" s="42" t="s">
        <v>0</v>
      </c>
      <c r="P28" s="42" t="s">
        <v>0</v>
      </c>
      <c r="Q28" s="42" t="s">
        <v>0</v>
      </c>
      <c r="R28" s="47">
        <f ca="1">(R27/12)</f>
        <v>13866.421414081144</v>
      </c>
      <c r="S28" s="47">
        <f ca="1">(S27/12)</f>
        <v>1592.7900000000002</v>
      </c>
      <c r="T28" s="62">
        <f ca="1">(T27/12)</f>
        <v>15459.211414081145</v>
      </c>
      <c r="U28" s="40" t="s">
        <v>0</v>
      </c>
      <c r="V28" s="40" t="s">
        <v>0</v>
      </c>
      <c r="W28" s="40" t="s">
        <v>0</v>
      </c>
      <c r="X28" s="82"/>
      <c r="Y28" s="70"/>
      <c r="Z28" s="37" t="s">
        <v>0</v>
      </c>
      <c r="AA28" s="22" t="s">
        <v>0</v>
      </c>
      <c r="AB28" s="71"/>
      <c r="AC28" s="78"/>
      <c r="AD28" s="79"/>
      <c r="AE28" s="80"/>
      <c r="AF28" s="11" t="s">
        <v>0</v>
      </c>
      <c r="AG28" s="11" t="s">
        <v>0</v>
      </c>
      <c r="AH28" s="11" t="s">
        <v>0</v>
      </c>
      <c r="AM28" s="25">
        <f t="shared" si="193"/>
        <v>0</v>
      </c>
      <c r="AN28" s="25">
        <f t="shared" si="194"/>
        <v>0</v>
      </c>
      <c r="AO28" s="25">
        <f t="shared" si="195"/>
        <v>0</v>
      </c>
      <c r="AP28" s="24" t="s">
        <v>11</v>
      </c>
      <c r="AQ28" s="8">
        <f t="shared" si="196"/>
        <v>-276.28200000000004</v>
      </c>
      <c r="AR28" s="8">
        <f t="shared" si="197"/>
        <v>276.28200000000004</v>
      </c>
      <c r="BN28" s="11" t="s">
        <v>0</v>
      </c>
      <c r="BO28" s="11" t="s">
        <v>0</v>
      </c>
      <c r="BP28" s="11" t="s">
        <v>0</v>
      </c>
      <c r="BQ28" s="11" t="s">
        <v>0</v>
      </c>
      <c r="BR28" s="8">
        <f t="shared" ref="BR28" si="213">(BR27/12)</f>
        <v>0</v>
      </c>
      <c r="BS28" s="8">
        <f t="shared" ref="BS28" si="214">(BS27/12)</f>
        <v>4876.8749999999991</v>
      </c>
      <c r="BT28" s="11" t="s">
        <v>0</v>
      </c>
      <c r="BU28" s="11" t="s">
        <v>0</v>
      </c>
      <c r="BV28" s="11" t="s">
        <v>0</v>
      </c>
      <c r="BW28" s="8">
        <f ca="1">(CH15+CH16+CH17+CH18+CH19+CH20+CH21+BW23+BW24+BW25+BW26+BW27)</f>
        <v>230905.56791701631</v>
      </c>
      <c r="BX28" s="8">
        <f ca="1">(CI15+CI16+CI17+CI18+CI19+CI20+CI21+BX23+BX24+BX25+BX26+BX27)</f>
        <v>47335.641422988338</v>
      </c>
      <c r="BY28" s="8">
        <f ca="1">(CJ15+CJ16+CJ17+CJ18+CJ19+CJ20+CJ21+BY23+BY24+BY25+BY26+BY27)</f>
        <v>2309.0556791701629</v>
      </c>
      <c r="BZ28" s="8">
        <f ca="1">(CK15+CK16+CK17+CK18+CK19+CK20+CK21+BZ23+BZ24+BZ25+BZ26+BZ27)</f>
        <v>-11545.278395850815</v>
      </c>
      <c r="CA28" s="8">
        <f ca="1">(CL15+CL16+CL17+CL18+CL19+CL20+CL21+CA23+CA24+CA25+CA26+CA27)</f>
        <v>269004.98662332399</v>
      </c>
      <c r="CH28" s="7" t="s">
        <v>0</v>
      </c>
      <c r="CI28" s="8">
        <f>(CR13+CR14+CR15+CR16+CR17+CR18+CI22+CI23+CI24+CI25+CI26+CI27)</f>
        <v>0</v>
      </c>
      <c r="CJ28" s="8">
        <f>(CS13+CS14+CS15+CS16+CS17+CS18+CJ22+CJ23+CJ24+CJ25+CJ26+CJ27)</f>
        <v>0</v>
      </c>
      <c r="CK28" s="8">
        <f>(CT13+CT14+CT15+CT16+CT17+CT18+CK22+CK23+CK24+CK25+CK26+CK27)</f>
        <v>0</v>
      </c>
      <c r="CL28" s="7" t="s">
        <v>0</v>
      </c>
      <c r="CM28" s="7" t="s">
        <v>0</v>
      </c>
      <c r="CN28" s="7" t="s">
        <v>0</v>
      </c>
      <c r="CO28" s="8">
        <f t="shared" ref="CO28:CP28" si="215">(CO27/12)</f>
        <v>0</v>
      </c>
      <c r="CP28" s="8">
        <f t="shared" si="215"/>
        <v>0</v>
      </c>
      <c r="CQ28" s="8">
        <f t="shared" ref="CQ28:CT28" si="216">(CQ27/12)</f>
        <v>0</v>
      </c>
      <c r="CR28" s="8">
        <f t="shared" si="216"/>
        <v>0</v>
      </c>
      <c r="CS28" s="8">
        <f t="shared" si="216"/>
        <v>0</v>
      </c>
      <c r="CT28" s="8">
        <f t="shared" si="216"/>
        <v>0</v>
      </c>
      <c r="CU28" s="8">
        <f t="shared" ref="CU28:CX28" si="217">(CU27/12)</f>
        <v>0</v>
      </c>
      <c r="CV28" s="8">
        <f t="shared" si="217"/>
        <v>0</v>
      </c>
      <c r="CW28" s="8">
        <f t="shared" si="217"/>
        <v>0</v>
      </c>
      <c r="CX28" s="8">
        <f t="shared" si="217"/>
        <v>0</v>
      </c>
      <c r="CY28" s="8">
        <f t="shared" ref="CY28:DB28" si="218">(CY27/12)</f>
        <v>0</v>
      </c>
      <c r="CZ28" s="8">
        <f t="shared" si="218"/>
        <v>0</v>
      </c>
      <c r="DA28" s="8">
        <f t="shared" si="218"/>
        <v>0</v>
      </c>
      <c r="DB28" s="8">
        <f t="shared" si="218"/>
        <v>0</v>
      </c>
      <c r="DC28" s="8">
        <f t="shared" ref="DC28:DF28" si="219">(DC27/12)</f>
        <v>0</v>
      </c>
      <c r="DD28" s="8">
        <f t="shared" si="219"/>
        <v>0</v>
      </c>
      <c r="DE28" s="8">
        <f t="shared" si="219"/>
        <v>0</v>
      </c>
      <c r="DF28" s="8">
        <f t="shared" si="219"/>
        <v>0</v>
      </c>
      <c r="DG28" s="8">
        <f t="shared" ref="DG28:DJ28" si="220">(DG27/12)</f>
        <v>0</v>
      </c>
      <c r="DH28" s="8">
        <f t="shared" si="220"/>
        <v>0</v>
      </c>
      <c r="DI28" s="8">
        <f t="shared" si="220"/>
        <v>0</v>
      </c>
      <c r="DJ28" s="8">
        <f t="shared" si="220"/>
        <v>0</v>
      </c>
      <c r="DK28" s="11" t="s">
        <v>0</v>
      </c>
      <c r="DL28" s="8">
        <f t="shared" ref="DL28:DO28" si="221">(DL27/12)</f>
        <v>0</v>
      </c>
      <c r="DM28" s="8">
        <f t="shared" si="221"/>
        <v>0</v>
      </c>
      <c r="DN28" s="8">
        <f t="shared" si="221"/>
        <v>0</v>
      </c>
      <c r="DO28" s="8">
        <f t="shared" si="221"/>
        <v>0</v>
      </c>
      <c r="DW28" s="39" t="s">
        <v>0</v>
      </c>
      <c r="DX28" s="11" t="s">
        <v>0</v>
      </c>
      <c r="DY28" s="7">
        <v>26</v>
      </c>
      <c r="DZ28" s="20">
        <v>13</v>
      </c>
      <c r="EA28" s="21">
        <v>0.28000000000000003</v>
      </c>
      <c r="EB28" s="54"/>
    </row>
    <row r="29" spans="1:132" ht="39.950000000000003" hidden="1" customHeight="1" x14ac:dyDescent="0.25">
      <c r="CH29" s="11" t="s">
        <v>0</v>
      </c>
      <c r="CI29" s="8">
        <f t="shared" ref="CI29" si="222">(CI28/12)</f>
        <v>0</v>
      </c>
      <c r="CJ29" s="8">
        <f t="shared" ref="CJ29" si="223">(CJ28/12)</f>
        <v>0</v>
      </c>
      <c r="CK29" s="8">
        <f t="shared" ref="CK29" si="224">(CK28/12)</f>
        <v>0</v>
      </c>
      <c r="CL29" s="11" t="s">
        <v>0</v>
      </c>
      <c r="CM29" s="11" t="s">
        <v>0</v>
      </c>
      <c r="CN29" s="11" t="s">
        <v>0</v>
      </c>
      <c r="DW29" s="14"/>
      <c r="DX29" s="14"/>
      <c r="DY29" s="7">
        <v>27</v>
      </c>
      <c r="DZ29" s="20">
        <v>13.5</v>
      </c>
      <c r="EA29" s="21">
        <v>0.28999999999999998</v>
      </c>
    </row>
    <row r="30" spans="1:132" ht="39.950000000000003" hidden="1" customHeight="1" x14ac:dyDescent="0.25">
      <c r="DW30" s="14"/>
      <c r="DX30" s="14"/>
      <c r="DY30" s="7">
        <v>28</v>
      </c>
      <c r="DZ30" s="20">
        <v>14</v>
      </c>
      <c r="EA30" s="21">
        <v>0.3</v>
      </c>
    </row>
    <row r="31" spans="1:132" ht="39.950000000000003" hidden="1" customHeight="1" x14ac:dyDescent="0.25">
      <c r="DW31" s="14"/>
      <c r="DX31" s="14"/>
      <c r="DY31" s="7">
        <v>29</v>
      </c>
      <c r="DZ31" s="20">
        <v>14.5</v>
      </c>
      <c r="EA31" s="21">
        <v>0.31</v>
      </c>
    </row>
    <row r="32" spans="1:132" ht="39.950000000000003" hidden="1" customHeight="1" x14ac:dyDescent="0.25">
      <c r="DY32" s="7">
        <v>30</v>
      </c>
      <c r="DZ32" s="20">
        <v>15</v>
      </c>
      <c r="EA32" s="21">
        <v>0.32</v>
      </c>
    </row>
    <row r="33" spans="129:131" ht="39.950000000000003" hidden="1" customHeight="1" x14ac:dyDescent="0.25">
      <c r="DY33" s="7">
        <v>31</v>
      </c>
      <c r="DZ33" s="20">
        <v>15.5</v>
      </c>
      <c r="EA33" s="21">
        <v>0.33</v>
      </c>
    </row>
    <row r="34" spans="129:131" ht="39.950000000000003" hidden="1" customHeight="1" x14ac:dyDescent="0.25">
      <c r="DY34" s="7">
        <v>32</v>
      </c>
      <c r="DZ34" s="20">
        <v>16</v>
      </c>
      <c r="EA34" s="21">
        <v>0.34</v>
      </c>
    </row>
    <row r="35" spans="129:131" ht="39.950000000000003" hidden="1" customHeight="1" x14ac:dyDescent="0.25">
      <c r="DY35" s="7">
        <v>33</v>
      </c>
      <c r="DZ35" s="20">
        <v>16.5</v>
      </c>
      <c r="EA35" s="21">
        <v>0.35</v>
      </c>
    </row>
    <row r="36" spans="129:131" ht="39.950000000000003" hidden="1" customHeight="1" x14ac:dyDescent="0.25">
      <c r="DY36" s="7">
        <v>34</v>
      </c>
      <c r="DZ36" s="20">
        <v>17</v>
      </c>
      <c r="EA36" s="21">
        <v>0.36</v>
      </c>
    </row>
    <row r="37" spans="129:131" ht="39.950000000000003" hidden="1" customHeight="1" x14ac:dyDescent="0.25">
      <c r="DY37" s="7">
        <v>35</v>
      </c>
      <c r="DZ37" s="20">
        <v>17.5</v>
      </c>
      <c r="EA37" s="21">
        <v>0.37</v>
      </c>
    </row>
    <row r="38" spans="129:131" ht="39.950000000000003" hidden="1" customHeight="1" x14ac:dyDescent="0.25">
      <c r="DY38" s="7">
        <v>36</v>
      </c>
      <c r="DZ38" s="20">
        <v>18</v>
      </c>
      <c r="EA38" s="21">
        <v>0.38</v>
      </c>
    </row>
    <row r="39" spans="129:131" ht="39.950000000000003" hidden="1" customHeight="1" x14ac:dyDescent="0.25">
      <c r="DY39" s="7">
        <v>37</v>
      </c>
      <c r="DZ39" s="20">
        <v>18.5</v>
      </c>
      <c r="EA39" s="21">
        <v>0.39</v>
      </c>
    </row>
    <row r="40" spans="129:131" ht="39.950000000000003" hidden="1" customHeight="1" x14ac:dyDescent="0.25">
      <c r="DY40" s="7">
        <v>38</v>
      </c>
      <c r="DZ40" s="20">
        <v>19</v>
      </c>
      <c r="EA40" s="21">
        <v>0.4</v>
      </c>
    </row>
    <row r="41" spans="129:131" ht="39.950000000000003" hidden="1" customHeight="1" x14ac:dyDescent="0.25">
      <c r="DY41" s="7">
        <v>39</v>
      </c>
      <c r="DZ41" s="20">
        <v>19.5</v>
      </c>
      <c r="EA41" s="21">
        <v>0.41</v>
      </c>
    </row>
    <row r="42" spans="129:131" ht="39.950000000000003" hidden="1" customHeight="1" x14ac:dyDescent="0.25">
      <c r="DY42" s="7">
        <v>40</v>
      </c>
      <c r="DZ42" s="20">
        <v>20</v>
      </c>
      <c r="EA42" s="21">
        <v>0.42</v>
      </c>
    </row>
    <row r="43" spans="129:131" ht="39.950000000000003" hidden="1" customHeight="1" x14ac:dyDescent="0.25">
      <c r="DY43" s="7">
        <v>41</v>
      </c>
      <c r="DZ43" s="20">
        <v>20.5</v>
      </c>
      <c r="EA43" s="21">
        <v>0.43</v>
      </c>
    </row>
    <row r="44" spans="129:131" ht="39.950000000000003" hidden="1" customHeight="1" x14ac:dyDescent="0.25">
      <c r="DY44" s="7">
        <v>42</v>
      </c>
      <c r="DZ44" s="20">
        <v>21</v>
      </c>
      <c r="EA44" s="21">
        <v>0.44</v>
      </c>
    </row>
    <row r="45" spans="129:131" ht="39.950000000000003" hidden="1" customHeight="1" x14ac:dyDescent="0.25">
      <c r="DY45" s="7">
        <v>43</v>
      </c>
      <c r="DZ45" s="20">
        <v>21.5</v>
      </c>
      <c r="EA45" s="21">
        <v>0.45</v>
      </c>
    </row>
    <row r="46" spans="129:131" ht="39.950000000000003" hidden="1" customHeight="1" x14ac:dyDescent="0.25">
      <c r="DY46" s="7">
        <v>44</v>
      </c>
      <c r="DZ46" s="20">
        <v>22</v>
      </c>
      <c r="EA46" s="21">
        <v>0.46</v>
      </c>
    </row>
    <row r="47" spans="129:131" ht="39.950000000000003" hidden="1" customHeight="1" x14ac:dyDescent="0.25">
      <c r="DY47" s="7">
        <v>45</v>
      </c>
      <c r="DZ47" s="20">
        <v>22.5</v>
      </c>
      <c r="EA47" s="21">
        <v>0.47</v>
      </c>
    </row>
    <row r="48" spans="129:131" ht="39.950000000000003" hidden="1" customHeight="1" x14ac:dyDescent="0.25">
      <c r="DY48" s="7">
        <v>46</v>
      </c>
      <c r="DZ48" s="20">
        <v>23</v>
      </c>
      <c r="EA48" s="21">
        <v>0.48</v>
      </c>
    </row>
    <row r="49" spans="129:131" ht="39.950000000000003" hidden="1" customHeight="1" x14ac:dyDescent="0.25">
      <c r="DY49" s="7">
        <v>47</v>
      </c>
      <c r="DZ49" s="20">
        <v>23.5</v>
      </c>
      <c r="EA49" s="21">
        <v>0.49</v>
      </c>
    </row>
    <row r="50" spans="129:131" ht="39.950000000000003" hidden="1" customHeight="1" x14ac:dyDescent="0.25">
      <c r="DY50" s="7">
        <v>48</v>
      </c>
      <c r="DZ50" s="20">
        <v>24</v>
      </c>
      <c r="EA50" s="21">
        <v>0.5</v>
      </c>
    </row>
    <row r="51" spans="129:131" ht="39.950000000000003" hidden="1" customHeight="1" x14ac:dyDescent="0.25">
      <c r="DY51" s="7">
        <v>49</v>
      </c>
      <c r="DZ51" s="20">
        <v>24.5</v>
      </c>
      <c r="EA51" s="50" t="s">
        <v>0</v>
      </c>
    </row>
    <row r="52" spans="129:131" ht="39.950000000000003" hidden="1" customHeight="1" x14ac:dyDescent="0.25">
      <c r="DY52" s="7">
        <v>50</v>
      </c>
      <c r="DZ52" s="20">
        <v>25</v>
      </c>
      <c r="EA52" s="50" t="s">
        <v>0</v>
      </c>
    </row>
    <row r="53" spans="129:131" ht="39.950000000000003" hidden="1" customHeight="1" x14ac:dyDescent="0.25">
      <c r="DY53" s="7">
        <v>51</v>
      </c>
      <c r="DZ53" s="20">
        <v>25.5</v>
      </c>
      <c r="EA53" s="50" t="s">
        <v>0</v>
      </c>
    </row>
    <row r="54" spans="129:131" ht="39.950000000000003" hidden="1" customHeight="1" x14ac:dyDescent="0.25">
      <c r="DY54" s="7">
        <v>52</v>
      </c>
      <c r="DZ54" s="20">
        <v>26</v>
      </c>
      <c r="EA54" s="50" t="s">
        <v>0</v>
      </c>
    </row>
    <row r="55" spans="129:131" ht="39.950000000000003" hidden="1" customHeight="1" x14ac:dyDescent="0.25">
      <c r="DY55" s="7">
        <v>53</v>
      </c>
      <c r="DZ55" s="20">
        <v>26.5</v>
      </c>
      <c r="EA55" s="50" t="s">
        <v>0</v>
      </c>
    </row>
    <row r="56" spans="129:131" ht="39.950000000000003" hidden="1" customHeight="1" x14ac:dyDescent="0.25">
      <c r="DY56" s="7">
        <v>54</v>
      </c>
      <c r="DZ56" s="20">
        <v>27</v>
      </c>
      <c r="EA56" s="50" t="s">
        <v>0</v>
      </c>
    </row>
    <row r="57" spans="129:131" ht="39.950000000000003" hidden="1" customHeight="1" x14ac:dyDescent="0.25">
      <c r="DY57" s="7">
        <v>55</v>
      </c>
      <c r="DZ57" s="20">
        <v>27.5</v>
      </c>
      <c r="EA57" s="50" t="s">
        <v>0</v>
      </c>
    </row>
    <row r="58" spans="129:131" ht="39.950000000000003" hidden="1" customHeight="1" x14ac:dyDescent="0.25">
      <c r="DY58" s="7">
        <v>56</v>
      </c>
      <c r="DZ58" s="20">
        <v>28</v>
      </c>
      <c r="EA58" s="50" t="s">
        <v>0</v>
      </c>
    </row>
    <row r="59" spans="129:131" ht="39.950000000000003" hidden="1" customHeight="1" x14ac:dyDescent="0.25">
      <c r="DY59" s="7">
        <v>57</v>
      </c>
      <c r="DZ59" s="20">
        <v>28.5</v>
      </c>
      <c r="EA59" s="50" t="s">
        <v>0</v>
      </c>
    </row>
    <row r="60" spans="129:131" ht="39.950000000000003" hidden="1" customHeight="1" x14ac:dyDescent="0.25">
      <c r="DY60" s="7">
        <v>58</v>
      </c>
      <c r="DZ60" s="20">
        <v>29</v>
      </c>
      <c r="EA60" s="50" t="s">
        <v>0</v>
      </c>
    </row>
    <row r="61" spans="129:131" ht="39.950000000000003" hidden="1" customHeight="1" x14ac:dyDescent="0.25">
      <c r="DY61" s="7">
        <v>59</v>
      </c>
      <c r="DZ61" s="20">
        <v>29.5</v>
      </c>
      <c r="EA61" s="50" t="s">
        <v>0</v>
      </c>
    </row>
    <row r="62" spans="129:131" ht="39.950000000000003" hidden="1" customHeight="1" x14ac:dyDescent="0.25">
      <c r="DY62" s="7">
        <v>60</v>
      </c>
      <c r="DZ62" s="20">
        <v>30</v>
      </c>
      <c r="EA62" s="50" t="s">
        <v>0</v>
      </c>
    </row>
    <row r="63" spans="129:131" ht="39.950000000000003" hidden="1" customHeight="1" x14ac:dyDescent="0.25">
      <c r="DY63" s="7">
        <v>61</v>
      </c>
      <c r="DZ63" s="20">
        <v>30.5</v>
      </c>
      <c r="EA63" s="50" t="s">
        <v>0</v>
      </c>
    </row>
    <row r="64" spans="129:131" ht="39.950000000000003" hidden="1" customHeight="1" x14ac:dyDescent="0.25">
      <c r="DY64" s="7">
        <v>62</v>
      </c>
      <c r="DZ64" s="20">
        <v>31</v>
      </c>
      <c r="EA64" s="50" t="s">
        <v>0</v>
      </c>
    </row>
    <row r="65" spans="129:131" ht="39.950000000000003" hidden="1" customHeight="1" x14ac:dyDescent="0.25">
      <c r="DY65" s="7">
        <v>63</v>
      </c>
      <c r="DZ65" s="20">
        <v>31.5</v>
      </c>
      <c r="EA65" s="50" t="s">
        <v>0</v>
      </c>
    </row>
    <row r="66" spans="129:131" ht="39.950000000000003" hidden="1" customHeight="1" x14ac:dyDescent="0.25">
      <c r="DY66" s="7">
        <v>64</v>
      </c>
      <c r="DZ66" s="20">
        <v>32</v>
      </c>
      <c r="EA66" s="50" t="s">
        <v>0</v>
      </c>
    </row>
    <row r="67" spans="129:131" ht="39.950000000000003" hidden="1" customHeight="1" x14ac:dyDescent="0.25">
      <c r="DY67" s="7">
        <v>65</v>
      </c>
      <c r="DZ67" s="20">
        <v>32.5</v>
      </c>
      <c r="EA67" s="50" t="s">
        <v>0</v>
      </c>
    </row>
    <row r="68" spans="129:131" ht="39.950000000000003" hidden="1" customHeight="1" x14ac:dyDescent="0.25">
      <c r="DY68" s="7">
        <v>66</v>
      </c>
      <c r="DZ68" s="20">
        <v>33</v>
      </c>
      <c r="EA68" s="50" t="s">
        <v>0</v>
      </c>
    </row>
    <row r="69" spans="129:131" ht="39.950000000000003" hidden="1" customHeight="1" x14ac:dyDescent="0.25">
      <c r="DY69" s="7">
        <v>67</v>
      </c>
      <c r="DZ69" s="20">
        <v>33.5</v>
      </c>
      <c r="EA69" s="50" t="s">
        <v>0</v>
      </c>
    </row>
    <row r="70" spans="129:131" ht="39.950000000000003" hidden="1" customHeight="1" x14ac:dyDescent="0.25">
      <c r="DY70" s="7">
        <v>68</v>
      </c>
      <c r="DZ70" s="20">
        <v>34</v>
      </c>
      <c r="EA70" s="50" t="s">
        <v>0</v>
      </c>
    </row>
    <row r="71" spans="129:131" ht="39.950000000000003" hidden="1" customHeight="1" x14ac:dyDescent="0.25">
      <c r="DY71" s="7">
        <v>69</v>
      </c>
      <c r="DZ71" s="20">
        <v>34.5</v>
      </c>
      <c r="EA71" s="50" t="s">
        <v>0</v>
      </c>
    </row>
    <row r="72" spans="129:131" ht="39.950000000000003" hidden="1" customHeight="1" x14ac:dyDescent="0.25">
      <c r="DY72" s="7">
        <v>70</v>
      </c>
      <c r="DZ72" s="20">
        <v>35</v>
      </c>
      <c r="EA72" s="50" t="s">
        <v>0</v>
      </c>
    </row>
    <row r="73" spans="129:131" ht="39.950000000000003" hidden="1" customHeight="1" x14ac:dyDescent="0.25">
      <c r="DY73" s="7">
        <v>71</v>
      </c>
      <c r="DZ73" s="20">
        <v>35.5</v>
      </c>
      <c r="EA73" s="50" t="s">
        <v>0</v>
      </c>
    </row>
    <row r="74" spans="129:131" ht="39.950000000000003" hidden="1" customHeight="1" x14ac:dyDescent="0.25">
      <c r="DY74" s="7">
        <v>72</v>
      </c>
      <c r="DZ74" s="20">
        <v>36</v>
      </c>
      <c r="EA74" s="50" t="s">
        <v>0</v>
      </c>
    </row>
    <row r="75" spans="129:131" ht="39.950000000000003" hidden="1" customHeight="1" x14ac:dyDescent="0.25">
      <c r="DY75" s="7">
        <v>73</v>
      </c>
      <c r="DZ75" s="20">
        <v>36.5</v>
      </c>
      <c r="EA75" s="50" t="s">
        <v>0</v>
      </c>
    </row>
    <row r="76" spans="129:131" ht="39.950000000000003" hidden="1" customHeight="1" x14ac:dyDescent="0.25">
      <c r="DY76" s="7">
        <v>74</v>
      </c>
      <c r="DZ76" s="20">
        <v>37</v>
      </c>
      <c r="EA76" s="50" t="s">
        <v>0</v>
      </c>
    </row>
    <row r="77" spans="129:131" ht="39.950000000000003" hidden="1" customHeight="1" x14ac:dyDescent="0.25">
      <c r="DY77" s="7">
        <v>75</v>
      </c>
      <c r="DZ77" s="20">
        <v>37.5</v>
      </c>
      <c r="EA77" s="50" t="s">
        <v>0</v>
      </c>
    </row>
    <row r="78" spans="129:131" ht="39.950000000000003" hidden="1" customHeight="1" x14ac:dyDescent="0.25">
      <c r="DY78" s="7">
        <v>76</v>
      </c>
      <c r="DZ78" s="20">
        <v>38</v>
      </c>
      <c r="EA78" s="50" t="s">
        <v>0</v>
      </c>
    </row>
    <row r="79" spans="129:131" ht="39.950000000000003" hidden="1" customHeight="1" x14ac:dyDescent="0.25">
      <c r="DY79" s="7">
        <v>77</v>
      </c>
      <c r="DZ79" s="20">
        <v>38.5</v>
      </c>
      <c r="EA79" s="50" t="s">
        <v>0</v>
      </c>
    </row>
    <row r="80" spans="129:131" ht="39.950000000000003" hidden="1" customHeight="1" x14ac:dyDescent="0.25">
      <c r="DY80" s="7">
        <v>78</v>
      </c>
      <c r="DZ80" s="20">
        <v>39</v>
      </c>
      <c r="EA80" s="50" t="s">
        <v>0</v>
      </c>
    </row>
    <row r="81" spans="129:131" ht="39.950000000000003" hidden="1" customHeight="1" x14ac:dyDescent="0.25">
      <c r="DY81" s="7">
        <v>79</v>
      </c>
      <c r="DZ81" s="20">
        <v>39.5</v>
      </c>
      <c r="EA81" s="50" t="s">
        <v>0</v>
      </c>
    </row>
    <row r="82" spans="129:131" ht="39.950000000000003" hidden="1" customHeight="1" x14ac:dyDescent="0.25">
      <c r="DY82" s="7">
        <v>80</v>
      </c>
      <c r="DZ82" s="20">
        <v>40</v>
      </c>
      <c r="EA82" s="50" t="s">
        <v>0</v>
      </c>
    </row>
    <row r="83" spans="129:131" ht="39.950000000000003" hidden="1" customHeight="1" x14ac:dyDescent="0.25">
      <c r="DY83" s="7">
        <v>81</v>
      </c>
      <c r="DZ83" s="20">
        <v>40.5</v>
      </c>
      <c r="EA83" s="50" t="s">
        <v>0</v>
      </c>
    </row>
    <row r="84" spans="129:131" ht="39.950000000000003" hidden="1" customHeight="1" x14ac:dyDescent="0.25">
      <c r="DY84" s="7">
        <v>82</v>
      </c>
      <c r="DZ84" s="20">
        <v>41</v>
      </c>
      <c r="EA84" s="50" t="s">
        <v>0</v>
      </c>
    </row>
    <row r="85" spans="129:131" ht="39.950000000000003" hidden="1" customHeight="1" x14ac:dyDescent="0.25">
      <c r="DY85" s="7">
        <v>83</v>
      </c>
      <c r="DZ85" s="20">
        <v>41.5</v>
      </c>
      <c r="EA85" s="50" t="s">
        <v>0</v>
      </c>
    </row>
    <row r="86" spans="129:131" ht="39.950000000000003" hidden="1" customHeight="1" x14ac:dyDescent="0.25">
      <c r="DY86" s="7">
        <v>84</v>
      </c>
      <c r="DZ86" s="20">
        <v>42</v>
      </c>
      <c r="EA86" s="50" t="s">
        <v>0</v>
      </c>
    </row>
    <row r="87" spans="129:131" ht="39.950000000000003" hidden="1" customHeight="1" x14ac:dyDescent="0.25">
      <c r="DY87" s="7">
        <v>85</v>
      </c>
      <c r="DZ87" s="20">
        <v>42.5</v>
      </c>
      <c r="EA87" s="50" t="s">
        <v>0</v>
      </c>
    </row>
    <row r="88" spans="129:131" ht="39.950000000000003" hidden="1" customHeight="1" x14ac:dyDescent="0.25">
      <c r="DY88" s="7">
        <v>86</v>
      </c>
      <c r="DZ88" s="20">
        <v>43</v>
      </c>
      <c r="EA88" s="50" t="s">
        <v>0</v>
      </c>
    </row>
    <row r="89" spans="129:131" ht="39.950000000000003" hidden="1" customHeight="1" x14ac:dyDescent="0.25">
      <c r="DY89" s="7">
        <v>87</v>
      </c>
      <c r="DZ89" s="20">
        <v>43.5</v>
      </c>
      <c r="EA89" s="50" t="s">
        <v>0</v>
      </c>
    </row>
    <row r="90" spans="129:131" ht="39.950000000000003" hidden="1" customHeight="1" x14ac:dyDescent="0.25">
      <c r="DY90" s="7">
        <v>88</v>
      </c>
      <c r="DZ90" s="20">
        <v>44</v>
      </c>
      <c r="EA90" s="50" t="s">
        <v>0</v>
      </c>
    </row>
    <row r="91" spans="129:131" ht="39.950000000000003" hidden="1" customHeight="1" x14ac:dyDescent="0.25">
      <c r="DY91" s="7">
        <v>89</v>
      </c>
      <c r="DZ91" s="20">
        <v>44.5</v>
      </c>
      <c r="EA91" s="50" t="s">
        <v>0</v>
      </c>
    </row>
    <row r="92" spans="129:131" ht="39.950000000000003" hidden="1" customHeight="1" x14ac:dyDescent="0.25">
      <c r="DY92" s="7">
        <v>90</v>
      </c>
      <c r="DZ92" s="20">
        <v>45</v>
      </c>
      <c r="EA92" s="50" t="s">
        <v>0</v>
      </c>
    </row>
    <row r="93" spans="129:131" ht="39.950000000000003" hidden="1" customHeight="1" x14ac:dyDescent="0.25">
      <c r="DY93" s="7">
        <v>91</v>
      </c>
      <c r="DZ93" s="20">
        <v>45.5</v>
      </c>
      <c r="EA93" s="50" t="s">
        <v>0</v>
      </c>
    </row>
    <row r="94" spans="129:131" ht="39.950000000000003" hidden="1" customHeight="1" x14ac:dyDescent="0.25">
      <c r="DY94" s="7">
        <v>92</v>
      </c>
      <c r="DZ94" s="20">
        <v>46</v>
      </c>
      <c r="EA94" s="50" t="s">
        <v>0</v>
      </c>
    </row>
    <row r="95" spans="129:131" ht="39.950000000000003" hidden="1" customHeight="1" x14ac:dyDescent="0.25">
      <c r="DY95" s="7">
        <v>93</v>
      </c>
      <c r="DZ95" s="20">
        <v>46.5</v>
      </c>
      <c r="EA95" s="50" t="s">
        <v>0</v>
      </c>
    </row>
    <row r="96" spans="129:131" ht="39.950000000000003" hidden="1" customHeight="1" x14ac:dyDescent="0.25">
      <c r="DY96" s="7">
        <v>94</v>
      </c>
      <c r="DZ96" s="20">
        <v>47</v>
      </c>
      <c r="EA96" s="50" t="s">
        <v>0</v>
      </c>
    </row>
    <row r="97" spans="129:131" ht="39.950000000000003" hidden="1" customHeight="1" x14ac:dyDescent="0.25">
      <c r="DY97" s="7">
        <v>95</v>
      </c>
      <c r="DZ97" s="20">
        <v>47.5</v>
      </c>
      <c r="EA97" s="50" t="s">
        <v>0</v>
      </c>
    </row>
    <row r="98" spans="129:131" ht="39.950000000000003" hidden="1" customHeight="1" x14ac:dyDescent="0.25">
      <c r="DY98" s="7">
        <v>96</v>
      </c>
      <c r="DZ98" s="20">
        <v>48</v>
      </c>
      <c r="EA98" s="50" t="s">
        <v>0</v>
      </c>
    </row>
    <row r="99" spans="129:131" ht="39.950000000000003" hidden="1" customHeight="1" x14ac:dyDescent="0.25">
      <c r="DY99" s="7">
        <v>97</v>
      </c>
      <c r="DZ99" s="20">
        <v>48.5</v>
      </c>
      <c r="EA99" s="50" t="s">
        <v>0</v>
      </c>
    </row>
    <row r="100" spans="129:131" ht="39.950000000000003" hidden="1" customHeight="1" x14ac:dyDescent="0.25">
      <c r="DY100" s="7">
        <v>98</v>
      </c>
      <c r="DZ100" s="20">
        <v>49</v>
      </c>
      <c r="EA100" s="50" t="s">
        <v>0</v>
      </c>
    </row>
    <row r="101" spans="129:131" ht="39.950000000000003" hidden="1" customHeight="1" x14ac:dyDescent="0.25">
      <c r="DY101" s="7">
        <v>99</v>
      </c>
      <c r="DZ101" s="20">
        <v>49.5</v>
      </c>
      <c r="EA101" s="50" t="s">
        <v>0</v>
      </c>
    </row>
    <row r="102" spans="129:131" ht="39.950000000000003" hidden="1" customHeight="1" x14ac:dyDescent="0.25">
      <c r="DY102" s="7">
        <v>100</v>
      </c>
      <c r="DZ102" s="20">
        <v>50</v>
      </c>
      <c r="EA102" s="50" t="s">
        <v>0</v>
      </c>
    </row>
    <row r="103" spans="129:131" ht="39.950000000000003" hidden="1" customHeight="1" x14ac:dyDescent="0.25">
      <c r="DY103" s="7">
        <v>101</v>
      </c>
      <c r="DZ103" s="20">
        <v>50.5</v>
      </c>
      <c r="EA103" s="50" t="s">
        <v>0</v>
      </c>
    </row>
    <row r="104" spans="129:131" ht="39.950000000000003" hidden="1" customHeight="1" x14ac:dyDescent="0.25">
      <c r="DY104" s="7">
        <v>102</v>
      </c>
      <c r="DZ104" s="20">
        <v>51</v>
      </c>
      <c r="EA104" s="50" t="s">
        <v>0</v>
      </c>
    </row>
    <row r="105" spans="129:131" ht="39.950000000000003" hidden="1" customHeight="1" x14ac:dyDescent="0.25">
      <c r="DY105" s="7">
        <v>103</v>
      </c>
      <c r="DZ105" s="20">
        <v>51.5</v>
      </c>
      <c r="EA105" s="50" t="s">
        <v>0</v>
      </c>
    </row>
    <row r="106" spans="129:131" ht="39.950000000000003" hidden="1" customHeight="1" x14ac:dyDescent="0.25">
      <c r="DY106" s="7">
        <v>104</v>
      </c>
      <c r="DZ106" s="20">
        <v>52</v>
      </c>
      <c r="EA106" s="50" t="s">
        <v>0</v>
      </c>
    </row>
    <row r="107" spans="129:131" ht="39.950000000000003" hidden="1" customHeight="1" x14ac:dyDescent="0.25">
      <c r="DY107" s="7">
        <v>105</v>
      </c>
      <c r="DZ107" s="20">
        <v>52.5</v>
      </c>
      <c r="EA107" s="50" t="s">
        <v>0</v>
      </c>
    </row>
    <row r="108" spans="129:131" ht="39.950000000000003" hidden="1" customHeight="1" x14ac:dyDescent="0.25">
      <c r="DY108" s="7">
        <v>106</v>
      </c>
      <c r="DZ108" s="20">
        <v>53</v>
      </c>
      <c r="EA108" s="50" t="s">
        <v>0</v>
      </c>
    </row>
    <row r="109" spans="129:131" ht="39.950000000000003" hidden="1" customHeight="1" x14ac:dyDescent="0.25">
      <c r="DY109" s="7">
        <v>107</v>
      </c>
      <c r="DZ109" s="20">
        <v>53.5</v>
      </c>
      <c r="EA109" s="50" t="s">
        <v>0</v>
      </c>
    </row>
    <row r="110" spans="129:131" ht="39.950000000000003" hidden="1" customHeight="1" x14ac:dyDescent="0.25">
      <c r="DY110" s="7">
        <v>108</v>
      </c>
      <c r="DZ110" s="20">
        <v>54</v>
      </c>
      <c r="EA110" s="50" t="s">
        <v>0</v>
      </c>
    </row>
    <row r="111" spans="129:131" ht="39.950000000000003" hidden="1" customHeight="1" x14ac:dyDescent="0.25">
      <c r="DY111" s="7">
        <v>109</v>
      </c>
      <c r="DZ111" s="20">
        <v>54.5</v>
      </c>
      <c r="EA111" s="50" t="s">
        <v>0</v>
      </c>
    </row>
    <row r="112" spans="129:131" ht="39.950000000000003" hidden="1" customHeight="1" x14ac:dyDescent="0.25">
      <c r="DY112" s="7">
        <v>110</v>
      </c>
      <c r="DZ112" s="20">
        <v>55</v>
      </c>
      <c r="EA112" s="50" t="s">
        <v>0</v>
      </c>
    </row>
    <row r="113" spans="129:131" ht="39.950000000000003" hidden="1" customHeight="1" x14ac:dyDescent="0.25">
      <c r="DY113" s="7">
        <v>111</v>
      </c>
      <c r="DZ113" s="20">
        <v>55.5</v>
      </c>
      <c r="EA113" s="50" t="s">
        <v>0</v>
      </c>
    </row>
    <row r="114" spans="129:131" ht="39.950000000000003" hidden="1" customHeight="1" x14ac:dyDescent="0.25">
      <c r="DY114" s="7">
        <v>112</v>
      </c>
      <c r="DZ114" s="20">
        <v>56</v>
      </c>
      <c r="EA114" s="50" t="s">
        <v>0</v>
      </c>
    </row>
    <row r="115" spans="129:131" ht="39.950000000000003" hidden="1" customHeight="1" x14ac:dyDescent="0.25">
      <c r="DY115" s="7">
        <v>113</v>
      </c>
      <c r="DZ115" s="20">
        <v>56.5</v>
      </c>
      <c r="EA115" s="50" t="s">
        <v>0</v>
      </c>
    </row>
    <row r="116" spans="129:131" ht="39.950000000000003" hidden="1" customHeight="1" x14ac:dyDescent="0.25">
      <c r="DY116" s="7">
        <v>114</v>
      </c>
      <c r="DZ116" s="20">
        <v>57</v>
      </c>
      <c r="EA116" s="50" t="s">
        <v>0</v>
      </c>
    </row>
    <row r="117" spans="129:131" ht="39.950000000000003" hidden="1" customHeight="1" x14ac:dyDescent="0.25">
      <c r="DY117" s="7">
        <v>115</v>
      </c>
      <c r="DZ117" s="20">
        <v>57.5</v>
      </c>
      <c r="EA117" s="50" t="s">
        <v>0</v>
      </c>
    </row>
    <row r="118" spans="129:131" ht="39.950000000000003" hidden="1" customHeight="1" x14ac:dyDescent="0.25">
      <c r="DY118" s="7">
        <v>116</v>
      </c>
      <c r="DZ118" s="20">
        <v>58</v>
      </c>
      <c r="EA118" s="50" t="s">
        <v>0</v>
      </c>
    </row>
    <row r="119" spans="129:131" ht="39.950000000000003" hidden="1" customHeight="1" x14ac:dyDescent="0.25">
      <c r="DY119" s="7">
        <v>117</v>
      </c>
      <c r="DZ119" s="20">
        <v>58.5</v>
      </c>
      <c r="EA119" s="50" t="s">
        <v>0</v>
      </c>
    </row>
    <row r="120" spans="129:131" ht="39.950000000000003" hidden="1" customHeight="1" x14ac:dyDescent="0.25">
      <c r="DY120" s="7">
        <v>118</v>
      </c>
      <c r="DZ120" s="20">
        <v>59</v>
      </c>
      <c r="EA120" s="50" t="s">
        <v>0</v>
      </c>
    </row>
    <row r="121" spans="129:131" ht="39.950000000000003" hidden="1" customHeight="1" x14ac:dyDescent="0.25">
      <c r="DY121" s="7">
        <v>119</v>
      </c>
      <c r="DZ121" s="20">
        <v>59.5</v>
      </c>
      <c r="EA121" s="50" t="s">
        <v>0</v>
      </c>
    </row>
    <row r="122" spans="129:131" ht="39.950000000000003" hidden="1" customHeight="1" x14ac:dyDescent="0.25">
      <c r="DY122" s="7">
        <v>120</v>
      </c>
      <c r="DZ122" s="20">
        <v>60</v>
      </c>
      <c r="EA122" s="50" t="s">
        <v>0</v>
      </c>
    </row>
    <row r="123" spans="129:131" ht="39.950000000000003" hidden="1" customHeight="1" x14ac:dyDescent="0.25">
      <c r="DY123" s="7">
        <v>121</v>
      </c>
      <c r="DZ123" s="20">
        <v>60.5</v>
      </c>
      <c r="EA123" s="50" t="s">
        <v>0</v>
      </c>
    </row>
    <row r="124" spans="129:131" ht="39.950000000000003" hidden="1" customHeight="1" x14ac:dyDescent="0.25">
      <c r="DY124" s="7">
        <v>122</v>
      </c>
      <c r="DZ124" s="20">
        <v>61</v>
      </c>
      <c r="EA124" s="50" t="s">
        <v>0</v>
      </c>
    </row>
    <row r="125" spans="129:131" ht="39.950000000000003" hidden="1" customHeight="1" x14ac:dyDescent="0.25">
      <c r="DY125" s="7">
        <v>123</v>
      </c>
      <c r="DZ125" s="20">
        <v>61.5</v>
      </c>
      <c r="EA125" s="50" t="s">
        <v>0</v>
      </c>
    </row>
    <row r="126" spans="129:131" ht="39.950000000000003" hidden="1" customHeight="1" x14ac:dyDescent="0.25">
      <c r="DY126" s="7">
        <v>124</v>
      </c>
      <c r="DZ126" s="20">
        <v>62</v>
      </c>
      <c r="EA126" s="50" t="s">
        <v>0</v>
      </c>
    </row>
    <row r="127" spans="129:131" ht="39.950000000000003" hidden="1" customHeight="1" x14ac:dyDescent="0.25">
      <c r="DY127" s="7">
        <v>125</v>
      </c>
      <c r="DZ127" s="20">
        <v>62.5</v>
      </c>
      <c r="EA127" s="50" t="s">
        <v>0</v>
      </c>
    </row>
    <row r="128" spans="129:131" ht="39.950000000000003" hidden="1" customHeight="1" x14ac:dyDescent="0.25">
      <c r="DY128" s="7">
        <v>126</v>
      </c>
      <c r="DZ128" s="20">
        <v>63</v>
      </c>
      <c r="EA128" s="50" t="s">
        <v>0</v>
      </c>
    </row>
    <row r="129" spans="129:131" ht="39.950000000000003" hidden="1" customHeight="1" x14ac:dyDescent="0.25">
      <c r="DY129" s="7">
        <v>127</v>
      </c>
      <c r="DZ129" s="20">
        <v>63.5</v>
      </c>
      <c r="EA129" s="50" t="s">
        <v>0</v>
      </c>
    </row>
    <row r="130" spans="129:131" ht="39.950000000000003" hidden="1" customHeight="1" x14ac:dyDescent="0.25">
      <c r="DY130" s="7">
        <v>128</v>
      </c>
      <c r="DZ130" s="20">
        <v>64</v>
      </c>
      <c r="EA130" s="50" t="s">
        <v>0</v>
      </c>
    </row>
    <row r="131" spans="129:131" ht="39.950000000000003" hidden="1" customHeight="1" x14ac:dyDescent="0.25">
      <c r="DY131" s="7">
        <v>129</v>
      </c>
      <c r="DZ131" s="20">
        <v>64.5</v>
      </c>
      <c r="EA131" s="50" t="s">
        <v>0</v>
      </c>
    </row>
    <row r="132" spans="129:131" ht="39.950000000000003" hidden="1" customHeight="1" x14ac:dyDescent="0.25">
      <c r="DY132" s="7">
        <v>130</v>
      </c>
      <c r="DZ132" s="20">
        <v>65</v>
      </c>
      <c r="EA132" s="50" t="s">
        <v>0</v>
      </c>
    </row>
    <row r="133" spans="129:131" ht="39.950000000000003" hidden="1" customHeight="1" x14ac:dyDescent="0.25">
      <c r="DY133" s="7">
        <v>131</v>
      </c>
      <c r="DZ133" s="20">
        <v>65.5</v>
      </c>
      <c r="EA133" s="50" t="s">
        <v>0</v>
      </c>
    </row>
    <row r="134" spans="129:131" ht="39.950000000000003" hidden="1" customHeight="1" x14ac:dyDescent="0.25">
      <c r="DY134" s="7">
        <v>132</v>
      </c>
      <c r="DZ134" s="20">
        <v>66</v>
      </c>
      <c r="EA134" s="50" t="s">
        <v>0</v>
      </c>
    </row>
    <row r="135" spans="129:131" ht="39.950000000000003" hidden="1" customHeight="1" x14ac:dyDescent="0.25">
      <c r="DY135" s="7">
        <v>133</v>
      </c>
      <c r="DZ135" s="20">
        <v>66.5</v>
      </c>
      <c r="EA135" s="50" t="s">
        <v>0</v>
      </c>
    </row>
    <row r="136" spans="129:131" ht="39.950000000000003" hidden="1" customHeight="1" x14ac:dyDescent="0.25">
      <c r="DY136" s="7">
        <v>134</v>
      </c>
      <c r="DZ136" s="20">
        <v>67</v>
      </c>
      <c r="EA136" s="50" t="s">
        <v>0</v>
      </c>
    </row>
    <row r="137" spans="129:131" ht="39.950000000000003" hidden="1" customHeight="1" x14ac:dyDescent="0.25">
      <c r="DY137" s="7">
        <v>135</v>
      </c>
      <c r="DZ137" s="20">
        <v>67.5</v>
      </c>
      <c r="EA137" s="50" t="s">
        <v>0</v>
      </c>
    </row>
    <row r="138" spans="129:131" ht="39.950000000000003" hidden="1" customHeight="1" x14ac:dyDescent="0.25">
      <c r="DY138" s="7">
        <v>136</v>
      </c>
      <c r="DZ138" s="20">
        <v>68</v>
      </c>
      <c r="EA138" s="50" t="s">
        <v>0</v>
      </c>
    </row>
    <row r="139" spans="129:131" ht="39.950000000000003" hidden="1" customHeight="1" x14ac:dyDescent="0.25">
      <c r="DY139" s="7">
        <v>137</v>
      </c>
      <c r="DZ139" s="20">
        <v>68.5</v>
      </c>
      <c r="EA139" s="50" t="s">
        <v>0</v>
      </c>
    </row>
    <row r="140" spans="129:131" ht="39.950000000000003" hidden="1" customHeight="1" x14ac:dyDescent="0.25">
      <c r="DY140" s="7">
        <v>138</v>
      </c>
      <c r="DZ140" s="20">
        <v>69</v>
      </c>
      <c r="EA140" s="50" t="s">
        <v>0</v>
      </c>
    </row>
    <row r="141" spans="129:131" ht="39.950000000000003" hidden="1" customHeight="1" x14ac:dyDescent="0.25">
      <c r="DY141" s="7">
        <v>139</v>
      </c>
      <c r="DZ141" s="20">
        <v>69.5</v>
      </c>
      <c r="EA141" s="50" t="s">
        <v>0</v>
      </c>
    </row>
    <row r="142" spans="129:131" ht="39.950000000000003" hidden="1" customHeight="1" x14ac:dyDescent="0.25">
      <c r="DY142" s="7">
        <v>140</v>
      </c>
      <c r="DZ142" s="20">
        <v>70</v>
      </c>
      <c r="EA142" s="50" t="s">
        <v>0</v>
      </c>
    </row>
    <row r="143" spans="129:131" ht="39.950000000000003" hidden="1" customHeight="1" x14ac:dyDescent="0.25">
      <c r="DY143" s="7">
        <v>141</v>
      </c>
      <c r="DZ143" s="20">
        <v>70.5</v>
      </c>
      <c r="EA143" s="50" t="s">
        <v>0</v>
      </c>
    </row>
    <row r="144" spans="129:131" ht="39.950000000000003" hidden="1" customHeight="1" x14ac:dyDescent="0.25">
      <c r="DY144" s="7">
        <v>142</v>
      </c>
      <c r="DZ144" s="20">
        <v>71</v>
      </c>
      <c r="EA144" s="50" t="s">
        <v>0</v>
      </c>
    </row>
    <row r="145" spans="129:131" ht="39.950000000000003" hidden="1" customHeight="1" x14ac:dyDescent="0.25">
      <c r="DY145" s="7">
        <v>143</v>
      </c>
      <c r="DZ145" s="20">
        <v>71.5</v>
      </c>
      <c r="EA145" s="50" t="s">
        <v>0</v>
      </c>
    </row>
    <row r="146" spans="129:131" ht="39.950000000000003" hidden="1" customHeight="1" x14ac:dyDescent="0.25">
      <c r="DY146" s="7">
        <v>144</v>
      </c>
      <c r="DZ146" s="20">
        <v>72</v>
      </c>
      <c r="EA146" s="50" t="s">
        <v>0</v>
      </c>
    </row>
    <row r="147" spans="129:131" ht="39.950000000000003" hidden="1" customHeight="1" x14ac:dyDescent="0.25">
      <c r="DY147" s="7">
        <v>145</v>
      </c>
      <c r="DZ147" s="20">
        <v>72.5</v>
      </c>
      <c r="EA147" s="50" t="s">
        <v>0</v>
      </c>
    </row>
    <row r="148" spans="129:131" ht="39.950000000000003" hidden="1" customHeight="1" x14ac:dyDescent="0.25">
      <c r="DY148" s="7">
        <v>146</v>
      </c>
      <c r="DZ148" s="20">
        <v>73</v>
      </c>
      <c r="EA148" s="50" t="s">
        <v>0</v>
      </c>
    </row>
    <row r="149" spans="129:131" ht="39.950000000000003" hidden="1" customHeight="1" x14ac:dyDescent="0.25">
      <c r="DY149" s="7">
        <v>147</v>
      </c>
      <c r="DZ149" s="20">
        <v>73.5</v>
      </c>
      <c r="EA149" s="50" t="s">
        <v>0</v>
      </c>
    </row>
    <row r="150" spans="129:131" ht="39.950000000000003" hidden="1" customHeight="1" x14ac:dyDescent="0.25">
      <c r="DY150" s="7">
        <v>148</v>
      </c>
      <c r="DZ150" s="20">
        <v>74</v>
      </c>
      <c r="EA150" s="50" t="s">
        <v>0</v>
      </c>
    </row>
    <row r="151" spans="129:131" ht="39.950000000000003" hidden="1" customHeight="1" x14ac:dyDescent="0.25">
      <c r="DY151" s="7">
        <v>149</v>
      </c>
      <c r="DZ151" s="20">
        <v>74.5</v>
      </c>
      <c r="EA151" s="50" t="s">
        <v>0</v>
      </c>
    </row>
    <row r="152" spans="129:131" ht="39.950000000000003" hidden="1" customHeight="1" x14ac:dyDescent="0.25">
      <c r="DY152" s="7">
        <v>150</v>
      </c>
      <c r="DZ152" s="20">
        <v>75</v>
      </c>
      <c r="EA152" s="50" t="s">
        <v>0</v>
      </c>
    </row>
    <row r="153" spans="129:131" ht="39.950000000000003" hidden="1" customHeight="1" x14ac:dyDescent="0.25">
      <c r="DY153" s="7">
        <v>151</v>
      </c>
      <c r="DZ153" s="20">
        <v>75.5</v>
      </c>
      <c r="EA153" s="50" t="s">
        <v>0</v>
      </c>
    </row>
    <row r="154" spans="129:131" ht="39.950000000000003" hidden="1" customHeight="1" x14ac:dyDescent="0.25">
      <c r="DY154" s="7">
        <v>152</v>
      </c>
      <c r="DZ154" s="20">
        <v>76</v>
      </c>
      <c r="EA154" s="50" t="s">
        <v>0</v>
      </c>
    </row>
    <row r="155" spans="129:131" ht="39.950000000000003" hidden="1" customHeight="1" x14ac:dyDescent="0.25">
      <c r="DY155" s="7">
        <v>153</v>
      </c>
      <c r="DZ155" s="20">
        <v>76.5</v>
      </c>
      <c r="EA155" s="50" t="s">
        <v>0</v>
      </c>
    </row>
    <row r="156" spans="129:131" ht="39.950000000000003" hidden="1" customHeight="1" x14ac:dyDescent="0.25">
      <c r="DY156" s="7">
        <v>154</v>
      </c>
      <c r="DZ156" s="20">
        <v>77</v>
      </c>
      <c r="EA156" s="50" t="s">
        <v>0</v>
      </c>
    </row>
    <row r="157" spans="129:131" ht="39.950000000000003" hidden="1" customHeight="1" x14ac:dyDescent="0.25">
      <c r="DY157" s="7">
        <v>155</v>
      </c>
      <c r="DZ157" s="20">
        <v>77.5</v>
      </c>
      <c r="EA157" s="50" t="s">
        <v>0</v>
      </c>
    </row>
    <row r="158" spans="129:131" ht="39.950000000000003" hidden="1" customHeight="1" x14ac:dyDescent="0.25">
      <c r="DY158" s="7">
        <v>156</v>
      </c>
      <c r="DZ158" s="20">
        <v>78</v>
      </c>
      <c r="EA158" s="50" t="s">
        <v>0</v>
      </c>
    </row>
    <row r="159" spans="129:131" ht="39.950000000000003" hidden="1" customHeight="1" x14ac:dyDescent="0.25">
      <c r="DY159" s="7">
        <v>157</v>
      </c>
      <c r="DZ159" s="20">
        <v>78.5</v>
      </c>
      <c r="EA159" s="50" t="s">
        <v>0</v>
      </c>
    </row>
    <row r="160" spans="129:131" ht="39.950000000000003" hidden="1" customHeight="1" x14ac:dyDescent="0.25">
      <c r="DY160" s="7">
        <v>158</v>
      </c>
      <c r="DZ160" s="20">
        <v>79</v>
      </c>
      <c r="EA160" s="50" t="s">
        <v>0</v>
      </c>
    </row>
    <row r="161" spans="129:131" ht="39.950000000000003" hidden="1" customHeight="1" x14ac:dyDescent="0.25">
      <c r="DY161" s="7">
        <v>159</v>
      </c>
      <c r="DZ161" s="20">
        <v>79.5</v>
      </c>
      <c r="EA161" s="50" t="s">
        <v>0</v>
      </c>
    </row>
    <row r="162" spans="129:131" ht="39.950000000000003" hidden="1" customHeight="1" x14ac:dyDescent="0.25">
      <c r="DY162" s="7">
        <v>160</v>
      </c>
      <c r="DZ162" s="20">
        <v>80</v>
      </c>
      <c r="EA162" s="50" t="s">
        <v>0</v>
      </c>
    </row>
    <row r="163" spans="129:131" ht="39.950000000000003" hidden="1" customHeight="1" x14ac:dyDescent="0.25">
      <c r="DY163" s="7">
        <v>161</v>
      </c>
      <c r="DZ163" s="20">
        <v>80.5</v>
      </c>
      <c r="EA163" s="50" t="s">
        <v>0</v>
      </c>
    </row>
    <row r="164" spans="129:131" ht="39.950000000000003" hidden="1" customHeight="1" x14ac:dyDescent="0.25">
      <c r="DY164" s="7">
        <v>162</v>
      </c>
      <c r="DZ164" s="20">
        <v>81</v>
      </c>
      <c r="EA164" s="50" t="s">
        <v>0</v>
      </c>
    </row>
    <row r="165" spans="129:131" ht="39.950000000000003" hidden="1" customHeight="1" x14ac:dyDescent="0.25">
      <c r="DY165" s="7">
        <v>163</v>
      </c>
      <c r="DZ165" s="20">
        <v>81.5</v>
      </c>
      <c r="EA165" s="50" t="s">
        <v>0</v>
      </c>
    </row>
    <row r="166" spans="129:131" ht="39.950000000000003" hidden="1" customHeight="1" x14ac:dyDescent="0.25">
      <c r="DY166" s="7">
        <v>164</v>
      </c>
      <c r="DZ166" s="20">
        <v>82</v>
      </c>
      <c r="EA166" s="50" t="s">
        <v>0</v>
      </c>
    </row>
    <row r="167" spans="129:131" ht="39.950000000000003" hidden="1" customHeight="1" x14ac:dyDescent="0.25">
      <c r="DY167" s="7">
        <v>165</v>
      </c>
      <c r="DZ167" s="20">
        <v>82.5</v>
      </c>
      <c r="EA167" s="50" t="s">
        <v>0</v>
      </c>
    </row>
    <row r="168" spans="129:131" ht="39.950000000000003" hidden="1" customHeight="1" x14ac:dyDescent="0.25">
      <c r="DY168" s="7">
        <v>166</v>
      </c>
      <c r="DZ168" s="20">
        <v>83</v>
      </c>
      <c r="EA168" s="50" t="s">
        <v>0</v>
      </c>
    </row>
    <row r="169" spans="129:131" ht="39.950000000000003" hidden="1" customHeight="1" x14ac:dyDescent="0.25">
      <c r="DY169" s="7">
        <v>167</v>
      </c>
      <c r="DZ169" s="20">
        <v>83.5</v>
      </c>
      <c r="EA169" s="50" t="s">
        <v>0</v>
      </c>
    </row>
    <row r="170" spans="129:131" ht="39.950000000000003" hidden="1" customHeight="1" x14ac:dyDescent="0.25">
      <c r="DY170" s="7">
        <v>168</v>
      </c>
      <c r="DZ170" s="20">
        <v>84</v>
      </c>
      <c r="EA170" s="50" t="s">
        <v>0</v>
      </c>
    </row>
    <row r="171" spans="129:131" ht="39.950000000000003" hidden="1" customHeight="1" x14ac:dyDescent="0.25">
      <c r="DY171" s="7">
        <v>169</v>
      </c>
      <c r="DZ171" s="20">
        <v>84.5</v>
      </c>
      <c r="EA171" s="50" t="s">
        <v>0</v>
      </c>
    </row>
    <row r="172" spans="129:131" ht="39.950000000000003" hidden="1" customHeight="1" x14ac:dyDescent="0.25">
      <c r="DY172" s="7">
        <v>170</v>
      </c>
      <c r="DZ172" s="20">
        <v>85</v>
      </c>
      <c r="EA172" s="50" t="s">
        <v>0</v>
      </c>
    </row>
    <row r="173" spans="129:131" ht="39.950000000000003" hidden="1" customHeight="1" x14ac:dyDescent="0.25">
      <c r="DY173" s="7">
        <v>171</v>
      </c>
      <c r="DZ173" s="20">
        <v>85.5</v>
      </c>
      <c r="EA173" s="50" t="s">
        <v>0</v>
      </c>
    </row>
    <row r="174" spans="129:131" ht="39.950000000000003" hidden="1" customHeight="1" x14ac:dyDescent="0.25">
      <c r="DY174" s="7">
        <v>172</v>
      </c>
      <c r="DZ174" s="20">
        <v>86</v>
      </c>
      <c r="EA174" s="50" t="s">
        <v>0</v>
      </c>
    </row>
    <row r="175" spans="129:131" ht="39.950000000000003" hidden="1" customHeight="1" x14ac:dyDescent="0.25">
      <c r="DY175" s="7">
        <v>173</v>
      </c>
      <c r="DZ175" s="20">
        <v>86.5</v>
      </c>
      <c r="EA175" s="50" t="s">
        <v>0</v>
      </c>
    </row>
    <row r="176" spans="129:131" ht="39.950000000000003" hidden="1" customHeight="1" x14ac:dyDescent="0.25">
      <c r="DY176" s="7">
        <v>174</v>
      </c>
      <c r="DZ176" s="20">
        <v>87</v>
      </c>
      <c r="EA176" s="50" t="s">
        <v>0</v>
      </c>
    </row>
    <row r="177" spans="129:131" ht="39.950000000000003" hidden="1" customHeight="1" x14ac:dyDescent="0.25">
      <c r="DY177" s="7">
        <v>175</v>
      </c>
      <c r="DZ177" s="20">
        <v>87.5</v>
      </c>
      <c r="EA177" s="50" t="s">
        <v>0</v>
      </c>
    </row>
    <row r="178" spans="129:131" ht="39.950000000000003" hidden="1" customHeight="1" x14ac:dyDescent="0.25">
      <c r="DY178" s="7">
        <v>176</v>
      </c>
      <c r="DZ178" s="20">
        <v>88</v>
      </c>
      <c r="EA178" s="50" t="s">
        <v>0</v>
      </c>
    </row>
    <row r="179" spans="129:131" ht="39.950000000000003" hidden="1" customHeight="1" x14ac:dyDescent="0.25">
      <c r="DY179" s="7">
        <v>177</v>
      </c>
      <c r="DZ179" s="20">
        <v>88.5</v>
      </c>
      <c r="EA179" s="50" t="s">
        <v>0</v>
      </c>
    </row>
    <row r="180" spans="129:131" ht="39.950000000000003" hidden="1" customHeight="1" x14ac:dyDescent="0.25">
      <c r="DY180" s="7">
        <v>178</v>
      </c>
      <c r="DZ180" s="20">
        <v>89</v>
      </c>
      <c r="EA180" s="50" t="s">
        <v>0</v>
      </c>
    </row>
    <row r="181" spans="129:131" ht="39.950000000000003" hidden="1" customHeight="1" x14ac:dyDescent="0.25">
      <c r="DY181" s="7">
        <v>179</v>
      </c>
      <c r="DZ181" s="20">
        <v>89.5</v>
      </c>
      <c r="EA181" s="50" t="s">
        <v>0</v>
      </c>
    </row>
    <row r="182" spans="129:131" ht="39.950000000000003" hidden="1" customHeight="1" x14ac:dyDescent="0.25">
      <c r="DY182" s="7">
        <v>180</v>
      </c>
      <c r="DZ182" s="20">
        <v>90</v>
      </c>
      <c r="EA182" s="50" t="s">
        <v>0</v>
      </c>
    </row>
    <row r="183" spans="129:131" ht="39.950000000000003" hidden="1" customHeight="1" x14ac:dyDescent="0.25">
      <c r="DY183" s="7">
        <v>181</v>
      </c>
      <c r="DZ183" s="20">
        <v>90.5</v>
      </c>
      <c r="EA183" s="50" t="s">
        <v>0</v>
      </c>
    </row>
    <row r="184" spans="129:131" ht="39.950000000000003" hidden="1" customHeight="1" x14ac:dyDescent="0.25">
      <c r="DY184" s="7">
        <v>182</v>
      </c>
      <c r="DZ184" s="20">
        <v>91</v>
      </c>
      <c r="EA184" s="50" t="s">
        <v>0</v>
      </c>
    </row>
    <row r="185" spans="129:131" ht="39.950000000000003" hidden="1" customHeight="1" x14ac:dyDescent="0.25">
      <c r="DY185" s="7">
        <v>183</v>
      </c>
      <c r="DZ185" s="20">
        <v>91.5</v>
      </c>
      <c r="EA185" s="50" t="s">
        <v>0</v>
      </c>
    </row>
    <row r="186" spans="129:131" ht="39.950000000000003" hidden="1" customHeight="1" x14ac:dyDescent="0.25">
      <c r="DY186" s="7">
        <v>184</v>
      </c>
      <c r="DZ186" s="20">
        <v>92</v>
      </c>
      <c r="EA186" s="50" t="s">
        <v>0</v>
      </c>
    </row>
    <row r="187" spans="129:131" ht="39.950000000000003" hidden="1" customHeight="1" x14ac:dyDescent="0.25">
      <c r="DY187" s="7">
        <v>185</v>
      </c>
      <c r="DZ187" s="20">
        <v>92.5</v>
      </c>
      <c r="EA187" s="50" t="s">
        <v>0</v>
      </c>
    </row>
    <row r="188" spans="129:131" ht="39.950000000000003" hidden="1" customHeight="1" x14ac:dyDescent="0.25">
      <c r="DY188" s="7">
        <v>186</v>
      </c>
      <c r="DZ188" s="20">
        <v>93</v>
      </c>
      <c r="EA188" s="50" t="s">
        <v>0</v>
      </c>
    </row>
    <row r="189" spans="129:131" ht="39.950000000000003" hidden="1" customHeight="1" x14ac:dyDescent="0.25">
      <c r="DY189" s="7">
        <v>187</v>
      </c>
      <c r="DZ189" s="20">
        <v>93.5</v>
      </c>
      <c r="EA189" s="50" t="s">
        <v>0</v>
      </c>
    </row>
    <row r="190" spans="129:131" ht="39.950000000000003" hidden="1" customHeight="1" x14ac:dyDescent="0.25">
      <c r="DY190" s="7">
        <v>188</v>
      </c>
      <c r="DZ190" s="20">
        <v>94</v>
      </c>
      <c r="EA190" s="50" t="s">
        <v>0</v>
      </c>
    </row>
    <row r="191" spans="129:131" ht="39.950000000000003" hidden="1" customHeight="1" x14ac:dyDescent="0.25">
      <c r="DY191" s="7">
        <v>189</v>
      </c>
      <c r="DZ191" s="20">
        <v>94.5</v>
      </c>
      <c r="EA191" s="50" t="s">
        <v>0</v>
      </c>
    </row>
    <row r="192" spans="129:131" ht="39.950000000000003" hidden="1" customHeight="1" x14ac:dyDescent="0.25">
      <c r="DY192" s="7">
        <v>190</v>
      </c>
      <c r="DZ192" s="20">
        <v>95</v>
      </c>
      <c r="EA192" s="50" t="s">
        <v>0</v>
      </c>
    </row>
    <row r="193" spans="129:131" ht="39.950000000000003" hidden="1" customHeight="1" x14ac:dyDescent="0.25">
      <c r="DY193" s="7">
        <v>191</v>
      </c>
      <c r="DZ193" s="20">
        <v>95.5</v>
      </c>
      <c r="EA193" s="50" t="s">
        <v>0</v>
      </c>
    </row>
    <row r="194" spans="129:131" ht="39.950000000000003" hidden="1" customHeight="1" x14ac:dyDescent="0.25">
      <c r="DY194" s="7">
        <v>192</v>
      </c>
      <c r="DZ194" s="20">
        <v>96</v>
      </c>
      <c r="EA194" s="50" t="s">
        <v>0</v>
      </c>
    </row>
    <row r="195" spans="129:131" ht="39.950000000000003" hidden="1" customHeight="1" x14ac:dyDescent="0.25">
      <c r="DY195" s="7">
        <v>193</v>
      </c>
      <c r="DZ195" s="20">
        <v>96.5</v>
      </c>
      <c r="EA195" s="50" t="s">
        <v>0</v>
      </c>
    </row>
    <row r="196" spans="129:131" ht="39.950000000000003" hidden="1" customHeight="1" x14ac:dyDescent="0.25">
      <c r="DY196" s="7">
        <v>194</v>
      </c>
      <c r="DZ196" s="20">
        <v>97</v>
      </c>
      <c r="EA196" s="50" t="s">
        <v>0</v>
      </c>
    </row>
    <row r="197" spans="129:131" ht="39.950000000000003" hidden="1" customHeight="1" x14ac:dyDescent="0.25">
      <c r="DY197" s="7">
        <v>195</v>
      </c>
      <c r="DZ197" s="20">
        <v>97.5</v>
      </c>
      <c r="EA197" s="50" t="s">
        <v>0</v>
      </c>
    </row>
    <row r="198" spans="129:131" ht="39.950000000000003" hidden="1" customHeight="1" x14ac:dyDescent="0.25">
      <c r="DY198" s="7">
        <v>196</v>
      </c>
      <c r="DZ198" s="20">
        <v>98</v>
      </c>
      <c r="EA198" s="50" t="s">
        <v>0</v>
      </c>
    </row>
    <row r="199" spans="129:131" ht="39.950000000000003" hidden="1" customHeight="1" x14ac:dyDescent="0.25">
      <c r="DY199" s="7">
        <v>197</v>
      </c>
      <c r="DZ199" s="20">
        <v>98.5</v>
      </c>
      <c r="EA199" s="50" t="s">
        <v>0</v>
      </c>
    </row>
    <row r="200" spans="129:131" ht="39.950000000000003" hidden="1" customHeight="1" x14ac:dyDescent="0.25">
      <c r="DY200" s="7">
        <v>198</v>
      </c>
      <c r="DZ200" s="20">
        <v>99</v>
      </c>
      <c r="EA200" s="50" t="s">
        <v>0</v>
      </c>
    </row>
    <row r="201" spans="129:131" ht="39.950000000000003" hidden="1" customHeight="1" x14ac:dyDescent="0.25">
      <c r="DY201" s="7">
        <v>199</v>
      </c>
      <c r="DZ201" s="20">
        <v>99.5</v>
      </c>
      <c r="EA201" s="50" t="s">
        <v>0</v>
      </c>
    </row>
    <row r="202" spans="129:131" ht="39.950000000000003" hidden="1" customHeight="1" x14ac:dyDescent="0.25">
      <c r="DY202" s="7">
        <v>200</v>
      </c>
      <c r="DZ202" s="20">
        <v>100</v>
      </c>
      <c r="EA202" s="50" t="s">
        <v>0</v>
      </c>
    </row>
    <row r="203" spans="129:131" ht="39.950000000000003" hidden="1" customHeight="1" x14ac:dyDescent="0.25">
      <c r="DY203" s="7">
        <v>201</v>
      </c>
      <c r="DZ203" s="20">
        <v>100.5</v>
      </c>
      <c r="EA203" s="50" t="s">
        <v>0</v>
      </c>
    </row>
    <row r="204" spans="129:131" ht="39.950000000000003" hidden="1" customHeight="1" x14ac:dyDescent="0.25">
      <c r="DY204" s="7">
        <v>202</v>
      </c>
      <c r="DZ204" s="20">
        <v>101</v>
      </c>
      <c r="EA204" s="50" t="s">
        <v>0</v>
      </c>
    </row>
    <row r="205" spans="129:131" ht="39.950000000000003" hidden="1" customHeight="1" x14ac:dyDescent="0.25">
      <c r="DY205" s="7">
        <v>203</v>
      </c>
      <c r="DZ205" s="20">
        <v>101.5</v>
      </c>
      <c r="EA205" s="50" t="s">
        <v>0</v>
      </c>
    </row>
    <row r="206" spans="129:131" ht="39.950000000000003" hidden="1" customHeight="1" x14ac:dyDescent="0.25">
      <c r="DY206" s="7">
        <v>204</v>
      </c>
      <c r="DZ206" s="20">
        <v>102</v>
      </c>
      <c r="EA206" s="50" t="s">
        <v>0</v>
      </c>
    </row>
    <row r="207" spans="129:131" ht="39.950000000000003" hidden="1" customHeight="1" x14ac:dyDescent="0.25">
      <c r="DY207" s="7">
        <v>205</v>
      </c>
      <c r="DZ207" s="20">
        <v>102.5</v>
      </c>
      <c r="EA207" s="50" t="s">
        <v>0</v>
      </c>
    </row>
    <row r="208" spans="129:131" ht="39.950000000000003" hidden="1" customHeight="1" x14ac:dyDescent="0.25">
      <c r="DY208" s="7">
        <v>206</v>
      </c>
      <c r="DZ208" s="20">
        <v>103</v>
      </c>
      <c r="EA208" s="50" t="s">
        <v>0</v>
      </c>
    </row>
    <row r="209" spans="129:131" ht="39.950000000000003" hidden="1" customHeight="1" x14ac:dyDescent="0.25">
      <c r="DY209" s="7">
        <v>207</v>
      </c>
      <c r="DZ209" s="20">
        <v>103.5</v>
      </c>
      <c r="EA209" s="50" t="s">
        <v>0</v>
      </c>
    </row>
    <row r="210" spans="129:131" ht="39.950000000000003" hidden="1" customHeight="1" x14ac:dyDescent="0.25">
      <c r="DY210" s="7">
        <v>208</v>
      </c>
      <c r="DZ210" s="20">
        <v>104</v>
      </c>
      <c r="EA210" s="50" t="s">
        <v>0</v>
      </c>
    </row>
    <row r="211" spans="129:131" ht="39.950000000000003" hidden="1" customHeight="1" x14ac:dyDescent="0.25">
      <c r="DY211" s="7">
        <v>209</v>
      </c>
      <c r="DZ211" s="20">
        <v>104.5</v>
      </c>
      <c r="EA211" s="50" t="s">
        <v>0</v>
      </c>
    </row>
    <row r="212" spans="129:131" ht="39.950000000000003" hidden="1" customHeight="1" x14ac:dyDescent="0.25">
      <c r="DY212" s="7">
        <v>210</v>
      </c>
      <c r="DZ212" s="20">
        <v>105</v>
      </c>
      <c r="EA212" s="50" t="s">
        <v>0</v>
      </c>
    </row>
    <row r="213" spans="129:131" ht="39.950000000000003" hidden="1" customHeight="1" x14ac:dyDescent="0.25">
      <c r="DY213" s="7">
        <v>211</v>
      </c>
      <c r="DZ213" s="20">
        <v>105.5</v>
      </c>
      <c r="EA213" s="50" t="s">
        <v>0</v>
      </c>
    </row>
    <row r="214" spans="129:131" ht="39.950000000000003" hidden="1" customHeight="1" x14ac:dyDescent="0.25">
      <c r="DY214" s="7">
        <v>212</v>
      </c>
      <c r="DZ214" s="20">
        <v>106</v>
      </c>
      <c r="EA214" s="50" t="s">
        <v>0</v>
      </c>
    </row>
    <row r="215" spans="129:131" ht="39.950000000000003" hidden="1" customHeight="1" x14ac:dyDescent="0.25">
      <c r="DY215" s="7">
        <v>213</v>
      </c>
      <c r="DZ215" s="20">
        <v>106.5</v>
      </c>
      <c r="EA215" s="50" t="s">
        <v>0</v>
      </c>
    </row>
    <row r="216" spans="129:131" ht="39.950000000000003" hidden="1" customHeight="1" x14ac:dyDescent="0.25">
      <c r="DY216" s="7">
        <v>214</v>
      </c>
      <c r="DZ216" s="20">
        <v>107</v>
      </c>
      <c r="EA216" s="50" t="s">
        <v>0</v>
      </c>
    </row>
    <row r="217" spans="129:131" ht="39.950000000000003" hidden="1" customHeight="1" x14ac:dyDescent="0.25">
      <c r="DY217" s="7">
        <v>215</v>
      </c>
      <c r="DZ217" s="20">
        <v>107.5</v>
      </c>
      <c r="EA217" s="50" t="s">
        <v>0</v>
      </c>
    </row>
    <row r="218" spans="129:131" ht="39.950000000000003" hidden="1" customHeight="1" x14ac:dyDescent="0.25">
      <c r="DY218" s="7">
        <v>216</v>
      </c>
      <c r="DZ218" s="20">
        <v>108</v>
      </c>
      <c r="EA218" s="50" t="s">
        <v>0</v>
      </c>
    </row>
    <row r="219" spans="129:131" ht="39.950000000000003" hidden="1" customHeight="1" x14ac:dyDescent="0.25">
      <c r="DY219" s="7">
        <v>217</v>
      </c>
      <c r="DZ219" s="20">
        <v>108.5</v>
      </c>
      <c r="EA219" s="50" t="s">
        <v>0</v>
      </c>
    </row>
    <row r="220" spans="129:131" ht="39.950000000000003" hidden="1" customHeight="1" x14ac:dyDescent="0.25">
      <c r="DY220" s="7">
        <v>218</v>
      </c>
      <c r="DZ220" s="20">
        <v>109</v>
      </c>
      <c r="EA220" s="50" t="s">
        <v>0</v>
      </c>
    </row>
    <row r="221" spans="129:131" ht="39.950000000000003" hidden="1" customHeight="1" x14ac:dyDescent="0.25">
      <c r="DY221" s="7">
        <v>219</v>
      </c>
      <c r="DZ221" s="20">
        <v>109.5</v>
      </c>
      <c r="EA221" s="50" t="s">
        <v>0</v>
      </c>
    </row>
    <row r="222" spans="129:131" ht="39.950000000000003" hidden="1" customHeight="1" x14ac:dyDescent="0.25">
      <c r="DY222" s="7">
        <v>220</v>
      </c>
      <c r="DZ222" s="20">
        <v>110</v>
      </c>
      <c r="EA222" s="50" t="s">
        <v>0</v>
      </c>
    </row>
    <row r="223" spans="129:131" ht="39.950000000000003" hidden="1" customHeight="1" x14ac:dyDescent="0.25">
      <c r="DY223" s="7">
        <v>221</v>
      </c>
      <c r="DZ223" s="20">
        <v>110.5</v>
      </c>
      <c r="EA223" s="50" t="s">
        <v>0</v>
      </c>
    </row>
    <row r="224" spans="129:131" ht="39.950000000000003" hidden="1" customHeight="1" x14ac:dyDescent="0.25">
      <c r="DY224" s="7">
        <v>222</v>
      </c>
      <c r="DZ224" s="20">
        <v>111</v>
      </c>
      <c r="EA224" s="50" t="s">
        <v>0</v>
      </c>
    </row>
    <row r="225" spans="129:131" ht="39.950000000000003" hidden="1" customHeight="1" x14ac:dyDescent="0.25">
      <c r="DY225" s="7">
        <v>223</v>
      </c>
      <c r="DZ225" s="20">
        <v>111.5</v>
      </c>
      <c r="EA225" s="50" t="s">
        <v>0</v>
      </c>
    </row>
    <row r="226" spans="129:131" ht="39.950000000000003" hidden="1" customHeight="1" x14ac:dyDescent="0.25">
      <c r="DY226" s="7">
        <v>224</v>
      </c>
      <c r="DZ226" s="20">
        <v>112</v>
      </c>
      <c r="EA226" s="50" t="s">
        <v>0</v>
      </c>
    </row>
    <row r="227" spans="129:131" ht="39.950000000000003" hidden="1" customHeight="1" x14ac:dyDescent="0.25">
      <c r="DY227" s="7">
        <v>225</v>
      </c>
      <c r="DZ227" s="20">
        <v>112.5</v>
      </c>
      <c r="EA227" s="50" t="s">
        <v>0</v>
      </c>
    </row>
    <row r="228" spans="129:131" ht="39.950000000000003" hidden="1" customHeight="1" x14ac:dyDescent="0.25">
      <c r="DY228" s="7">
        <v>226</v>
      </c>
      <c r="DZ228" s="20">
        <v>113</v>
      </c>
      <c r="EA228" s="50" t="s">
        <v>0</v>
      </c>
    </row>
    <row r="229" spans="129:131" ht="39.950000000000003" hidden="1" customHeight="1" x14ac:dyDescent="0.25">
      <c r="DY229" s="7">
        <v>227</v>
      </c>
      <c r="DZ229" s="20">
        <v>113.5</v>
      </c>
      <c r="EA229" s="50" t="s">
        <v>0</v>
      </c>
    </row>
    <row r="230" spans="129:131" ht="39.950000000000003" hidden="1" customHeight="1" x14ac:dyDescent="0.25">
      <c r="DY230" s="7">
        <v>228</v>
      </c>
      <c r="DZ230" s="20">
        <v>114</v>
      </c>
      <c r="EA230" s="50" t="s">
        <v>0</v>
      </c>
    </row>
    <row r="231" spans="129:131" ht="39.950000000000003" hidden="1" customHeight="1" x14ac:dyDescent="0.25">
      <c r="DY231" s="7">
        <v>229</v>
      </c>
      <c r="DZ231" s="20">
        <v>114.5</v>
      </c>
      <c r="EA231" s="50" t="s">
        <v>0</v>
      </c>
    </row>
    <row r="232" spans="129:131" ht="39.950000000000003" hidden="1" customHeight="1" x14ac:dyDescent="0.25">
      <c r="DY232" s="7">
        <v>230</v>
      </c>
      <c r="DZ232" s="20">
        <v>115</v>
      </c>
      <c r="EA232" s="50" t="s">
        <v>0</v>
      </c>
    </row>
    <row r="233" spans="129:131" ht="39.950000000000003" hidden="1" customHeight="1" x14ac:dyDescent="0.25">
      <c r="DY233" s="7">
        <v>231</v>
      </c>
      <c r="DZ233" s="20">
        <v>115.5</v>
      </c>
      <c r="EA233" s="50" t="s">
        <v>0</v>
      </c>
    </row>
    <row r="234" spans="129:131" ht="39.950000000000003" hidden="1" customHeight="1" x14ac:dyDescent="0.25">
      <c r="DY234" s="7">
        <v>232</v>
      </c>
      <c r="DZ234" s="20">
        <v>116</v>
      </c>
      <c r="EA234" s="50" t="s">
        <v>0</v>
      </c>
    </row>
    <row r="235" spans="129:131" ht="39.950000000000003" hidden="1" customHeight="1" x14ac:dyDescent="0.25">
      <c r="DY235" s="7">
        <v>233</v>
      </c>
      <c r="DZ235" s="20">
        <v>116.5</v>
      </c>
      <c r="EA235" s="50" t="s">
        <v>0</v>
      </c>
    </row>
    <row r="236" spans="129:131" ht="39.950000000000003" hidden="1" customHeight="1" x14ac:dyDescent="0.25">
      <c r="DY236" s="7">
        <v>234</v>
      </c>
      <c r="DZ236" s="20">
        <v>117</v>
      </c>
      <c r="EA236" s="50" t="s">
        <v>0</v>
      </c>
    </row>
    <row r="237" spans="129:131" ht="39.950000000000003" hidden="1" customHeight="1" x14ac:dyDescent="0.25">
      <c r="DY237" s="7">
        <v>235</v>
      </c>
      <c r="DZ237" s="20">
        <v>117.5</v>
      </c>
      <c r="EA237" s="50" t="s">
        <v>0</v>
      </c>
    </row>
    <row r="238" spans="129:131" ht="39.950000000000003" hidden="1" customHeight="1" x14ac:dyDescent="0.25">
      <c r="DY238" s="7">
        <v>236</v>
      </c>
      <c r="DZ238" s="20">
        <v>118</v>
      </c>
      <c r="EA238" s="50" t="s">
        <v>0</v>
      </c>
    </row>
    <row r="239" spans="129:131" ht="39.950000000000003" hidden="1" customHeight="1" x14ac:dyDescent="0.25">
      <c r="DY239" s="7">
        <v>237</v>
      </c>
      <c r="DZ239" s="20">
        <v>118.5</v>
      </c>
      <c r="EA239" s="50" t="s">
        <v>0</v>
      </c>
    </row>
    <row r="240" spans="129:131" ht="39.950000000000003" hidden="1" customHeight="1" x14ac:dyDescent="0.25">
      <c r="DY240" s="7">
        <v>238</v>
      </c>
      <c r="DZ240" s="20">
        <v>119</v>
      </c>
      <c r="EA240" s="50" t="s">
        <v>0</v>
      </c>
    </row>
    <row r="241" spans="1:131" ht="39.950000000000003" hidden="1" customHeight="1" x14ac:dyDescent="0.25">
      <c r="DY241" s="7">
        <v>239</v>
      </c>
      <c r="DZ241" s="20">
        <v>119.5</v>
      </c>
      <c r="EA241" s="50" t="s">
        <v>0</v>
      </c>
    </row>
    <row r="242" spans="1:131" ht="39.950000000000003" hidden="1" customHeight="1" x14ac:dyDescent="0.25">
      <c r="DY242" s="7">
        <v>240</v>
      </c>
      <c r="DZ242" s="20">
        <v>120</v>
      </c>
      <c r="EA242" s="50" t="s">
        <v>0</v>
      </c>
    </row>
    <row r="243" spans="1:131" ht="39.950000000000003" hidden="1" customHeight="1" x14ac:dyDescent="0.25">
      <c r="DY243" s="7">
        <v>241</v>
      </c>
      <c r="DZ243" s="20">
        <v>120.5</v>
      </c>
      <c r="EA243" s="50" t="s">
        <v>0</v>
      </c>
    </row>
    <row r="244" spans="1:131" ht="39.950000000000003" hidden="1" customHeight="1" x14ac:dyDescent="0.25">
      <c r="DY244" s="7">
        <v>242</v>
      </c>
      <c r="DZ244" s="20">
        <v>121</v>
      </c>
      <c r="EA244" s="50" t="s">
        <v>0</v>
      </c>
    </row>
    <row r="245" spans="1:131" ht="39.950000000000003" hidden="1" customHeight="1" x14ac:dyDescent="0.25">
      <c r="DY245" s="7">
        <v>243</v>
      </c>
      <c r="DZ245" s="20">
        <v>121.5</v>
      </c>
      <c r="EA245" s="50" t="s">
        <v>0</v>
      </c>
    </row>
    <row r="246" spans="1:131" ht="39.950000000000003" hidden="1" customHeight="1" x14ac:dyDescent="0.25">
      <c r="DY246" s="7">
        <v>244</v>
      </c>
      <c r="DZ246" s="20">
        <v>122</v>
      </c>
      <c r="EA246" s="50" t="s">
        <v>0</v>
      </c>
    </row>
    <row r="247" spans="1:131" ht="39.950000000000003" hidden="1" customHeight="1" x14ac:dyDescent="0.25">
      <c r="DY247" s="7">
        <v>245</v>
      </c>
      <c r="DZ247" s="20">
        <v>122.5</v>
      </c>
      <c r="EA247" s="50" t="s">
        <v>0</v>
      </c>
    </row>
    <row r="248" spans="1:131" ht="39.950000000000003" hidden="1" customHeight="1" x14ac:dyDescent="0.25">
      <c r="DY248" s="7">
        <v>246</v>
      </c>
      <c r="DZ248" s="20">
        <v>123</v>
      </c>
      <c r="EA248" s="50" t="s">
        <v>0</v>
      </c>
    </row>
    <row r="249" spans="1:131" ht="39.950000000000003" hidden="1" customHeight="1" x14ac:dyDescent="0.25">
      <c r="DY249" s="7">
        <v>247</v>
      </c>
      <c r="DZ249" s="20">
        <v>123.5</v>
      </c>
      <c r="EA249" s="50" t="s">
        <v>0</v>
      </c>
    </row>
    <row r="250" spans="1:131" ht="39.950000000000003" hidden="1" customHeight="1" x14ac:dyDescent="0.25">
      <c r="DY250" s="7">
        <v>248</v>
      </c>
      <c r="DZ250" s="20">
        <v>124</v>
      </c>
      <c r="EA250" s="50" t="s">
        <v>0</v>
      </c>
    </row>
    <row r="251" spans="1:131" ht="39.950000000000003" hidden="1" customHeight="1" x14ac:dyDescent="0.25">
      <c r="DY251" s="7">
        <v>249</v>
      </c>
      <c r="DZ251" s="20">
        <v>124.5</v>
      </c>
      <c r="EA251" s="50" t="s">
        <v>0</v>
      </c>
    </row>
    <row r="252" spans="1:131" ht="39.950000000000003" hidden="1" customHeight="1" x14ac:dyDescent="0.25">
      <c r="DY252" s="7">
        <v>250</v>
      </c>
      <c r="DZ252" s="20">
        <v>125</v>
      </c>
      <c r="EA252" s="50" t="s">
        <v>0</v>
      </c>
    </row>
    <row r="253" spans="1:131" ht="39.950000000000003" hidden="1" customHeight="1" x14ac:dyDescent="0.25">
      <c r="DY253" s="7">
        <v>251</v>
      </c>
      <c r="DZ253" s="20">
        <v>125.5</v>
      </c>
      <c r="EA253" s="50" t="s">
        <v>0</v>
      </c>
    </row>
    <row r="254" spans="1:131" s="51" customFormat="1" ht="39.950000000000003" hidden="1" customHeight="1" x14ac:dyDescent="0.25">
      <c r="A254" s="16"/>
      <c r="B254" s="16"/>
      <c r="C254" s="16"/>
      <c r="D254" s="16"/>
      <c r="E254" s="16"/>
      <c r="F254" s="16"/>
      <c r="G254" s="16"/>
      <c r="H254" s="16"/>
      <c r="I254" s="16"/>
      <c r="J254" s="16"/>
      <c r="K254" s="16"/>
      <c r="L254" s="16"/>
      <c r="M254" s="16"/>
      <c r="N254" s="16"/>
      <c r="O254" s="16"/>
      <c r="P254" s="16"/>
      <c r="Q254" s="16"/>
      <c r="R254" s="16"/>
      <c r="S254" s="16"/>
      <c r="T254" s="16"/>
      <c r="U254" s="49"/>
      <c r="V254" s="49"/>
      <c r="W254" s="49"/>
      <c r="X254" s="15"/>
      <c r="Y254" s="16"/>
      <c r="Z254" s="40"/>
      <c r="AA254" s="40"/>
      <c r="AB254" s="15"/>
      <c r="AC254" s="15"/>
      <c r="AD254" s="15"/>
      <c r="AE254" s="15"/>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v>252</v>
      </c>
      <c r="DZ254" s="20">
        <v>126</v>
      </c>
      <c r="EA254" s="50" t="s">
        <v>0</v>
      </c>
    </row>
    <row r="255" spans="1:131" s="51" customFormat="1" ht="39.950000000000003" hidden="1" customHeight="1" x14ac:dyDescent="0.25">
      <c r="A255" s="16"/>
      <c r="B255" s="16"/>
      <c r="C255" s="16"/>
      <c r="D255" s="16"/>
      <c r="E255" s="16"/>
      <c r="F255" s="16"/>
      <c r="G255" s="16"/>
      <c r="H255" s="16"/>
      <c r="I255" s="16"/>
      <c r="J255" s="16"/>
      <c r="K255" s="16"/>
      <c r="L255" s="16"/>
      <c r="M255" s="16"/>
      <c r="N255" s="16"/>
      <c r="O255" s="16"/>
      <c r="P255" s="16"/>
      <c r="Q255" s="16"/>
      <c r="R255" s="16"/>
      <c r="S255" s="16"/>
      <c r="T255" s="16"/>
      <c r="U255" s="49"/>
      <c r="V255" s="49"/>
      <c r="W255" s="49"/>
      <c r="X255" s="15"/>
      <c r="Y255" s="16"/>
      <c r="Z255" s="40"/>
      <c r="AA255" s="40"/>
      <c r="AB255" s="15"/>
      <c r="AC255" s="15"/>
      <c r="AD255" s="15"/>
      <c r="AE255" s="15"/>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v>253</v>
      </c>
      <c r="DZ255" s="20">
        <v>126.5</v>
      </c>
      <c r="EA255" s="50" t="s">
        <v>0</v>
      </c>
    </row>
    <row r="256" spans="1:131" s="51" customFormat="1" ht="39.950000000000003" hidden="1" customHeight="1" x14ac:dyDescent="0.25">
      <c r="A256" s="16"/>
      <c r="B256" s="16"/>
      <c r="C256" s="16"/>
      <c r="D256" s="16"/>
      <c r="E256" s="16"/>
      <c r="F256" s="16"/>
      <c r="G256" s="16"/>
      <c r="H256" s="16"/>
      <c r="I256" s="16"/>
      <c r="J256" s="16"/>
      <c r="K256" s="16"/>
      <c r="L256" s="16"/>
      <c r="M256" s="16"/>
      <c r="N256" s="16"/>
      <c r="O256" s="16"/>
      <c r="P256" s="16"/>
      <c r="Q256" s="16"/>
      <c r="R256" s="16"/>
      <c r="S256" s="16"/>
      <c r="T256" s="16"/>
      <c r="U256" s="49"/>
      <c r="V256" s="49"/>
      <c r="W256" s="49"/>
      <c r="X256" s="15"/>
      <c r="Y256" s="16"/>
      <c r="Z256" s="40"/>
      <c r="AA256" s="40"/>
      <c r="AB256" s="15"/>
      <c r="AC256" s="15"/>
      <c r="AD256" s="15"/>
      <c r="AE256" s="15"/>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v>254</v>
      </c>
      <c r="DZ256" s="20">
        <v>127</v>
      </c>
      <c r="EA256" s="50" t="s">
        <v>0</v>
      </c>
    </row>
    <row r="257" spans="1:131" s="51" customFormat="1" ht="39.950000000000003" hidden="1" customHeight="1" x14ac:dyDescent="0.25">
      <c r="A257" s="16"/>
      <c r="B257" s="16"/>
      <c r="C257" s="16"/>
      <c r="D257" s="16"/>
      <c r="E257" s="16"/>
      <c r="F257" s="16"/>
      <c r="G257" s="16"/>
      <c r="H257" s="16"/>
      <c r="I257" s="16"/>
      <c r="J257" s="16"/>
      <c r="K257" s="16"/>
      <c r="L257" s="16"/>
      <c r="M257" s="16"/>
      <c r="N257" s="16"/>
      <c r="O257" s="16"/>
      <c r="P257" s="16"/>
      <c r="Q257" s="16"/>
      <c r="R257" s="16"/>
      <c r="S257" s="16"/>
      <c r="T257" s="16"/>
      <c r="U257" s="49"/>
      <c r="V257" s="49"/>
      <c r="W257" s="49"/>
      <c r="X257" s="15"/>
      <c r="Y257" s="16"/>
      <c r="Z257" s="40"/>
      <c r="AA257" s="40"/>
      <c r="AB257" s="15"/>
      <c r="AC257" s="15"/>
      <c r="AD257" s="15"/>
      <c r="AE257" s="15"/>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v>255</v>
      </c>
      <c r="DZ257" s="20">
        <v>127.5</v>
      </c>
      <c r="EA257" s="50" t="s">
        <v>0</v>
      </c>
    </row>
    <row r="258" spans="1:131" s="51" customFormat="1" ht="39.950000000000003" hidden="1" customHeight="1" x14ac:dyDescent="0.25">
      <c r="A258" s="16"/>
      <c r="B258" s="16"/>
      <c r="C258" s="16"/>
      <c r="D258" s="16"/>
      <c r="E258" s="16"/>
      <c r="F258" s="16"/>
      <c r="G258" s="16"/>
      <c r="H258" s="16"/>
      <c r="I258" s="16"/>
      <c r="J258" s="16"/>
      <c r="K258" s="16"/>
      <c r="L258" s="16"/>
      <c r="M258" s="16"/>
      <c r="N258" s="16"/>
      <c r="O258" s="16"/>
      <c r="P258" s="16"/>
      <c r="Q258" s="16"/>
      <c r="R258" s="16"/>
      <c r="S258" s="16"/>
      <c r="T258" s="16"/>
      <c r="U258" s="49"/>
      <c r="V258" s="49"/>
      <c r="W258" s="49"/>
      <c r="X258" s="15"/>
      <c r="Y258" s="16"/>
      <c r="Z258" s="40"/>
      <c r="AA258" s="40"/>
      <c r="AB258" s="15"/>
      <c r="AC258" s="15"/>
      <c r="AD258" s="15"/>
      <c r="AE258" s="15"/>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v>256</v>
      </c>
      <c r="DZ258" s="20">
        <v>128</v>
      </c>
      <c r="EA258" s="50" t="s">
        <v>0</v>
      </c>
    </row>
    <row r="259" spans="1:131" s="51" customFormat="1" ht="39.950000000000003" hidden="1" customHeight="1" x14ac:dyDescent="0.25">
      <c r="A259" s="16"/>
      <c r="B259" s="16"/>
      <c r="C259" s="16"/>
      <c r="D259" s="16"/>
      <c r="E259" s="16"/>
      <c r="F259" s="16"/>
      <c r="G259" s="16"/>
      <c r="H259" s="16"/>
      <c r="I259" s="16"/>
      <c r="J259" s="16"/>
      <c r="K259" s="16"/>
      <c r="L259" s="16"/>
      <c r="M259" s="16"/>
      <c r="N259" s="16"/>
      <c r="O259" s="16"/>
      <c r="P259" s="16"/>
      <c r="Q259" s="16"/>
      <c r="R259" s="16"/>
      <c r="S259" s="16"/>
      <c r="T259" s="16"/>
      <c r="U259" s="49"/>
      <c r="V259" s="49"/>
      <c r="W259" s="49"/>
      <c r="X259" s="15"/>
      <c r="Y259" s="16"/>
      <c r="Z259" s="40"/>
      <c r="AA259" s="40"/>
      <c r="AB259" s="15"/>
      <c r="AC259" s="15"/>
      <c r="AD259" s="15"/>
      <c r="AE259" s="15"/>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v>257</v>
      </c>
      <c r="DZ259" s="20">
        <v>128.5</v>
      </c>
      <c r="EA259" s="50" t="s">
        <v>0</v>
      </c>
    </row>
    <row r="260" spans="1:131" s="51" customFormat="1" ht="39.950000000000003" hidden="1" customHeight="1" x14ac:dyDescent="0.25">
      <c r="A260" s="16"/>
      <c r="B260" s="16"/>
      <c r="C260" s="16"/>
      <c r="D260" s="16"/>
      <c r="E260" s="16"/>
      <c r="F260" s="16"/>
      <c r="G260" s="16"/>
      <c r="H260" s="16"/>
      <c r="I260" s="16"/>
      <c r="J260" s="16"/>
      <c r="K260" s="16"/>
      <c r="L260" s="16"/>
      <c r="M260" s="16"/>
      <c r="N260" s="16"/>
      <c r="O260" s="16"/>
      <c r="P260" s="16"/>
      <c r="Q260" s="16"/>
      <c r="R260" s="16"/>
      <c r="S260" s="16"/>
      <c r="T260" s="16"/>
      <c r="U260" s="49"/>
      <c r="V260" s="49"/>
      <c r="W260" s="49"/>
      <c r="X260" s="15"/>
      <c r="Y260" s="16"/>
      <c r="Z260" s="40"/>
      <c r="AA260" s="40"/>
      <c r="AB260" s="15"/>
      <c r="AC260" s="15"/>
      <c r="AD260" s="15"/>
      <c r="AE260" s="15"/>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v>258</v>
      </c>
      <c r="DZ260" s="20">
        <v>129</v>
      </c>
      <c r="EA260" s="50" t="s">
        <v>0</v>
      </c>
    </row>
    <row r="261" spans="1:131" s="51" customFormat="1" ht="39.950000000000003" hidden="1" customHeight="1" x14ac:dyDescent="0.25">
      <c r="A261" s="16"/>
      <c r="B261" s="16"/>
      <c r="C261" s="16"/>
      <c r="D261" s="16"/>
      <c r="E261" s="16"/>
      <c r="F261" s="16"/>
      <c r="G261" s="16"/>
      <c r="H261" s="16"/>
      <c r="I261" s="16"/>
      <c r="J261" s="16"/>
      <c r="K261" s="16"/>
      <c r="L261" s="16"/>
      <c r="M261" s="16"/>
      <c r="N261" s="16"/>
      <c r="O261" s="16"/>
      <c r="P261" s="16"/>
      <c r="Q261" s="16"/>
      <c r="R261" s="16"/>
      <c r="S261" s="16"/>
      <c r="T261" s="16"/>
      <c r="U261" s="49"/>
      <c r="V261" s="49"/>
      <c r="W261" s="49"/>
      <c r="X261" s="15"/>
      <c r="Y261" s="16"/>
      <c r="Z261" s="40"/>
      <c r="AA261" s="40"/>
      <c r="AB261" s="15"/>
      <c r="AC261" s="15"/>
      <c r="AD261" s="15"/>
      <c r="AE261" s="15"/>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v>259</v>
      </c>
      <c r="DZ261" s="20">
        <v>129.5</v>
      </c>
      <c r="EA261" s="50" t="s">
        <v>0</v>
      </c>
    </row>
    <row r="262" spans="1:131" s="51" customFormat="1" ht="39.950000000000003" hidden="1" customHeight="1" x14ac:dyDescent="0.25">
      <c r="A262" s="16"/>
      <c r="B262" s="16"/>
      <c r="C262" s="16"/>
      <c r="D262" s="16"/>
      <c r="E262" s="16"/>
      <c r="F262" s="16"/>
      <c r="G262" s="16"/>
      <c r="H262" s="16"/>
      <c r="I262" s="16"/>
      <c r="J262" s="16"/>
      <c r="K262" s="16"/>
      <c r="L262" s="16"/>
      <c r="M262" s="16"/>
      <c r="N262" s="16"/>
      <c r="O262" s="16"/>
      <c r="P262" s="16"/>
      <c r="Q262" s="16"/>
      <c r="R262" s="16"/>
      <c r="S262" s="16"/>
      <c r="T262" s="16"/>
      <c r="U262" s="49"/>
      <c r="V262" s="49"/>
      <c r="W262" s="49"/>
      <c r="X262" s="15"/>
      <c r="Y262" s="16"/>
      <c r="Z262" s="40"/>
      <c r="AA262" s="40"/>
      <c r="AB262" s="15"/>
      <c r="AC262" s="15"/>
      <c r="AD262" s="15"/>
      <c r="AE262" s="15"/>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v>260</v>
      </c>
      <c r="DZ262" s="20">
        <v>130</v>
      </c>
      <c r="EA262" s="50" t="s">
        <v>0</v>
      </c>
    </row>
    <row r="263" spans="1:131" s="51" customFormat="1" ht="39.950000000000003" hidden="1" customHeight="1" x14ac:dyDescent="0.25">
      <c r="A263" s="16"/>
      <c r="B263" s="16"/>
      <c r="C263" s="16"/>
      <c r="D263" s="16"/>
      <c r="E263" s="16"/>
      <c r="F263" s="16"/>
      <c r="G263" s="16"/>
      <c r="H263" s="16"/>
      <c r="I263" s="16"/>
      <c r="J263" s="16"/>
      <c r="K263" s="16"/>
      <c r="L263" s="16"/>
      <c r="M263" s="16"/>
      <c r="N263" s="16"/>
      <c r="O263" s="16"/>
      <c r="P263" s="16"/>
      <c r="Q263" s="16"/>
      <c r="R263" s="16"/>
      <c r="S263" s="16"/>
      <c r="T263" s="16"/>
      <c r="U263" s="49"/>
      <c r="V263" s="49"/>
      <c r="W263" s="49"/>
      <c r="X263" s="15"/>
      <c r="Y263" s="16"/>
      <c r="Z263" s="40"/>
      <c r="AA263" s="40"/>
      <c r="AB263" s="15"/>
      <c r="AC263" s="15"/>
      <c r="AD263" s="15"/>
      <c r="AE263" s="15"/>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v>261</v>
      </c>
      <c r="DZ263" s="20">
        <v>130.5</v>
      </c>
      <c r="EA263" s="50" t="s">
        <v>0</v>
      </c>
    </row>
    <row r="264" spans="1:131" s="51" customFormat="1" ht="39.950000000000003" hidden="1" customHeight="1" x14ac:dyDescent="0.25">
      <c r="A264" s="16"/>
      <c r="B264" s="16"/>
      <c r="C264" s="16"/>
      <c r="D264" s="16"/>
      <c r="E264" s="16"/>
      <c r="F264" s="16"/>
      <c r="G264" s="16"/>
      <c r="H264" s="16"/>
      <c r="I264" s="16"/>
      <c r="J264" s="16"/>
      <c r="K264" s="16"/>
      <c r="L264" s="16"/>
      <c r="M264" s="16"/>
      <c r="N264" s="16"/>
      <c r="O264" s="16"/>
      <c r="P264" s="16"/>
      <c r="Q264" s="16"/>
      <c r="R264" s="16"/>
      <c r="S264" s="16"/>
      <c r="T264" s="16"/>
      <c r="U264" s="49"/>
      <c r="V264" s="49"/>
      <c r="W264" s="49"/>
      <c r="X264" s="15"/>
      <c r="Y264" s="16"/>
      <c r="Z264" s="40"/>
      <c r="AA264" s="40"/>
      <c r="AB264" s="15"/>
      <c r="AC264" s="15"/>
      <c r="AD264" s="15"/>
      <c r="AE264" s="15"/>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v>262</v>
      </c>
      <c r="DZ264" s="20">
        <v>131</v>
      </c>
      <c r="EA264" s="50" t="s">
        <v>0</v>
      </c>
    </row>
    <row r="265" spans="1:131" s="51" customFormat="1" ht="39.950000000000003" hidden="1" customHeight="1" x14ac:dyDescent="0.25">
      <c r="A265" s="16"/>
      <c r="B265" s="16"/>
      <c r="C265" s="16"/>
      <c r="D265" s="16"/>
      <c r="E265" s="16"/>
      <c r="F265" s="16"/>
      <c r="G265" s="16"/>
      <c r="H265" s="16"/>
      <c r="I265" s="16"/>
      <c r="J265" s="16"/>
      <c r="K265" s="16"/>
      <c r="L265" s="16"/>
      <c r="M265" s="16"/>
      <c r="N265" s="16"/>
      <c r="O265" s="16"/>
      <c r="P265" s="16"/>
      <c r="Q265" s="16"/>
      <c r="R265" s="16"/>
      <c r="S265" s="16"/>
      <c r="T265" s="16"/>
      <c r="U265" s="49"/>
      <c r="V265" s="49"/>
      <c r="W265" s="49"/>
      <c r="X265" s="15"/>
      <c r="Y265" s="16"/>
      <c r="Z265" s="40"/>
      <c r="AA265" s="40"/>
      <c r="AB265" s="15"/>
      <c r="AC265" s="15"/>
      <c r="AD265" s="15"/>
      <c r="AE265" s="15"/>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v>263</v>
      </c>
      <c r="DZ265" s="20">
        <v>131.5</v>
      </c>
      <c r="EA265" s="50" t="s">
        <v>0</v>
      </c>
    </row>
    <row r="266" spans="1:131" s="51" customFormat="1" ht="39.950000000000003" hidden="1" customHeight="1" x14ac:dyDescent="0.25">
      <c r="A266" s="16"/>
      <c r="B266" s="16"/>
      <c r="C266" s="16"/>
      <c r="D266" s="16"/>
      <c r="E266" s="16"/>
      <c r="F266" s="16"/>
      <c r="G266" s="16"/>
      <c r="H266" s="16"/>
      <c r="I266" s="16"/>
      <c r="J266" s="16"/>
      <c r="K266" s="16"/>
      <c r="L266" s="16"/>
      <c r="M266" s="16"/>
      <c r="N266" s="16"/>
      <c r="O266" s="16"/>
      <c r="P266" s="16"/>
      <c r="Q266" s="16"/>
      <c r="R266" s="16"/>
      <c r="S266" s="16"/>
      <c r="T266" s="16"/>
      <c r="U266" s="49"/>
      <c r="V266" s="49"/>
      <c r="W266" s="49"/>
      <c r="X266" s="15"/>
      <c r="Y266" s="16"/>
      <c r="Z266" s="40"/>
      <c r="AA266" s="40"/>
      <c r="AB266" s="15"/>
      <c r="AC266" s="15"/>
      <c r="AD266" s="15"/>
      <c r="AE266" s="15"/>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v>264</v>
      </c>
      <c r="DZ266" s="20">
        <v>132</v>
      </c>
      <c r="EA266" s="50" t="s">
        <v>0</v>
      </c>
    </row>
    <row r="267" spans="1:131" s="51" customFormat="1" ht="39.950000000000003" hidden="1" customHeight="1" x14ac:dyDescent="0.25">
      <c r="A267" s="16"/>
      <c r="B267" s="16"/>
      <c r="C267" s="16"/>
      <c r="D267" s="16"/>
      <c r="E267" s="16"/>
      <c r="F267" s="16"/>
      <c r="G267" s="16"/>
      <c r="H267" s="16"/>
      <c r="I267" s="16"/>
      <c r="J267" s="16"/>
      <c r="K267" s="16"/>
      <c r="L267" s="16"/>
      <c r="M267" s="16"/>
      <c r="N267" s="16"/>
      <c r="O267" s="16"/>
      <c r="P267" s="16"/>
      <c r="Q267" s="16"/>
      <c r="R267" s="16"/>
      <c r="S267" s="16"/>
      <c r="T267" s="16"/>
      <c r="U267" s="49"/>
      <c r="V267" s="49"/>
      <c r="W267" s="49"/>
      <c r="X267" s="15"/>
      <c r="Y267" s="16"/>
      <c r="Z267" s="40"/>
      <c r="AA267" s="40"/>
      <c r="AB267" s="15"/>
      <c r="AC267" s="15"/>
      <c r="AD267" s="15"/>
      <c r="AE267" s="15"/>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v>265</v>
      </c>
      <c r="DZ267" s="20">
        <v>132.5</v>
      </c>
      <c r="EA267" s="50" t="s">
        <v>0</v>
      </c>
    </row>
    <row r="268" spans="1:131" s="51" customFormat="1" ht="39.950000000000003" hidden="1" customHeight="1" x14ac:dyDescent="0.25">
      <c r="A268" s="16"/>
      <c r="B268" s="16"/>
      <c r="C268" s="16"/>
      <c r="D268" s="16"/>
      <c r="E268" s="16"/>
      <c r="F268" s="16"/>
      <c r="G268" s="16"/>
      <c r="H268" s="16"/>
      <c r="I268" s="16"/>
      <c r="J268" s="16"/>
      <c r="K268" s="16"/>
      <c r="L268" s="16"/>
      <c r="M268" s="16"/>
      <c r="N268" s="16"/>
      <c r="O268" s="16"/>
      <c r="P268" s="16"/>
      <c r="Q268" s="16"/>
      <c r="R268" s="16"/>
      <c r="S268" s="16"/>
      <c r="T268" s="16"/>
      <c r="U268" s="49"/>
      <c r="V268" s="49"/>
      <c r="W268" s="49"/>
      <c r="X268" s="15"/>
      <c r="Y268" s="16"/>
      <c r="Z268" s="40"/>
      <c r="AA268" s="40"/>
      <c r="AB268" s="15"/>
      <c r="AC268" s="15"/>
      <c r="AD268" s="15"/>
      <c r="AE268" s="15"/>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v>266</v>
      </c>
      <c r="DZ268" s="20">
        <v>133</v>
      </c>
      <c r="EA268" s="50" t="s">
        <v>0</v>
      </c>
    </row>
    <row r="269" spans="1:131" s="51" customFormat="1" ht="39.950000000000003" hidden="1" customHeight="1" x14ac:dyDescent="0.25">
      <c r="A269" s="16"/>
      <c r="B269" s="16"/>
      <c r="C269" s="16"/>
      <c r="D269" s="16"/>
      <c r="E269" s="16"/>
      <c r="F269" s="16"/>
      <c r="G269" s="16"/>
      <c r="H269" s="16"/>
      <c r="I269" s="16"/>
      <c r="J269" s="16"/>
      <c r="K269" s="16"/>
      <c r="L269" s="16"/>
      <c r="M269" s="16"/>
      <c r="N269" s="16"/>
      <c r="O269" s="16"/>
      <c r="P269" s="16"/>
      <c r="Q269" s="16"/>
      <c r="R269" s="16"/>
      <c r="S269" s="16"/>
      <c r="T269" s="16"/>
      <c r="U269" s="49"/>
      <c r="V269" s="49"/>
      <c r="W269" s="49"/>
      <c r="X269" s="15"/>
      <c r="Y269" s="16"/>
      <c r="Z269" s="40"/>
      <c r="AA269" s="40"/>
      <c r="AB269" s="15"/>
      <c r="AC269" s="15"/>
      <c r="AD269" s="15"/>
      <c r="AE269" s="15"/>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v>267</v>
      </c>
      <c r="DZ269" s="20">
        <v>133.5</v>
      </c>
      <c r="EA269" s="50" t="s">
        <v>0</v>
      </c>
    </row>
    <row r="270" spans="1:131" ht="39.950000000000003" hidden="1" customHeight="1" x14ac:dyDescent="0.25">
      <c r="DY270" s="7">
        <v>268</v>
      </c>
      <c r="DZ270" s="20">
        <v>134</v>
      </c>
      <c r="EA270" s="50" t="s">
        <v>0</v>
      </c>
    </row>
    <row r="271" spans="1:131" ht="39.950000000000003" hidden="1" customHeight="1" x14ac:dyDescent="0.25">
      <c r="DY271" s="7">
        <v>269</v>
      </c>
      <c r="DZ271" s="20">
        <v>134.5</v>
      </c>
      <c r="EA271" s="50" t="s">
        <v>0</v>
      </c>
    </row>
    <row r="272" spans="1:131" ht="39.950000000000003" hidden="1" customHeight="1" x14ac:dyDescent="0.25">
      <c r="DY272" s="7">
        <v>270</v>
      </c>
      <c r="DZ272" s="20">
        <v>135</v>
      </c>
      <c r="EA272" s="50" t="s">
        <v>0</v>
      </c>
    </row>
    <row r="273" spans="129:131" ht="39.950000000000003" hidden="1" customHeight="1" x14ac:dyDescent="0.25">
      <c r="DY273" s="7">
        <v>271</v>
      </c>
      <c r="DZ273" s="20">
        <v>135.5</v>
      </c>
      <c r="EA273" s="50" t="s">
        <v>0</v>
      </c>
    </row>
    <row r="274" spans="129:131" ht="39.950000000000003" hidden="1" customHeight="1" x14ac:dyDescent="0.25">
      <c r="DY274" s="7">
        <v>272</v>
      </c>
      <c r="DZ274" s="20">
        <v>136</v>
      </c>
      <c r="EA274" s="50" t="s">
        <v>0</v>
      </c>
    </row>
    <row r="275" spans="129:131" ht="39.950000000000003" hidden="1" customHeight="1" x14ac:dyDescent="0.25">
      <c r="DY275" s="7">
        <v>273</v>
      </c>
      <c r="DZ275" s="20">
        <v>136.5</v>
      </c>
      <c r="EA275" s="50" t="s">
        <v>0</v>
      </c>
    </row>
    <row r="276" spans="129:131" ht="39.950000000000003" hidden="1" customHeight="1" x14ac:dyDescent="0.25">
      <c r="DY276" s="7">
        <v>274</v>
      </c>
      <c r="DZ276" s="20">
        <v>137</v>
      </c>
      <c r="EA276" s="50" t="s">
        <v>0</v>
      </c>
    </row>
    <row r="277" spans="129:131" ht="39.950000000000003" hidden="1" customHeight="1" x14ac:dyDescent="0.25">
      <c r="DY277" s="7">
        <v>275</v>
      </c>
      <c r="DZ277" s="20">
        <v>137.5</v>
      </c>
      <c r="EA277" s="50" t="s">
        <v>0</v>
      </c>
    </row>
    <row r="278" spans="129:131" ht="39.950000000000003" hidden="1" customHeight="1" x14ac:dyDescent="0.25">
      <c r="DY278" s="7">
        <v>276</v>
      </c>
      <c r="DZ278" s="20">
        <v>138</v>
      </c>
      <c r="EA278" s="50" t="s">
        <v>0</v>
      </c>
    </row>
    <row r="279" spans="129:131" ht="39.950000000000003" hidden="1" customHeight="1" x14ac:dyDescent="0.25">
      <c r="DY279" s="7">
        <v>277</v>
      </c>
      <c r="DZ279" s="20">
        <v>138.5</v>
      </c>
      <c r="EA279" s="50" t="s">
        <v>0</v>
      </c>
    </row>
    <row r="280" spans="129:131" ht="39.950000000000003" hidden="1" customHeight="1" x14ac:dyDescent="0.25">
      <c r="DY280" s="7">
        <v>278</v>
      </c>
      <c r="DZ280" s="20">
        <v>139</v>
      </c>
      <c r="EA280" s="50" t="s">
        <v>0</v>
      </c>
    </row>
    <row r="281" spans="129:131" ht="39.950000000000003" hidden="1" customHeight="1" x14ac:dyDescent="0.25">
      <c r="DY281" s="7">
        <v>279</v>
      </c>
      <c r="DZ281" s="20">
        <v>139.5</v>
      </c>
      <c r="EA281" s="50" t="s">
        <v>0</v>
      </c>
    </row>
    <row r="282" spans="129:131" ht="39.950000000000003" hidden="1" customHeight="1" x14ac:dyDescent="0.25">
      <c r="DY282" s="7">
        <v>280</v>
      </c>
      <c r="DZ282" s="20">
        <v>140</v>
      </c>
      <c r="EA282" s="50" t="s">
        <v>0</v>
      </c>
    </row>
    <row r="283" spans="129:131" ht="39.950000000000003" hidden="1" customHeight="1" x14ac:dyDescent="0.25">
      <c r="DY283" s="7">
        <v>281</v>
      </c>
      <c r="DZ283" s="20">
        <v>140.5</v>
      </c>
      <c r="EA283" s="50" t="s">
        <v>0</v>
      </c>
    </row>
    <row r="284" spans="129:131" ht="39.950000000000003" hidden="1" customHeight="1" x14ac:dyDescent="0.25">
      <c r="DY284" s="7">
        <v>282</v>
      </c>
      <c r="DZ284" s="20">
        <v>141</v>
      </c>
      <c r="EA284" s="50" t="s">
        <v>0</v>
      </c>
    </row>
    <row r="285" spans="129:131" ht="39.950000000000003" hidden="1" customHeight="1" x14ac:dyDescent="0.25">
      <c r="DY285" s="7">
        <v>283</v>
      </c>
      <c r="DZ285" s="20">
        <v>141.5</v>
      </c>
      <c r="EA285" s="50" t="s">
        <v>0</v>
      </c>
    </row>
    <row r="286" spans="129:131" ht="39.950000000000003" hidden="1" customHeight="1" x14ac:dyDescent="0.25">
      <c r="DY286" s="7">
        <v>284</v>
      </c>
      <c r="DZ286" s="20">
        <v>142</v>
      </c>
      <c r="EA286" s="50" t="s">
        <v>0</v>
      </c>
    </row>
    <row r="287" spans="129:131" ht="39.950000000000003" hidden="1" customHeight="1" x14ac:dyDescent="0.25">
      <c r="DY287" s="7">
        <v>285</v>
      </c>
      <c r="DZ287" s="20">
        <v>142.5</v>
      </c>
      <c r="EA287" s="50" t="s">
        <v>0</v>
      </c>
    </row>
    <row r="288" spans="129:131" ht="39.950000000000003" hidden="1" customHeight="1" x14ac:dyDescent="0.25">
      <c r="DY288" s="7">
        <v>286</v>
      </c>
      <c r="DZ288" s="20">
        <v>143</v>
      </c>
      <c r="EA288" s="50" t="s">
        <v>0</v>
      </c>
    </row>
    <row r="289" spans="129:131" ht="39.950000000000003" hidden="1" customHeight="1" x14ac:dyDescent="0.25">
      <c r="DY289" s="7">
        <v>287</v>
      </c>
      <c r="DZ289" s="20">
        <v>143.5</v>
      </c>
      <c r="EA289" s="50" t="s">
        <v>0</v>
      </c>
    </row>
    <row r="290" spans="129:131" ht="39.950000000000003" hidden="1" customHeight="1" x14ac:dyDescent="0.25">
      <c r="DY290" s="7">
        <v>288</v>
      </c>
      <c r="DZ290" s="20">
        <v>144</v>
      </c>
      <c r="EA290" s="50" t="s">
        <v>0</v>
      </c>
    </row>
    <row r="291" spans="129:131" ht="39.950000000000003" hidden="1" customHeight="1" x14ac:dyDescent="0.25">
      <c r="DY291" s="7">
        <v>289</v>
      </c>
      <c r="DZ291" s="20">
        <v>144.5</v>
      </c>
      <c r="EA291" s="50" t="s">
        <v>0</v>
      </c>
    </row>
    <row r="292" spans="129:131" ht="39.950000000000003" hidden="1" customHeight="1" x14ac:dyDescent="0.25">
      <c r="DY292" s="7">
        <v>290</v>
      </c>
      <c r="DZ292" s="20">
        <v>145</v>
      </c>
      <c r="EA292" s="50" t="s">
        <v>0</v>
      </c>
    </row>
    <row r="293" spans="129:131" ht="39.950000000000003" hidden="1" customHeight="1" x14ac:dyDescent="0.25">
      <c r="DY293" s="7">
        <v>291</v>
      </c>
      <c r="DZ293" s="20">
        <v>145.5</v>
      </c>
      <c r="EA293" s="50" t="s">
        <v>0</v>
      </c>
    </row>
    <row r="294" spans="129:131" ht="39.950000000000003" hidden="1" customHeight="1" x14ac:dyDescent="0.25">
      <c r="DY294" s="7">
        <v>292</v>
      </c>
      <c r="DZ294" s="20">
        <v>146</v>
      </c>
      <c r="EA294" s="50" t="s">
        <v>0</v>
      </c>
    </row>
    <row r="295" spans="129:131" ht="39.950000000000003" hidden="1" customHeight="1" x14ac:dyDescent="0.25">
      <c r="DY295" s="7">
        <v>293</v>
      </c>
      <c r="DZ295" s="20">
        <v>146.5</v>
      </c>
      <c r="EA295" s="50" t="s">
        <v>0</v>
      </c>
    </row>
    <row r="296" spans="129:131" ht="39.950000000000003" hidden="1" customHeight="1" x14ac:dyDescent="0.25">
      <c r="DY296" s="7">
        <v>294</v>
      </c>
      <c r="DZ296" s="20">
        <v>147</v>
      </c>
      <c r="EA296" s="50" t="s">
        <v>0</v>
      </c>
    </row>
    <row r="297" spans="129:131" ht="39.950000000000003" hidden="1" customHeight="1" x14ac:dyDescent="0.25">
      <c r="DY297" s="7">
        <v>295</v>
      </c>
      <c r="DZ297" s="20">
        <v>147.5</v>
      </c>
      <c r="EA297" s="50" t="s">
        <v>0</v>
      </c>
    </row>
    <row r="298" spans="129:131" ht="39.950000000000003" hidden="1" customHeight="1" x14ac:dyDescent="0.25">
      <c r="DY298" s="7">
        <v>296</v>
      </c>
      <c r="DZ298" s="20">
        <v>148</v>
      </c>
      <c r="EA298" s="50" t="s">
        <v>0</v>
      </c>
    </row>
    <row r="299" spans="129:131" ht="39.950000000000003" hidden="1" customHeight="1" x14ac:dyDescent="0.25">
      <c r="DY299" s="7">
        <v>297</v>
      </c>
      <c r="DZ299" s="20">
        <v>148.5</v>
      </c>
      <c r="EA299" s="50" t="s">
        <v>0</v>
      </c>
    </row>
    <row r="300" spans="129:131" ht="39.950000000000003" hidden="1" customHeight="1" x14ac:dyDescent="0.25">
      <c r="DY300" s="7">
        <v>298</v>
      </c>
      <c r="DZ300" s="20">
        <v>149</v>
      </c>
      <c r="EA300" s="50" t="s">
        <v>0</v>
      </c>
    </row>
    <row r="301" spans="129:131" ht="39.950000000000003" hidden="1" customHeight="1" x14ac:dyDescent="0.25">
      <c r="DY301" s="7">
        <v>299</v>
      </c>
      <c r="DZ301" s="20">
        <v>149.5</v>
      </c>
      <c r="EA301" s="50" t="s">
        <v>0</v>
      </c>
    </row>
    <row r="302" spans="129:131" ht="39.950000000000003" hidden="1" customHeight="1" x14ac:dyDescent="0.25">
      <c r="DY302" s="7">
        <v>300</v>
      </c>
      <c r="DZ302" s="20">
        <v>150</v>
      </c>
      <c r="EA302" s="50" t="s">
        <v>0</v>
      </c>
    </row>
    <row r="303" spans="129:131" ht="39.950000000000003" hidden="1" customHeight="1" x14ac:dyDescent="0.25">
      <c r="DY303" s="7">
        <v>301</v>
      </c>
      <c r="DZ303" s="20">
        <v>150.5</v>
      </c>
      <c r="EA303" s="50" t="s">
        <v>0</v>
      </c>
    </row>
    <row r="304" spans="129:131" ht="39.950000000000003" hidden="1" customHeight="1" x14ac:dyDescent="0.25">
      <c r="DY304" s="7">
        <v>302</v>
      </c>
      <c r="DZ304" s="20">
        <v>151</v>
      </c>
      <c r="EA304" s="50" t="s">
        <v>0</v>
      </c>
    </row>
    <row r="305" spans="129:131" ht="39.950000000000003" hidden="1" customHeight="1" x14ac:dyDescent="0.25">
      <c r="DY305" s="7">
        <v>303</v>
      </c>
      <c r="DZ305" s="20">
        <v>151.5</v>
      </c>
      <c r="EA305" s="50" t="s">
        <v>0</v>
      </c>
    </row>
    <row r="306" spans="129:131" ht="39.950000000000003" hidden="1" customHeight="1" x14ac:dyDescent="0.25">
      <c r="DY306" s="7">
        <v>304</v>
      </c>
      <c r="DZ306" s="20">
        <v>152</v>
      </c>
      <c r="EA306" s="50" t="s">
        <v>0</v>
      </c>
    </row>
    <row r="307" spans="129:131" ht="39.950000000000003" hidden="1" customHeight="1" x14ac:dyDescent="0.25">
      <c r="DY307" s="7">
        <v>305</v>
      </c>
      <c r="DZ307" s="20">
        <v>152.5</v>
      </c>
      <c r="EA307" s="50" t="s">
        <v>0</v>
      </c>
    </row>
    <row r="308" spans="129:131" ht="39.950000000000003" hidden="1" customHeight="1" x14ac:dyDescent="0.25">
      <c r="DY308" s="7">
        <v>306</v>
      </c>
      <c r="DZ308" s="20">
        <v>153</v>
      </c>
      <c r="EA308" s="50" t="s">
        <v>0</v>
      </c>
    </row>
    <row r="309" spans="129:131" ht="39.950000000000003" hidden="1" customHeight="1" x14ac:dyDescent="0.25">
      <c r="DY309" s="7">
        <v>307</v>
      </c>
      <c r="DZ309" s="20">
        <v>153.5</v>
      </c>
      <c r="EA309" s="50" t="s">
        <v>0</v>
      </c>
    </row>
    <row r="310" spans="129:131" ht="39.950000000000003" hidden="1" customHeight="1" x14ac:dyDescent="0.25">
      <c r="DY310" s="7">
        <v>308</v>
      </c>
      <c r="DZ310" s="20">
        <v>154</v>
      </c>
      <c r="EA310" s="50" t="s">
        <v>0</v>
      </c>
    </row>
    <row r="311" spans="129:131" ht="39.950000000000003" hidden="1" customHeight="1" x14ac:dyDescent="0.25">
      <c r="DY311" s="7">
        <v>309</v>
      </c>
      <c r="DZ311" s="20">
        <v>154.5</v>
      </c>
      <c r="EA311" s="50" t="s">
        <v>0</v>
      </c>
    </row>
    <row r="312" spans="129:131" ht="39.950000000000003" hidden="1" customHeight="1" x14ac:dyDescent="0.25">
      <c r="DY312" s="7">
        <v>310</v>
      </c>
      <c r="DZ312" s="20">
        <v>155</v>
      </c>
      <c r="EA312" s="50" t="s">
        <v>0</v>
      </c>
    </row>
    <row r="313" spans="129:131" ht="39.950000000000003" hidden="1" customHeight="1" x14ac:dyDescent="0.25">
      <c r="DY313" s="7">
        <v>311</v>
      </c>
      <c r="DZ313" s="20">
        <v>155.5</v>
      </c>
      <c r="EA313" s="50" t="s">
        <v>0</v>
      </c>
    </row>
    <row r="314" spans="129:131" ht="39.950000000000003" hidden="1" customHeight="1" x14ac:dyDescent="0.25">
      <c r="DY314" s="7">
        <v>312</v>
      </c>
      <c r="DZ314" s="20">
        <v>156</v>
      </c>
      <c r="EA314" s="50" t="s">
        <v>0</v>
      </c>
    </row>
    <row r="315" spans="129:131" ht="39.950000000000003" hidden="1" customHeight="1" x14ac:dyDescent="0.25">
      <c r="DY315" s="7">
        <v>313</v>
      </c>
      <c r="DZ315" s="20">
        <v>156.5</v>
      </c>
      <c r="EA315" s="50" t="s">
        <v>0</v>
      </c>
    </row>
    <row r="316" spans="129:131" ht="39.950000000000003" hidden="1" customHeight="1" x14ac:dyDescent="0.25">
      <c r="DY316" s="7">
        <v>314</v>
      </c>
      <c r="DZ316" s="20">
        <v>157</v>
      </c>
      <c r="EA316" s="50" t="s">
        <v>0</v>
      </c>
    </row>
    <row r="317" spans="129:131" ht="39.950000000000003" hidden="1" customHeight="1" x14ac:dyDescent="0.25">
      <c r="DY317" s="7">
        <v>315</v>
      </c>
      <c r="DZ317" s="20">
        <v>157.5</v>
      </c>
      <c r="EA317" s="50" t="s">
        <v>0</v>
      </c>
    </row>
    <row r="318" spans="129:131" ht="39.950000000000003" hidden="1" customHeight="1" x14ac:dyDescent="0.25">
      <c r="DY318" s="7">
        <v>316</v>
      </c>
      <c r="DZ318" s="20">
        <v>158</v>
      </c>
      <c r="EA318" s="50" t="s">
        <v>0</v>
      </c>
    </row>
    <row r="319" spans="129:131" ht="39.950000000000003" hidden="1" customHeight="1" x14ac:dyDescent="0.25">
      <c r="DY319" s="7">
        <v>317</v>
      </c>
      <c r="DZ319" s="20">
        <v>158.5</v>
      </c>
      <c r="EA319" s="50" t="s">
        <v>0</v>
      </c>
    </row>
    <row r="320" spans="129:131" ht="39.950000000000003" hidden="1" customHeight="1" x14ac:dyDescent="0.25">
      <c r="DY320" s="7">
        <v>318</v>
      </c>
      <c r="DZ320" s="20">
        <v>159</v>
      </c>
      <c r="EA320" s="50" t="s">
        <v>0</v>
      </c>
    </row>
    <row r="321" spans="129:131" ht="39.950000000000003" hidden="1" customHeight="1" x14ac:dyDescent="0.25">
      <c r="DY321" s="7">
        <v>319</v>
      </c>
      <c r="DZ321" s="20">
        <v>159.5</v>
      </c>
      <c r="EA321" s="50" t="s">
        <v>0</v>
      </c>
    </row>
    <row r="322" spans="129:131" ht="39.950000000000003" hidden="1" customHeight="1" x14ac:dyDescent="0.25">
      <c r="DY322" s="7">
        <v>320</v>
      </c>
      <c r="DZ322" s="20">
        <v>160</v>
      </c>
      <c r="EA322" s="50" t="s">
        <v>0</v>
      </c>
    </row>
    <row r="323" spans="129:131" ht="39.950000000000003" hidden="1" customHeight="1" x14ac:dyDescent="0.25">
      <c r="DY323" s="7">
        <v>321</v>
      </c>
      <c r="DZ323" s="20">
        <v>160.5</v>
      </c>
      <c r="EA323" s="50" t="s">
        <v>0</v>
      </c>
    </row>
    <row r="324" spans="129:131" ht="39.950000000000003" hidden="1" customHeight="1" x14ac:dyDescent="0.25">
      <c r="DY324" s="7">
        <v>322</v>
      </c>
      <c r="DZ324" s="20">
        <v>161</v>
      </c>
      <c r="EA324" s="50" t="s">
        <v>0</v>
      </c>
    </row>
    <row r="325" spans="129:131" ht="39.950000000000003" hidden="1" customHeight="1" x14ac:dyDescent="0.25">
      <c r="DY325" s="7">
        <v>323</v>
      </c>
      <c r="DZ325" s="20">
        <v>161.5</v>
      </c>
      <c r="EA325" s="50" t="s">
        <v>0</v>
      </c>
    </row>
    <row r="326" spans="129:131" ht="39.950000000000003" hidden="1" customHeight="1" x14ac:dyDescent="0.25">
      <c r="DY326" s="7">
        <v>324</v>
      </c>
      <c r="DZ326" s="20">
        <v>162</v>
      </c>
      <c r="EA326" s="50" t="s">
        <v>0</v>
      </c>
    </row>
    <row r="327" spans="129:131" ht="39.950000000000003" hidden="1" customHeight="1" x14ac:dyDescent="0.25">
      <c r="DY327" s="7">
        <v>325</v>
      </c>
      <c r="DZ327" s="20">
        <v>162.5</v>
      </c>
      <c r="EA327" s="50" t="s">
        <v>0</v>
      </c>
    </row>
    <row r="328" spans="129:131" ht="39.950000000000003" hidden="1" customHeight="1" x14ac:dyDescent="0.25">
      <c r="DY328" s="7">
        <v>326</v>
      </c>
      <c r="DZ328" s="20">
        <v>163</v>
      </c>
      <c r="EA328" s="50" t="s">
        <v>0</v>
      </c>
    </row>
    <row r="329" spans="129:131" ht="39.950000000000003" hidden="1" customHeight="1" x14ac:dyDescent="0.25">
      <c r="DY329" s="7">
        <v>327</v>
      </c>
      <c r="DZ329" s="20">
        <v>163.5</v>
      </c>
      <c r="EA329" s="50" t="s">
        <v>0</v>
      </c>
    </row>
    <row r="330" spans="129:131" ht="39.950000000000003" hidden="1" customHeight="1" x14ac:dyDescent="0.25">
      <c r="DY330" s="7">
        <v>328</v>
      </c>
      <c r="DZ330" s="20">
        <v>164</v>
      </c>
      <c r="EA330" s="50" t="s">
        <v>0</v>
      </c>
    </row>
    <row r="331" spans="129:131" ht="39.950000000000003" hidden="1" customHeight="1" x14ac:dyDescent="0.25">
      <c r="DY331" s="7">
        <v>329</v>
      </c>
      <c r="DZ331" s="20">
        <v>164.5</v>
      </c>
      <c r="EA331" s="50" t="s">
        <v>0</v>
      </c>
    </row>
    <row r="332" spans="129:131" ht="39.950000000000003" hidden="1" customHeight="1" x14ac:dyDescent="0.25">
      <c r="DY332" s="7">
        <v>330</v>
      </c>
      <c r="DZ332" s="20">
        <v>165</v>
      </c>
      <c r="EA332" s="50" t="s">
        <v>0</v>
      </c>
    </row>
    <row r="333" spans="129:131" ht="39.950000000000003" hidden="1" customHeight="1" x14ac:dyDescent="0.25">
      <c r="DY333" s="7">
        <v>331</v>
      </c>
      <c r="DZ333" s="20">
        <v>165.5</v>
      </c>
      <c r="EA333" s="50" t="s">
        <v>0</v>
      </c>
    </row>
    <row r="334" spans="129:131" ht="39.950000000000003" hidden="1" customHeight="1" x14ac:dyDescent="0.25">
      <c r="DY334" s="7">
        <v>332</v>
      </c>
      <c r="DZ334" s="20">
        <v>166</v>
      </c>
      <c r="EA334" s="50" t="s">
        <v>0</v>
      </c>
    </row>
    <row r="335" spans="129:131" ht="39.950000000000003" hidden="1" customHeight="1" x14ac:dyDescent="0.25">
      <c r="DY335" s="7">
        <v>333</v>
      </c>
      <c r="DZ335" s="20">
        <v>166.5</v>
      </c>
      <c r="EA335" s="50" t="s">
        <v>0</v>
      </c>
    </row>
    <row r="336" spans="129:131" ht="39.950000000000003" hidden="1" customHeight="1" x14ac:dyDescent="0.25">
      <c r="DY336" s="7">
        <v>334</v>
      </c>
      <c r="DZ336" s="20">
        <v>167</v>
      </c>
      <c r="EA336" s="50" t="s">
        <v>0</v>
      </c>
    </row>
    <row r="337" spans="129:131" ht="39.950000000000003" hidden="1" customHeight="1" x14ac:dyDescent="0.25">
      <c r="DY337" s="7">
        <v>335</v>
      </c>
      <c r="DZ337" s="20">
        <v>167.5</v>
      </c>
      <c r="EA337" s="50" t="s">
        <v>0</v>
      </c>
    </row>
    <row r="338" spans="129:131" ht="39.950000000000003" hidden="1" customHeight="1" x14ac:dyDescent="0.25">
      <c r="DY338" s="7">
        <v>336</v>
      </c>
      <c r="DZ338" s="20">
        <v>168</v>
      </c>
      <c r="EA338" s="50" t="s">
        <v>0</v>
      </c>
    </row>
    <row r="339" spans="129:131" ht="39.950000000000003" hidden="1" customHeight="1" x14ac:dyDescent="0.25">
      <c r="DY339" s="7">
        <v>337</v>
      </c>
      <c r="DZ339" s="20">
        <v>168.5</v>
      </c>
      <c r="EA339" s="50" t="s">
        <v>0</v>
      </c>
    </row>
    <row r="340" spans="129:131" ht="39.950000000000003" hidden="1" customHeight="1" x14ac:dyDescent="0.25">
      <c r="DY340" s="7">
        <v>338</v>
      </c>
      <c r="DZ340" s="20">
        <v>169</v>
      </c>
      <c r="EA340" s="50" t="s">
        <v>0</v>
      </c>
    </row>
    <row r="341" spans="129:131" ht="39.950000000000003" hidden="1" customHeight="1" x14ac:dyDescent="0.25">
      <c r="DY341" s="7">
        <v>339</v>
      </c>
      <c r="DZ341" s="20">
        <v>169.5</v>
      </c>
      <c r="EA341" s="50" t="s">
        <v>0</v>
      </c>
    </row>
    <row r="342" spans="129:131" ht="39.950000000000003" hidden="1" customHeight="1" x14ac:dyDescent="0.25">
      <c r="DY342" s="7">
        <v>340</v>
      </c>
      <c r="DZ342" s="20">
        <v>170</v>
      </c>
      <c r="EA342" s="50" t="s">
        <v>0</v>
      </c>
    </row>
    <row r="343" spans="129:131" ht="39.950000000000003" hidden="1" customHeight="1" x14ac:dyDescent="0.25">
      <c r="DY343" s="7">
        <v>341</v>
      </c>
      <c r="DZ343" s="20">
        <v>170.5</v>
      </c>
      <c r="EA343" s="50" t="s">
        <v>0</v>
      </c>
    </row>
    <row r="344" spans="129:131" ht="39.950000000000003" hidden="1" customHeight="1" x14ac:dyDescent="0.25">
      <c r="DY344" s="7">
        <v>342</v>
      </c>
      <c r="DZ344" s="20">
        <v>171</v>
      </c>
      <c r="EA344" s="50" t="s">
        <v>0</v>
      </c>
    </row>
    <row r="345" spans="129:131" ht="39.950000000000003" hidden="1" customHeight="1" x14ac:dyDescent="0.25">
      <c r="DY345" s="7">
        <v>343</v>
      </c>
      <c r="DZ345" s="20">
        <v>171.5</v>
      </c>
      <c r="EA345" s="50" t="s">
        <v>0</v>
      </c>
    </row>
    <row r="346" spans="129:131" ht="39.950000000000003" hidden="1" customHeight="1" x14ac:dyDescent="0.25">
      <c r="DY346" s="7">
        <v>344</v>
      </c>
      <c r="DZ346" s="20">
        <v>172</v>
      </c>
      <c r="EA346" s="50" t="s">
        <v>0</v>
      </c>
    </row>
    <row r="347" spans="129:131" ht="39.950000000000003" hidden="1" customHeight="1" x14ac:dyDescent="0.25">
      <c r="DY347" s="7">
        <v>345</v>
      </c>
      <c r="DZ347" s="20">
        <v>172.5</v>
      </c>
      <c r="EA347" s="50" t="s">
        <v>0</v>
      </c>
    </row>
    <row r="348" spans="129:131" ht="39.950000000000003" hidden="1" customHeight="1" x14ac:dyDescent="0.25">
      <c r="DY348" s="7">
        <v>346</v>
      </c>
      <c r="DZ348" s="20">
        <v>173</v>
      </c>
      <c r="EA348" s="50" t="s">
        <v>0</v>
      </c>
    </row>
    <row r="349" spans="129:131" ht="39.950000000000003" hidden="1" customHeight="1" x14ac:dyDescent="0.25">
      <c r="DY349" s="7">
        <v>347</v>
      </c>
      <c r="DZ349" s="20">
        <v>173.5</v>
      </c>
      <c r="EA349" s="50" t="s">
        <v>0</v>
      </c>
    </row>
    <row r="350" spans="129:131" ht="39.950000000000003" hidden="1" customHeight="1" x14ac:dyDescent="0.25">
      <c r="DY350" s="7">
        <v>348</v>
      </c>
      <c r="DZ350" s="20">
        <v>174</v>
      </c>
      <c r="EA350" s="50" t="s">
        <v>0</v>
      </c>
    </row>
    <row r="351" spans="129:131" ht="39.950000000000003" hidden="1" customHeight="1" x14ac:dyDescent="0.25">
      <c r="DY351" s="7">
        <v>349</v>
      </c>
      <c r="DZ351" s="20">
        <v>174.5</v>
      </c>
      <c r="EA351" s="50" t="s">
        <v>0</v>
      </c>
    </row>
    <row r="352" spans="129:131" ht="39.950000000000003" hidden="1" customHeight="1" x14ac:dyDescent="0.25">
      <c r="DY352" s="7">
        <v>350</v>
      </c>
      <c r="DZ352" s="20">
        <v>175</v>
      </c>
      <c r="EA352" s="50" t="s">
        <v>0</v>
      </c>
    </row>
    <row r="353" spans="129:131" ht="39.950000000000003" hidden="1" customHeight="1" x14ac:dyDescent="0.25">
      <c r="DY353" s="7">
        <v>351</v>
      </c>
      <c r="DZ353" s="20">
        <v>175.5</v>
      </c>
      <c r="EA353" s="50" t="s">
        <v>0</v>
      </c>
    </row>
    <row r="354" spans="129:131" ht="39.950000000000003" hidden="1" customHeight="1" x14ac:dyDescent="0.25">
      <c r="DY354" s="7">
        <v>352</v>
      </c>
      <c r="DZ354" s="20">
        <v>176</v>
      </c>
      <c r="EA354" s="50" t="s">
        <v>0</v>
      </c>
    </row>
    <row r="355" spans="129:131" ht="39.950000000000003" hidden="1" customHeight="1" x14ac:dyDescent="0.25">
      <c r="DY355" s="7">
        <v>353</v>
      </c>
      <c r="DZ355" s="20">
        <v>176.5</v>
      </c>
      <c r="EA355" s="50" t="s">
        <v>0</v>
      </c>
    </row>
    <row r="356" spans="129:131" ht="39.950000000000003" hidden="1" customHeight="1" x14ac:dyDescent="0.25">
      <c r="DY356" s="7">
        <v>354</v>
      </c>
      <c r="DZ356" s="20">
        <v>177</v>
      </c>
      <c r="EA356" s="50" t="s">
        <v>0</v>
      </c>
    </row>
    <row r="357" spans="129:131" ht="39.950000000000003" hidden="1" customHeight="1" x14ac:dyDescent="0.25">
      <c r="DY357" s="7">
        <v>355</v>
      </c>
      <c r="DZ357" s="20">
        <v>177.5</v>
      </c>
      <c r="EA357" s="50" t="s">
        <v>0</v>
      </c>
    </row>
    <row r="358" spans="129:131" ht="39.950000000000003" hidden="1" customHeight="1" x14ac:dyDescent="0.25">
      <c r="DY358" s="7">
        <v>356</v>
      </c>
      <c r="DZ358" s="20">
        <v>178</v>
      </c>
      <c r="EA358" s="50" t="s">
        <v>0</v>
      </c>
    </row>
    <row r="359" spans="129:131" ht="39.950000000000003" hidden="1" customHeight="1" x14ac:dyDescent="0.25">
      <c r="DY359" s="7">
        <v>357</v>
      </c>
      <c r="DZ359" s="20">
        <v>178.5</v>
      </c>
      <c r="EA359" s="50" t="s">
        <v>0</v>
      </c>
    </row>
    <row r="360" spans="129:131" ht="39.950000000000003" hidden="1" customHeight="1" x14ac:dyDescent="0.25">
      <c r="DY360" s="7">
        <v>358</v>
      </c>
      <c r="DZ360" s="20">
        <v>179</v>
      </c>
      <c r="EA360" s="50" t="s">
        <v>0</v>
      </c>
    </row>
    <row r="361" spans="129:131" ht="39.950000000000003" hidden="1" customHeight="1" x14ac:dyDescent="0.25">
      <c r="DY361" s="7">
        <v>359</v>
      </c>
      <c r="DZ361" s="20">
        <v>179.5</v>
      </c>
      <c r="EA361" s="50" t="s">
        <v>0</v>
      </c>
    </row>
    <row r="362" spans="129:131" ht="39.950000000000003" hidden="1" customHeight="1" x14ac:dyDescent="0.25">
      <c r="DY362" s="7">
        <v>360</v>
      </c>
      <c r="DZ362" s="20">
        <v>180</v>
      </c>
      <c r="EA362" s="50" t="s">
        <v>0</v>
      </c>
    </row>
    <row r="363" spans="129:131" ht="9.9499999999999993" hidden="1" customHeight="1" x14ac:dyDescent="0.25"/>
  </sheetData>
  <sheetProtection algorithmName="SHA-512" hashValue="gC7v3IUbRdzdCkdbFLBQUBT+ALpfoTHkqjm3eLrLEZSqGJyY3utMmYmTuFmXwTiNqXFMechYren+SeOAQ2iwkw==" saltValue="WIgpUlAYX2KJbcntlYs2MQ==" spinCount="100000" sheet="1" objects="1" scenarios="1" selectLockedCells="1"/>
  <mergeCells count="30">
    <mergeCell ref="Y1:Y28"/>
    <mergeCell ref="S1:S14"/>
    <mergeCell ref="AB1:AB28"/>
    <mergeCell ref="AC2:AC27"/>
    <mergeCell ref="AE2:AE27"/>
    <mergeCell ref="AD2:AD27"/>
    <mergeCell ref="AC1:AE1"/>
    <mergeCell ref="AC28:AE28"/>
    <mergeCell ref="T1:T14"/>
    <mergeCell ref="X1:X28"/>
    <mergeCell ref="A28:B28"/>
    <mergeCell ref="D1:D14"/>
    <mergeCell ref="A27:B27"/>
    <mergeCell ref="P1:P14"/>
    <mergeCell ref="H1:H14"/>
    <mergeCell ref="G1:G14"/>
    <mergeCell ref="M1:M14"/>
    <mergeCell ref="N1:N14"/>
    <mergeCell ref="O1:O14"/>
    <mergeCell ref="Q1:Q14"/>
    <mergeCell ref="R1:R14"/>
    <mergeCell ref="A1:A14"/>
    <mergeCell ref="B1:B14"/>
    <mergeCell ref="F1:F14"/>
    <mergeCell ref="E1:E14"/>
    <mergeCell ref="C1:C14"/>
    <mergeCell ref="K1:K14"/>
    <mergeCell ref="L1:L14"/>
    <mergeCell ref="I1:I14"/>
    <mergeCell ref="J1:J14"/>
  </mergeCells>
  <phoneticPr fontId="4" type="noConversion"/>
  <dataValidations count="11">
    <dataValidation type="list" allowBlank="1" showInputMessage="1" showErrorMessage="1" sqref="I15:I26 AP6:AP11 AP23:AP28" xr:uid="{00000000-0002-0000-0000-00001D000000}">
      <formula1>"Yok, Var"</formula1>
    </dataValidation>
    <dataValidation type="list" allowBlank="1" showInputMessage="1" showErrorMessage="1" sqref="Q15:Q26" xr:uid="{AE6F5B80-D879-46A1-9401-5AC10970F888}">
      <formula1>$EA$2:$EA$50</formula1>
    </dataValidation>
    <dataValidation type="list" allowBlank="1" showInputMessage="1" showErrorMessage="1" sqref="X1:X28" xr:uid="{9054E20C-415A-4A28-9A83-E6387959DADB}">
      <formula1>"Ocak, Şubat, Mart, Nisan, Mayıs, Haziran, Temmuz, Ağustos, Eylül, Ekim, Kasım, Aralık, Yıllık Toplam, Yıllık Ortalama"</formula1>
    </dataValidation>
    <dataValidation type="list" allowBlank="1" showInputMessage="1" showErrorMessage="1" sqref="AN17" xr:uid="{E78907BA-7A5C-4BC5-9626-30F7C79A3DA3}">
      <formula1>#REF!</formula1>
    </dataValidation>
    <dataValidation type="list" allowBlank="1" showInputMessage="1" showErrorMessage="1" sqref="D15:E26" xr:uid="{D16C9647-72F6-4D86-BCEE-3739AC9AC5F3}">
      <formula1>$DZ$2:$DZ$362</formula1>
    </dataValidation>
    <dataValidation type="list" allowBlank="1" showInputMessage="1" showErrorMessage="1" sqref="F15:H26 BV1:BV6 CJ1:CJ6 BS1:BS6 CG1:CG6 BY1:BY6 CM1:CM6 C15:C26" xr:uid="{65FACC1D-9377-4225-8D3E-97700607B264}">
      <formula1>$DY$2:$DY$362</formula1>
    </dataValidation>
    <dataValidation type="list" allowBlank="1" showInputMessage="1" showErrorMessage="1" sqref="AF1:AH1" xr:uid="{99702CBD-CB91-401A-9802-20FD3EF7864C}">
      <formula1>INDIRECT($A$1)</formula1>
    </dataValidation>
    <dataValidation type="list" allowBlank="1" showInputMessage="1" showErrorMessage="1" sqref="J15:M26" xr:uid="{E4AA0BAE-393A-4FE6-A1CE-984D4A8DFAD2}">
      <formula1>$DY$2:$DY$7</formula1>
    </dataValidation>
    <dataValidation type="list" allowBlank="1" showInputMessage="1" showErrorMessage="1" sqref="A1:A14" xr:uid="{AE81A231-50A0-4C37-89AE-F70005CB0F11}">
      <formula1>$AF$1:$AF$9</formula1>
    </dataValidation>
    <dataValidation type="list" allowBlank="1" showInputMessage="1" showErrorMessage="1" sqref="N15:P26" xr:uid="{187EE4C5-3B61-436F-91AD-280372E2CFF4}">
      <formula1>$DW$1:$DW$21</formula1>
    </dataValidation>
    <dataValidation type="list" allowBlank="1" showInputMessage="1" showErrorMessage="1" sqref="AB1:AB28" xr:uid="{F853FCC4-C3B8-4272-9BE3-E548C91B3D0F}">
      <formula1>$Z$1:$Z$18</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cp:lastModifiedBy>
  <cp:lastPrinted>2021-01-27T16:23:43Z</cp:lastPrinted>
  <dcterms:created xsi:type="dcterms:W3CDTF">2015-06-05T18:19:34Z</dcterms:created>
  <dcterms:modified xsi:type="dcterms:W3CDTF">2022-08-30T15:30:25Z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