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codeName="BuÇalışmaKitabı" autoCompressPictures="0" defaultThemeVersion="124226"/>
  <mc:AlternateContent xmlns:mc="http://schemas.openxmlformats.org/markup-compatibility/2006">
    <mc:Choice Requires="x15">
      <x15ac:absPath xmlns:x15ac="http://schemas.microsoft.com/office/spreadsheetml/2010/11/ac" url="C:\Users\½\Desktop\"/>
    </mc:Choice>
  </mc:AlternateContent>
  <xr:revisionPtr revIDLastSave="0" documentId="13_ncr:1_{621F4118-9A78-4803-930E-C3A7C2D56302}" xr6:coauthVersionLast="47" xr6:coauthVersionMax="47" xr10:uidLastSave="{00000000-0000-0000-0000-000000000000}"/>
  <workbookProtection workbookAlgorithmName="SHA-512" workbookHashValue="BUngJW9jXBINWKDm4wOxxxEvbNK9t50zkPxHlVaTrYimjhslImpdDZZi+Z3ZazLE4/0iury2QyhdCix6bjI8fg==" workbookSaltValue="Xzi2ZKHff6wnN5JXscJPdw==" workbookSpinCount="100000" lockStructure="1"/>
  <bookViews>
    <workbookView xWindow="-120" yWindow="-120" windowWidth="29040" windowHeight="15840" xr2:uid="{00000000-000D-0000-FFFF-FFFF00000000}"/>
  </bookViews>
  <sheets>
    <sheet name="Özet Tablo" sheetId="130" r:id="rId1"/>
  </sheets>
  <definedNames>
    <definedName name="_xlnm._FilterDatabase" localSheetId="0" hidden="1">'Özet Tablo'!#REF!</definedName>
    <definedName name="Bartın_854">'Özet Tablo'!#REF!</definedName>
    <definedName name="Çanakkale_4857">'Özet Tablo'!#REF!</definedName>
    <definedName name="Çanakkale_854">'Özet Tablo'!#REF!</definedName>
    <definedName name="İST_K_4857">'Özet Tablo'!#REF!</definedName>
    <definedName name="İST_K_854">'Özet Tablo'!#REF!</definedName>
    <definedName name="İST_K_854_Deniz_Taksi">'Özet Tablo'!#REF!</definedName>
    <definedName name="İST_K_Güvenlik_Kapsam_Dışı">'Özet Tablo'!#REF!</definedName>
    <definedName name="İST_K_Kafe_Kapsam_Dışı">'Özet Tablo'!#REF!</definedName>
    <definedName name="İST_K_Temizlik_Kapsam_Dışı">'Özet Tablo'!#REF!</definedName>
    <definedName name="İST_Ö_4857">'Özet Tablo'!#REF!</definedName>
    <definedName name="İST_Ö_854">'Özet Tablo'!#REF!</definedName>
    <definedName name="İzmir_4857">'Özet Tablo'!#REF!</definedName>
    <definedName name="İzmir_854">'Özet Tablo'!#REF!</definedName>
    <definedName name="Zonguldak_854">'Özet Tablo'!#REF!</definedName>
  </definedNames>
  <calcPr calcId="191029" iterate="1"/>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J30" i="130" l="1"/>
  <c r="AJ31" i="130"/>
  <c r="AJ32" i="130"/>
  <c r="AJ33" i="130"/>
  <c r="AJ34" i="130"/>
  <c r="AJ35" i="130"/>
  <c r="AJ36" i="130"/>
  <c r="AJ37" i="130"/>
  <c r="AJ38" i="130"/>
  <c r="AJ39" i="130"/>
  <c r="AJ40" i="130"/>
  <c r="AJ29" i="130"/>
  <c r="AR36" i="130"/>
  <c r="AR37" i="130"/>
  <c r="AR38" i="130"/>
  <c r="AR39" i="130"/>
  <c r="AR40" i="130"/>
  <c r="AR35" i="130"/>
  <c r="AV8" i="130"/>
  <c r="AV9" i="130"/>
  <c r="AV10" i="130"/>
  <c r="AV11" i="130"/>
  <c r="AV12" i="130"/>
  <c r="AV7" i="130"/>
  <c r="AS9" i="130"/>
  <c r="AS10" i="130"/>
  <c r="AS11" i="130"/>
  <c r="AS12" i="130"/>
  <c r="AS7" i="130"/>
  <c r="AS8" i="130"/>
  <c r="AR30" i="130" l="1"/>
  <c r="AR31" i="130"/>
  <c r="AR32" i="130"/>
  <c r="AR33" i="130"/>
  <c r="AR34" i="130"/>
  <c r="AR29" i="130"/>
  <c r="AV2" i="130"/>
  <c r="AV3" i="130"/>
  <c r="AV4" i="130"/>
  <c r="AV5" i="130"/>
  <c r="AV6" i="130"/>
  <c r="AV1" i="130"/>
  <c r="AS2" i="130"/>
  <c r="AS3" i="130"/>
  <c r="AS4" i="130"/>
  <c r="AS5" i="130"/>
  <c r="AS6" i="130"/>
  <c r="AS1" i="130"/>
  <c r="AS16" i="130"/>
  <c r="AS17" i="130"/>
  <c r="AS18" i="130"/>
  <c r="AS19" i="130"/>
  <c r="AS20" i="130"/>
  <c r="AS21" i="130"/>
  <c r="AS22" i="130"/>
  <c r="AS23" i="130"/>
  <c r="AS24" i="130"/>
  <c r="AS25" i="130"/>
  <c r="AS26" i="130"/>
  <c r="AS15" i="130"/>
  <c r="AI16" i="130"/>
  <c r="AI17" i="130"/>
  <c r="AI18" i="130"/>
  <c r="AI19" i="130"/>
  <c r="AI20" i="130"/>
  <c r="AI21" i="130"/>
  <c r="AI22" i="130"/>
  <c r="AI23" i="130"/>
  <c r="AI24" i="130"/>
  <c r="AI25" i="130"/>
  <c r="AI26" i="130"/>
  <c r="AI15" i="130"/>
  <c r="AB35" i="130"/>
  <c r="AE35" i="130" s="1"/>
  <c r="AB34" i="130" l="1"/>
  <c r="AE34" i="130" s="1"/>
  <c r="AD35" i="130"/>
  <c r="AD34" i="130" l="1"/>
  <c r="AX2" i="130"/>
  <c r="AX3" i="130"/>
  <c r="AX4" i="130"/>
  <c r="AX5" i="130"/>
  <c r="AX6" i="130"/>
  <c r="AX7" i="130"/>
  <c r="AX8" i="130"/>
  <c r="AX9" i="130"/>
  <c r="AX10" i="130"/>
  <c r="AX11" i="130"/>
  <c r="AX12" i="130"/>
  <c r="AX1" i="130"/>
  <c r="AW36" i="130"/>
  <c r="AW37" i="130"/>
  <c r="AW38" i="130"/>
  <c r="AW39" i="130"/>
  <c r="AW40" i="130"/>
  <c r="AW35" i="130"/>
  <c r="AW30" i="130"/>
  <c r="AW31" i="130"/>
  <c r="AW32" i="130"/>
  <c r="AW33" i="130"/>
  <c r="AW34" i="130"/>
  <c r="AW29" i="130"/>
  <c r="AV36" i="130"/>
  <c r="AV37" i="130"/>
  <c r="AV38" i="130"/>
  <c r="AV39" i="130"/>
  <c r="AV40" i="130"/>
  <c r="AV35" i="130"/>
  <c r="AV30" i="130"/>
  <c r="AV31" i="130"/>
  <c r="AV32" i="130"/>
  <c r="AV33" i="130"/>
  <c r="AV34" i="130"/>
  <c r="AV29" i="130"/>
  <c r="AM43" i="130" l="1"/>
  <c r="AY2" i="130"/>
  <c r="AY3" i="130"/>
  <c r="AY5" i="130"/>
  <c r="AY6" i="130"/>
  <c r="E27" i="130"/>
  <c r="AC27" i="130"/>
  <c r="AB26" i="130"/>
  <c r="AE26" i="130" s="1"/>
  <c r="AB25" i="130"/>
  <c r="AE25" i="130" s="1"/>
  <c r="AB24" i="130"/>
  <c r="AD24" i="130" s="1"/>
  <c r="AB23" i="130"/>
  <c r="AE23" i="130" s="1"/>
  <c r="AB20" i="130"/>
  <c r="AB18" i="130"/>
  <c r="AD18" i="130" s="1"/>
  <c r="AB17" i="130"/>
  <c r="AE17" i="130" s="1"/>
  <c r="AE6" i="130" s="1"/>
  <c r="AB14" i="130"/>
  <c r="AB5" i="130"/>
  <c r="AE5" i="130" s="1"/>
  <c r="AB4" i="130"/>
  <c r="AD4" i="130" s="1"/>
  <c r="AB3" i="130"/>
  <c r="AE3" i="130" s="1"/>
  <c r="AD17" i="130" l="1"/>
  <c r="AD6" i="130" s="1"/>
  <c r="AE24" i="130"/>
  <c r="AE4" i="130"/>
  <c r="AD7" i="130"/>
  <c r="AD20" i="130"/>
  <c r="AD21" i="130" s="1"/>
  <c r="AB27" i="130"/>
  <c r="AE18" i="130"/>
  <c r="AD5" i="130"/>
  <c r="AT32" i="130" s="1"/>
  <c r="AB19" i="130"/>
  <c r="AD3" i="130"/>
  <c r="AD25" i="130"/>
  <c r="AD23" i="130"/>
  <c r="AD26" i="130"/>
  <c r="AY4" i="130"/>
  <c r="AT31" i="130" l="1"/>
  <c r="AT30" i="130"/>
  <c r="AU33" i="130"/>
  <c r="AU32" i="130"/>
  <c r="AU30" i="130"/>
  <c r="AE20" i="130"/>
  <c r="AE21" i="130" s="1"/>
  <c r="AE7" i="130"/>
  <c r="AT34" i="130"/>
  <c r="AD19" i="130"/>
  <c r="AD8" i="130" s="1"/>
  <c r="AE19" i="130"/>
  <c r="AE8" i="130" s="1"/>
  <c r="AE27" i="130"/>
  <c r="AE28" i="130" s="1"/>
  <c r="AD27" i="130"/>
  <c r="AD28" i="130" s="1"/>
  <c r="AU31" i="130"/>
  <c r="AT33" i="130"/>
  <c r="AU34" i="130"/>
  <c r="AJ41" i="130" l="1"/>
  <c r="AJ42" i="130" s="1"/>
  <c r="AQ36" i="130" l="1"/>
  <c r="AQ37" i="130"/>
  <c r="AQ38" i="130"/>
  <c r="AQ39" i="130"/>
  <c r="AQ40" i="130"/>
  <c r="AQ35" i="130"/>
  <c r="AQ30" i="130"/>
  <c r="AQ31" i="130"/>
  <c r="AQ32" i="130"/>
  <c r="AQ33" i="130"/>
  <c r="AQ34" i="130"/>
  <c r="AQ29" i="130"/>
  <c r="AL36" i="130"/>
  <c r="AL37" i="130"/>
  <c r="AL38" i="130"/>
  <c r="AL39" i="130"/>
  <c r="AL40" i="130"/>
  <c r="AL35" i="130"/>
  <c r="AL30" i="130"/>
  <c r="AL31" i="130"/>
  <c r="AL32" i="130"/>
  <c r="AL33" i="130"/>
  <c r="AL34" i="130"/>
  <c r="AL29" i="130"/>
  <c r="AM2" i="130"/>
  <c r="AM3" i="130"/>
  <c r="AM4" i="130"/>
  <c r="AM5" i="130"/>
  <c r="AM6" i="130"/>
  <c r="AM7" i="130"/>
  <c r="AM8" i="130"/>
  <c r="AM9" i="130"/>
  <c r="AM10" i="130"/>
  <c r="AM11" i="130"/>
  <c r="AM12" i="130"/>
  <c r="AY11" i="130"/>
  <c r="AY12" i="130"/>
  <c r="AM1" i="130"/>
  <c r="AY1" i="130"/>
  <c r="AY10" i="130"/>
  <c r="AY9" i="130"/>
  <c r="AY8" i="130"/>
  <c r="AY7" i="130"/>
  <c r="AL1" i="130" l="1"/>
  <c r="AX13" i="130"/>
  <c r="AX14" i="130" s="1"/>
  <c r="AY13" i="130"/>
  <c r="AY14" i="130" s="1"/>
  <c r="AK55" i="130"/>
  <c r="AK54" i="130"/>
  <c r="AK53" i="130"/>
  <c r="AK52" i="130"/>
  <c r="AK51" i="130"/>
  <c r="AK50" i="130"/>
  <c r="AK49" i="130"/>
  <c r="AK48" i="130"/>
  <c r="AK47" i="130"/>
  <c r="AK46" i="130"/>
  <c r="AK45" i="130"/>
  <c r="AK44" i="130"/>
  <c r="AZ40" i="130"/>
  <c r="AZ39" i="130"/>
  <c r="AZ38" i="130"/>
  <c r="AZ37" i="130"/>
  <c r="AZ36" i="130"/>
  <c r="AZ35" i="130"/>
  <c r="AZ34" i="130"/>
  <c r="AZ33" i="130"/>
  <c r="AZ32" i="130"/>
  <c r="AZ31" i="130"/>
  <c r="AZ30" i="130"/>
  <c r="AZ29" i="130"/>
  <c r="BA12" i="130"/>
  <c r="AZ12" i="130"/>
  <c r="BD12" i="130" s="1"/>
  <c r="BA11" i="130"/>
  <c r="AZ11" i="130"/>
  <c r="BD11" i="130" s="1"/>
  <c r="BA10" i="130"/>
  <c r="AZ10" i="130"/>
  <c r="BD10" i="130" s="1"/>
  <c r="BA9" i="130"/>
  <c r="AZ9" i="130"/>
  <c r="BD9" i="130" s="1"/>
  <c r="BA8" i="130"/>
  <c r="AZ8" i="130"/>
  <c r="BA7" i="130"/>
  <c r="AZ7" i="130"/>
  <c r="BA6" i="130"/>
  <c r="AZ6" i="130"/>
  <c r="BD6" i="130" s="1"/>
  <c r="BA5" i="130"/>
  <c r="AZ5" i="130"/>
  <c r="BD5" i="130" s="1"/>
  <c r="BA4" i="130"/>
  <c r="AZ4" i="130"/>
  <c r="BD4" i="130" s="1"/>
  <c r="BA3" i="130"/>
  <c r="AZ3" i="130"/>
  <c r="BD3" i="130" s="1"/>
  <c r="BA2" i="130"/>
  <c r="AZ2" i="130"/>
  <c r="BD2" i="130" s="1"/>
  <c r="BA1" i="130"/>
  <c r="AZ1" i="130"/>
  <c r="BD1" i="130" s="1"/>
  <c r="AV45" i="130" l="1"/>
  <c r="AN1" i="130"/>
  <c r="BB8" i="130"/>
  <c r="BD8" i="130"/>
  <c r="BE7" i="130"/>
  <c r="BD7" i="130"/>
  <c r="BD13" i="130" s="1"/>
  <c r="BD14" i="130" s="1"/>
  <c r="BB2" i="130"/>
  <c r="BB9" i="130"/>
  <c r="BB3" i="130"/>
  <c r="AZ41" i="130"/>
  <c r="AZ42" i="130" s="1"/>
  <c r="BB6" i="130"/>
  <c r="BB12" i="130"/>
  <c r="BB5" i="130"/>
  <c r="BB11" i="130"/>
  <c r="BE2" i="130"/>
  <c r="BA30" i="130" s="1"/>
  <c r="AK56" i="130"/>
  <c r="AK57" i="130" s="1"/>
  <c r="BB4" i="130"/>
  <c r="BB10" i="130"/>
  <c r="BB1" i="130"/>
  <c r="BA35" i="130"/>
  <c r="BE1" i="130"/>
  <c r="BA29" i="130" s="1"/>
  <c r="BE5" i="130"/>
  <c r="BA33" i="130" s="1"/>
  <c r="BE6" i="130"/>
  <c r="BA34" i="130" s="1"/>
  <c r="BE8" i="130"/>
  <c r="BA36" i="130" s="1"/>
  <c r="BE3" i="130"/>
  <c r="BA31" i="130" s="1"/>
  <c r="BE4" i="130"/>
  <c r="BA32" i="130" s="1"/>
  <c r="BB7" i="130"/>
  <c r="BE9" i="130"/>
  <c r="BA37" i="130" s="1"/>
  <c r="BE11" i="130"/>
  <c r="BA39" i="130" s="1"/>
  <c r="BE10" i="130"/>
  <c r="BA38" i="130" s="1"/>
  <c r="BE12" i="130"/>
  <c r="BA40" i="130" s="1"/>
  <c r="AT29" i="130" l="1"/>
  <c r="AZ45" i="130" s="1"/>
  <c r="AU29" i="130"/>
  <c r="AU35" i="130"/>
  <c r="AT40" i="130"/>
  <c r="AU39" i="130"/>
  <c r="AU37" i="130"/>
  <c r="AT38" i="130"/>
  <c r="AU38" i="130"/>
  <c r="AT36" i="130"/>
  <c r="AT39" i="130"/>
  <c r="AT37" i="130"/>
  <c r="AT35" i="130"/>
  <c r="AU36" i="130"/>
  <c r="AU40" i="130"/>
  <c r="BB13" i="130"/>
  <c r="BB14" i="130" s="1"/>
  <c r="BE13" i="130"/>
  <c r="BE14" i="130" s="1"/>
  <c r="AR13" i="130"/>
  <c r="AF40" i="130"/>
  <c r="AF39" i="130"/>
  <c r="AF38" i="130"/>
  <c r="AF37" i="130"/>
  <c r="AF36" i="130"/>
  <c r="AF35" i="130"/>
  <c r="AF34" i="130"/>
  <c r="AF33" i="130"/>
  <c r="AF32" i="130"/>
  <c r="AF31" i="130"/>
  <c r="AF30" i="130"/>
  <c r="AF29" i="130"/>
  <c r="AO22" i="130"/>
  <c r="AH8" i="130" s="1"/>
  <c r="AO23" i="130"/>
  <c r="AH9" i="130" s="1"/>
  <c r="AO24" i="130"/>
  <c r="AH10" i="130" s="1"/>
  <c r="AO25" i="130"/>
  <c r="AH11" i="130" s="1"/>
  <c r="AO26" i="130"/>
  <c r="AH12" i="130" s="1"/>
  <c r="AO21" i="130"/>
  <c r="AH7" i="130" s="1"/>
  <c r="AO16" i="130"/>
  <c r="AH2" i="130" s="1"/>
  <c r="AO17" i="130"/>
  <c r="AH3" i="130" s="1"/>
  <c r="AO18" i="130"/>
  <c r="AH4" i="130" s="1"/>
  <c r="AO19" i="130"/>
  <c r="AH5" i="130" s="1"/>
  <c r="AO20" i="130"/>
  <c r="AH6" i="130" s="1"/>
  <c r="AO15" i="130"/>
  <c r="AH1" i="130" s="1"/>
  <c r="B1" i="130"/>
  <c r="AW26" i="130" l="1"/>
  <c r="AU26" i="130"/>
  <c r="AG26" i="130"/>
  <c r="AJ12" i="130"/>
  <c r="AF12" i="130"/>
  <c r="AW25" i="130"/>
  <c r="AU25" i="130"/>
  <c r="AG25" i="130"/>
  <c r="AJ11" i="130"/>
  <c r="AF11" i="130"/>
  <c r="AW20" i="130"/>
  <c r="AU20" i="130"/>
  <c r="AG20" i="130"/>
  <c r="AJ6" i="130"/>
  <c r="AF6" i="130"/>
  <c r="AW24" i="130"/>
  <c r="AU24" i="130"/>
  <c r="AG24" i="130"/>
  <c r="AJ10" i="130"/>
  <c r="AF10" i="130"/>
  <c r="AW23" i="130"/>
  <c r="AU23" i="130"/>
  <c r="AG23" i="130"/>
  <c r="AJ9" i="130"/>
  <c r="AF9" i="130"/>
  <c r="AW22" i="130"/>
  <c r="AU22" i="130"/>
  <c r="AG22" i="130"/>
  <c r="AJ8" i="130"/>
  <c r="AF8" i="130"/>
  <c r="AW15" i="130"/>
  <c r="AU15" i="130"/>
  <c r="AG15" i="130"/>
  <c r="AJ1" i="130"/>
  <c r="AF1" i="130"/>
  <c r="AW19" i="130"/>
  <c r="AU19" i="130"/>
  <c r="AG19" i="130"/>
  <c r="AJ5" i="130"/>
  <c r="AF5" i="130"/>
  <c r="AW18" i="130"/>
  <c r="AU18" i="130"/>
  <c r="AG18" i="130"/>
  <c r="AJ4" i="130"/>
  <c r="AF4" i="130"/>
  <c r="AW17" i="130"/>
  <c r="AU17" i="130"/>
  <c r="AG17" i="130"/>
  <c r="AJ3" i="130"/>
  <c r="AF3" i="130"/>
  <c r="AW16" i="130"/>
  <c r="AU16" i="130"/>
  <c r="AG16" i="130"/>
  <c r="AJ2" i="130"/>
  <c r="AF2" i="130"/>
  <c r="AW21" i="130"/>
  <c r="AU21" i="130"/>
  <c r="AG21" i="130"/>
  <c r="AJ7" i="130"/>
  <c r="AF7" i="130"/>
  <c r="AZ53" i="130"/>
  <c r="AZ47" i="130"/>
  <c r="AZ54" i="130"/>
  <c r="AZ52" i="130"/>
  <c r="AZ56" i="130"/>
  <c r="AZ51" i="130"/>
  <c r="AZ50" i="130"/>
  <c r="AZ49" i="130"/>
  <c r="AZ48" i="130"/>
  <c r="AS13" i="130"/>
  <c r="AS14" i="130" s="1"/>
  <c r="AR41" i="130"/>
  <c r="AR42" i="130" s="1"/>
  <c r="BA18" i="130" l="1"/>
  <c r="BA15" i="130"/>
  <c r="BA21" i="130"/>
  <c r="BA25" i="130"/>
  <c r="BA22" i="130"/>
  <c r="BA19" i="130"/>
  <c r="BA20" i="130"/>
  <c r="BA24" i="130"/>
  <c r="BA16" i="130"/>
  <c r="BA26" i="130"/>
  <c r="BA17" i="130"/>
  <c r="BA23" i="130"/>
  <c r="AZ55" i="130"/>
  <c r="AZ46" i="130"/>
  <c r="AM13" i="130"/>
  <c r="AM14" i="130" s="1"/>
  <c r="AN43" i="130"/>
  <c r="AZ57" i="130" l="1"/>
  <c r="AZ58" i="130" s="1"/>
  <c r="AL12" i="130"/>
  <c r="AV56" i="130" s="1"/>
  <c r="AL11" i="130"/>
  <c r="AV55" i="130" s="1"/>
  <c r="AL10" i="130"/>
  <c r="AV54" i="130" s="1"/>
  <c r="AL9" i="130"/>
  <c r="AV53" i="130" s="1"/>
  <c r="AL8" i="130"/>
  <c r="AV52" i="130" s="1"/>
  <c r="AL7" i="130"/>
  <c r="AV51" i="130" s="1"/>
  <c r="AL6" i="130"/>
  <c r="AV50" i="130" s="1"/>
  <c r="AL5" i="130"/>
  <c r="AV49" i="130" s="1"/>
  <c r="AL4" i="130"/>
  <c r="AV48" i="130" s="1"/>
  <c r="AL3" i="130"/>
  <c r="AV47" i="130" s="1"/>
  <c r="AL2" i="130"/>
  <c r="AV46" i="130" s="1"/>
  <c r="V2" i="130"/>
  <c r="AV57" i="130" l="1"/>
  <c r="AV58" i="130" s="1"/>
  <c r="AN8" i="130"/>
  <c r="AQ22" i="130"/>
  <c r="AM36" i="130" s="1"/>
  <c r="AN5" i="130"/>
  <c r="AQ19" i="130"/>
  <c r="AM33" i="130" s="1"/>
  <c r="AN11" i="130"/>
  <c r="AQ25" i="130"/>
  <c r="AM39" i="130" s="1"/>
  <c r="AN2" i="130"/>
  <c r="AQ16" i="130"/>
  <c r="AM30" i="130" s="1"/>
  <c r="AN10" i="130"/>
  <c r="AQ24" i="130"/>
  <c r="AM38" i="130" s="1"/>
  <c r="AN12" i="130"/>
  <c r="AQ26" i="130"/>
  <c r="AM40" i="130" s="1"/>
  <c r="AQ15" i="130"/>
  <c r="AM29" i="130" s="1"/>
  <c r="AN3" i="130"/>
  <c r="AQ17" i="130"/>
  <c r="AM31" i="130" s="1"/>
  <c r="AN6" i="130"/>
  <c r="AQ20" i="130"/>
  <c r="AM34" i="130" s="1"/>
  <c r="AN7" i="130"/>
  <c r="AQ21" i="130"/>
  <c r="AM35" i="130" s="1"/>
  <c r="AN9" i="130"/>
  <c r="AQ23" i="130"/>
  <c r="AM37" i="130" s="1"/>
  <c r="AN4" i="130"/>
  <c r="AQ18" i="130"/>
  <c r="AM32" i="130" s="1"/>
  <c r="AX16" i="130"/>
  <c r="BE46" i="130" s="1"/>
  <c r="AX17" i="130"/>
  <c r="BE47" i="130" s="1"/>
  <c r="AX18" i="130"/>
  <c r="BE48" i="130" s="1"/>
  <c r="AX19" i="130"/>
  <c r="BE49" i="130" s="1"/>
  <c r="AX20" i="130"/>
  <c r="BE50" i="130" s="1"/>
  <c r="AX21" i="130"/>
  <c r="BE51" i="130" s="1"/>
  <c r="AX22" i="130"/>
  <c r="BE52" i="130" s="1"/>
  <c r="AX23" i="130"/>
  <c r="BE53" i="130" s="1"/>
  <c r="AX24" i="130"/>
  <c r="BE54" i="130" s="1"/>
  <c r="AX25" i="130"/>
  <c r="BE55" i="130" s="1"/>
  <c r="AX26" i="130"/>
  <c r="BE56" i="130" s="1"/>
  <c r="AX15" i="130"/>
  <c r="BE45" i="130" s="1"/>
  <c r="BE57" i="130" l="1"/>
  <c r="BE58" i="130" s="1"/>
  <c r="AQ27" i="130"/>
  <c r="AQ28" i="130" s="1"/>
  <c r="AO3" i="130"/>
  <c r="AO2" i="130"/>
  <c r="AO7" i="130"/>
  <c r="AO9" i="130" l="1"/>
  <c r="AO10" i="130"/>
  <c r="AO5" i="130"/>
  <c r="AO6" i="130"/>
  <c r="AO12" i="130"/>
  <c r="AO8" i="130"/>
  <c r="AO4" i="130"/>
  <c r="AO11" i="130"/>
  <c r="AO1" i="130"/>
  <c r="AO29" i="130" l="1"/>
  <c r="AN29" i="130"/>
  <c r="AP29" i="130" l="1"/>
  <c r="AP1" i="130" s="1"/>
  <c r="BN46" i="130"/>
  <c r="BN47" i="130"/>
  <c r="BN48" i="130"/>
  <c r="BN49" i="130"/>
  <c r="BN50" i="130"/>
  <c r="BN51" i="130"/>
  <c r="BN52" i="130"/>
  <c r="BN53" i="130"/>
  <c r="BN54" i="130"/>
  <c r="BN55" i="130"/>
  <c r="BN56" i="130"/>
  <c r="BN45" i="130"/>
  <c r="BH44" i="130"/>
  <c r="BG44" i="130"/>
  <c r="BA13" i="130"/>
  <c r="BA14" i="130" s="1"/>
  <c r="AZ13" i="130"/>
  <c r="AZ14" i="130" s="1"/>
  <c r="AF41" i="130"/>
  <c r="AF42" i="130" s="1"/>
  <c r="AL13" i="130" l="1"/>
  <c r="AL14" i="130" s="1"/>
  <c r="G27" i="130" l="1"/>
  <c r="F27" i="130"/>
  <c r="D27" i="130"/>
  <c r="AU13" i="130"/>
  <c r="I27" i="130"/>
  <c r="H27" i="130"/>
  <c r="AS52" i="130"/>
  <c r="AS54" i="130"/>
  <c r="AS55" i="130"/>
  <c r="AS45" i="130"/>
  <c r="BE30" i="130"/>
  <c r="BC29" i="130" l="1"/>
  <c r="BB29" i="130"/>
  <c r="AL41" i="130"/>
  <c r="AL42" i="130" s="1"/>
  <c r="AQ41" i="130"/>
  <c r="AQ42" i="130" s="1"/>
  <c r="AS53" i="130"/>
  <c r="AS51" i="130"/>
  <c r="AS50" i="130"/>
  <c r="AS49" i="130"/>
  <c r="AS48" i="130"/>
  <c r="AS47" i="130"/>
  <c r="AS46" i="130"/>
  <c r="AS44" i="130"/>
  <c r="BC8" i="130"/>
  <c r="AJ44" i="130" l="1"/>
  <c r="AL44" i="130" s="1"/>
  <c r="BC37" i="130"/>
  <c r="BB37" i="130"/>
  <c r="BC36" i="130"/>
  <c r="BB36" i="130"/>
  <c r="AJ51" i="130" s="1"/>
  <c r="AL51" i="130" s="1"/>
  <c r="BC39" i="130"/>
  <c r="BB39" i="130"/>
  <c r="BC33" i="130"/>
  <c r="BB33" i="130"/>
  <c r="BC35" i="130"/>
  <c r="BB35" i="130"/>
  <c r="BC32" i="130"/>
  <c r="BB32" i="130"/>
  <c r="BC40" i="130"/>
  <c r="BB40" i="130"/>
  <c r="BC34" i="130"/>
  <c r="BB34" i="130"/>
  <c r="AJ49" i="130" s="1"/>
  <c r="AL49" i="130" s="1"/>
  <c r="BC30" i="130"/>
  <c r="BB30" i="130"/>
  <c r="BC31" i="130"/>
  <c r="BB31" i="130"/>
  <c r="AJ46" i="130" s="1"/>
  <c r="AL46" i="130" s="1"/>
  <c r="BC38" i="130"/>
  <c r="BB38" i="130"/>
  <c r="BA41" i="130"/>
  <c r="BA42" i="130" s="1"/>
  <c r="AS56" i="130"/>
  <c r="AS57" i="130" s="1"/>
  <c r="BC11" i="130"/>
  <c r="BC7" i="130"/>
  <c r="BC10" i="130"/>
  <c r="BC9" i="130"/>
  <c r="BC12" i="130"/>
  <c r="AJ55" i="130" l="1"/>
  <c r="AL55" i="130" s="1"/>
  <c r="AJ54" i="130"/>
  <c r="AL54" i="130" s="1"/>
  <c r="AJ45" i="130"/>
  <c r="AL45" i="130" s="1"/>
  <c r="AJ53" i="130"/>
  <c r="AL53" i="130" s="1"/>
  <c r="AJ48" i="130"/>
  <c r="AL48" i="130" s="1"/>
  <c r="AJ50" i="130"/>
  <c r="AL50" i="130" s="1"/>
  <c r="AJ52" i="130"/>
  <c r="AL52" i="130" s="1"/>
  <c r="AJ47" i="130"/>
  <c r="AL47" i="130" s="1"/>
  <c r="AV41" i="130"/>
  <c r="AV42" i="130" s="1"/>
  <c r="AW41" i="130"/>
  <c r="AW42" i="130" s="1"/>
  <c r="AL56" i="130" l="1"/>
  <c r="AL57" i="130" s="1"/>
  <c r="AJ56" i="130"/>
  <c r="AJ57" i="130" s="1"/>
  <c r="BC6" i="130"/>
  <c r="BC5" i="130"/>
  <c r="BC4" i="130"/>
  <c r="BC3" i="130"/>
  <c r="BC2" i="130"/>
  <c r="BC1" i="130"/>
  <c r="BC13" i="130" l="1"/>
  <c r="BC14" i="130" s="1"/>
  <c r="BC41" i="130" l="1"/>
  <c r="BC42" i="130" s="1"/>
  <c r="AT44" i="130"/>
  <c r="AM44" i="130" l="1"/>
  <c r="AK15" i="130"/>
  <c r="AJ16" i="130" l="1"/>
  <c r="AL15" i="130"/>
  <c r="AH29" i="130" s="1"/>
  <c r="AM15" i="130"/>
  <c r="AN15" i="130" l="1"/>
  <c r="AK16" i="130"/>
  <c r="AJ17" i="130" s="1"/>
  <c r="AL16" i="130" l="1"/>
  <c r="AH30" i="130" s="1"/>
  <c r="AM16" i="130"/>
  <c r="AN16" i="130" l="1"/>
  <c r="AK17" i="130"/>
  <c r="AJ18" i="130" s="1"/>
  <c r="AL17" i="130" l="1"/>
  <c r="AH31" i="130" s="1"/>
  <c r="AM17" i="130"/>
  <c r="AN17" i="130" l="1"/>
  <c r="AK18" i="130"/>
  <c r="AJ19" i="130" s="1"/>
  <c r="AL18" i="130" l="1"/>
  <c r="AH32" i="130" s="1"/>
  <c r="AM18" i="130"/>
  <c r="AN18" i="130" l="1"/>
  <c r="AK19" i="130"/>
  <c r="AJ20" i="130" s="1"/>
  <c r="AL19" i="130" l="1"/>
  <c r="AH33" i="130" s="1"/>
  <c r="AM19" i="130"/>
  <c r="AN19" i="130" l="1"/>
  <c r="AK20" i="130"/>
  <c r="AJ21" i="130" s="1"/>
  <c r="AM20" i="130" l="1"/>
  <c r="AL20" i="130"/>
  <c r="AH34" i="130" s="1"/>
  <c r="AN20" i="130" l="1"/>
  <c r="AK21" i="130"/>
  <c r="AJ22" i="130" s="1"/>
  <c r="AM21" i="130" l="1"/>
  <c r="AL21" i="130"/>
  <c r="AH35" i="130" s="1"/>
  <c r="AN21" i="130" l="1"/>
  <c r="AK22" i="130"/>
  <c r="AJ23" i="130" s="1"/>
  <c r="AL22" i="130" l="1"/>
  <c r="AH36" i="130" s="1"/>
  <c r="AM22" i="130"/>
  <c r="AN22" i="130" l="1"/>
  <c r="AK23" i="130"/>
  <c r="AJ24" i="130" s="1"/>
  <c r="AL23" i="130" l="1"/>
  <c r="AH37" i="130" s="1"/>
  <c r="AM23" i="130"/>
  <c r="AN23" i="130" l="1"/>
  <c r="AK24" i="130"/>
  <c r="AJ25" i="130" s="1"/>
  <c r="AM24" i="130" l="1"/>
  <c r="AL24" i="130"/>
  <c r="AH38" i="130" s="1"/>
  <c r="AN24" i="130" l="1"/>
  <c r="AK25" i="130"/>
  <c r="AJ26" i="130" s="1"/>
  <c r="AM25" i="130" l="1"/>
  <c r="AL25" i="130"/>
  <c r="AH39" i="130" s="1"/>
  <c r="AN25" i="130" l="1"/>
  <c r="AK26" i="130"/>
  <c r="AL26" i="130" l="1"/>
  <c r="AH40" i="130" s="1"/>
  <c r="AM26" i="130"/>
  <c r="AM27" i="130" s="1"/>
  <c r="AL27" i="130" l="1"/>
  <c r="AN26" i="130"/>
  <c r="AN27" i="130" s="1"/>
  <c r="BE33" i="130" l="1"/>
  <c r="BE32" i="130"/>
  <c r="BE31" i="130"/>
  <c r="BG30" i="130" l="1"/>
  <c r="BG31" i="130" s="1"/>
  <c r="BG32" i="130" s="1"/>
  <c r="BG33" i="130" s="1"/>
  <c r="AT49" i="130" l="1"/>
  <c r="AT47" i="130"/>
  <c r="AT45" i="130"/>
  <c r="AM45" i="130" l="1"/>
  <c r="AN45" i="130" s="1"/>
  <c r="AM47" i="130"/>
  <c r="AN47" i="130" s="1"/>
  <c r="AT46" i="130"/>
  <c r="AM48" i="130"/>
  <c r="AN48" i="130" s="1"/>
  <c r="AT48" i="130"/>
  <c r="AM49" i="130" l="1"/>
  <c r="AN49" i="130" s="1"/>
  <c r="AM46" i="130"/>
  <c r="AN46" i="130" s="1"/>
  <c r="AM50" i="130"/>
  <c r="AN50" i="130" s="1"/>
  <c r="AT50" i="130"/>
  <c r="AT54" i="130" l="1"/>
  <c r="AT52" i="130"/>
  <c r="AT53" i="130"/>
  <c r="AT51" i="130"/>
  <c r="AT55" i="130"/>
  <c r="AM54" i="130" l="1"/>
  <c r="AN54" i="130" s="1"/>
  <c r="AM53" i="130"/>
  <c r="AN53" i="130" s="1"/>
  <c r="AT56" i="130"/>
  <c r="AT57" i="130" s="1"/>
  <c r="BB41" i="130"/>
  <c r="BB42" i="130" s="1"/>
  <c r="AM51" i="130"/>
  <c r="AN51" i="130" s="1"/>
  <c r="AM52" i="130"/>
  <c r="AN52" i="130" s="1"/>
  <c r="AM55" i="130" l="1"/>
  <c r="AN55" i="130" s="1"/>
  <c r="AO55" i="130" s="1"/>
  <c r="AP55" i="130" s="1"/>
  <c r="AQ55" i="130" s="1"/>
  <c r="AN44" i="130"/>
  <c r="AO44" i="130" s="1"/>
  <c r="AP44" i="130" s="1"/>
  <c r="AQ44" i="130" s="1"/>
  <c r="AO46" i="130"/>
  <c r="AP46" i="130" s="1"/>
  <c r="AQ46" i="130" s="1"/>
  <c r="AO47" i="130"/>
  <c r="AP47" i="130" s="1"/>
  <c r="AQ47" i="130" s="1"/>
  <c r="AO48" i="130"/>
  <c r="AP48" i="130" s="1"/>
  <c r="AQ48" i="130" s="1"/>
  <c r="AO49" i="130"/>
  <c r="AP49" i="130" s="1"/>
  <c r="AQ49" i="130" s="1"/>
  <c r="AO50" i="130"/>
  <c r="AP50" i="130" s="1"/>
  <c r="AQ50" i="130" s="1"/>
  <c r="AO51" i="130"/>
  <c r="AP51" i="130" s="1"/>
  <c r="AQ51" i="130" s="1"/>
  <c r="AO52" i="130"/>
  <c r="AP52" i="130" s="1"/>
  <c r="AQ52" i="130" s="1"/>
  <c r="AO53" i="130"/>
  <c r="AP53" i="130" s="1"/>
  <c r="AQ53" i="130" s="1"/>
  <c r="AO54" i="130"/>
  <c r="AP54" i="130" s="1"/>
  <c r="AQ54" i="130" s="1"/>
  <c r="AR52" i="130" l="1"/>
  <c r="AR51" i="130"/>
  <c r="AR48" i="130"/>
  <c r="AR53" i="130"/>
  <c r="AR50" i="130"/>
  <c r="AR46" i="130"/>
  <c r="AR44" i="130"/>
  <c r="AR54" i="130"/>
  <c r="AR49" i="130"/>
  <c r="AR47" i="130"/>
  <c r="AR55" i="130"/>
  <c r="AO45" i="130"/>
  <c r="AP45" i="130" s="1"/>
  <c r="AQ45" i="130" s="1"/>
  <c r="AR45" i="130" l="1"/>
  <c r="AQ56" i="130" l="1"/>
  <c r="AQ57" i="130" s="1"/>
  <c r="AO27" i="130" l="1"/>
  <c r="AO28" i="130" s="1"/>
  <c r="AG27" i="130" l="1"/>
  <c r="AG28" i="130" s="1"/>
  <c r="AJ13" i="130"/>
  <c r="AJ14" i="130" s="1"/>
  <c r="AF13" i="130"/>
  <c r="AF14" i="130" s="1"/>
  <c r="AU27" i="130"/>
  <c r="AH41" i="130"/>
  <c r="AH42" i="130" s="1"/>
  <c r="AU28" i="130" l="1"/>
  <c r="AV13" i="130" l="1"/>
  <c r="AV14" i="130" s="1"/>
  <c r="AX27" i="130" l="1"/>
  <c r="AX28" i="130" s="1"/>
  <c r="AW27" i="130"/>
  <c r="AW28" i="130" l="1"/>
  <c r="AA13" i="130" s="1"/>
  <c r="Z13" i="130" s="1"/>
  <c r="AO13" i="130" l="1"/>
  <c r="AO14" i="130" s="1"/>
  <c r="AN13" i="130"/>
  <c r="AN14" i="130" s="1"/>
  <c r="AO39" i="130" l="1"/>
  <c r="AN39" i="130"/>
  <c r="AO36" i="130"/>
  <c r="AN36" i="130"/>
  <c r="AO38" i="130"/>
  <c r="AN38" i="130"/>
  <c r="AO33" i="130"/>
  <c r="AN33" i="130"/>
  <c r="AN31" i="130"/>
  <c r="AO31" i="130"/>
  <c r="AO30" i="130"/>
  <c r="AN30" i="130"/>
  <c r="AO37" i="130"/>
  <c r="AN37" i="130"/>
  <c r="AO35" i="130"/>
  <c r="AN35" i="130"/>
  <c r="AO34" i="130"/>
  <c r="AN34" i="130"/>
  <c r="AO32" i="130"/>
  <c r="AN32" i="130"/>
  <c r="AO40" i="130"/>
  <c r="AN40" i="130"/>
  <c r="AP40" i="130" s="1"/>
  <c r="AP12" i="130" s="1"/>
  <c r="AM41" i="130"/>
  <c r="AM42" i="130" s="1"/>
  <c r="AP37" i="130" l="1"/>
  <c r="AP9" i="130" s="1"/>
  <c r="AP38" i="130"/>
  <c r="AP10" i="130" s="1"/>
  <c r="AP39" i="130"/>
  <c r="AP11" i="130" s="1"/>
  <c r="AP34" i="130"/>
  <c r="AP6" i="130" s="1"/>
  <c r="AP33" i="130"/>
  <c r="AP5" i="130" s="1"/>
  <c r="AP30" i="130"/>
  <c r="AP2" i="130" s="1"/>
  <c r="AP32" i="130"/>
  <c r="AP4" i="130" s="1"/>
  <c r="AP36" i="130"/>
  <c r="AP8" i="130" s="1"/>
  <c r="AP35" i="130"/>
  <c r="AP7" i="130" s="1"/>
  <c r="AP31" i="130"/>
  <c r="AP3" i="130" s="1"/>
  <c r="AN41" i="130"/>
  <c r="AN42" i="130" s="1"/>
  <c r="AO41" i="130"/>
  <c r="AO42" i="130" s="1"/>
  <c r="AP41" i="130" l="1"/>
  <c r="AP42" i="130" s="1"/>
  <c r="AP13" i="130"/>
  <c r="AP14" i="130" s="1"/>
  <c r="AI27" i="130"/>
  <c r="BA27" i="130" l="1"/>
  <c r="BA28" i="130" s="1"/>
  <c r="AI28" i="130"/>
  <c r="AT41" i="130" l="1"/>
  <c r="AT42" i="130" s="1"/>
  <c r="AU41" i="130"/>
  <c r="AU42" i="130" s="1"/>
  <c r="AS27" i="130" l="1"/>
  <c r="AS28" i="130" s="1"/>
  <c r="AA7" i="130" s="1"/>
  <c r="Z7" i="130" s="1"/>
  <c r="AH13" i="130" l="1"/>
  <c r="AH14" i="130" s="1"/>
  <c r="Z1" i="130"/>
  <c r="AA1" i="130"/>
  <c r="AG1" i="130"/>
  <c r="AI1" i="130"/>
  <c r="AK1" i="130"/>
  <c r="AQ1" i="130"/>
  <c r="AT1" i="130"/>
  <c r="AW1" i="130"/>
  <c r="Z2" i="130"/>
  <c r="AA2" i="130"/>
  <c r="AG2" i="130"/>
  <c r="AI2" i="130"/>
  <c r="AK2" i="130"/>
  <c r="AQ2" i="130"/>
  <c r="AT2" i="130"/>
  <c r="AW2" i="130"/>
  <c r="Z3" i="130"/>
  <c r="AA3" i="130"/>
  <c r="AG3" i="130"/>
  <c r="AI3" i="130"/>
  <c r="AK3" i="130"/>
  <c r="AQ3" i="130"/>
  <c r="AT3" i="130"/>
  <c r="AW3" i="130"/>
  <c r="Z4" i="130"/>
  <c r="AA4" i="130"/>
  <c r="AG4" i="130"/>
  <c r="AI4" i="130"/>
  <c r="AK4" i="130"/>
  <c r="AQ4" i="130"/>
  <c r="AT4" i="130"/>
  <c r="AW4" i="130"/>
  <c r="Z5" i="130"/>
  <c r="AA5" i="130"/>
  <c r="AG5" i="130"/>
  <c r="AI5" i="130"/>
  <c r="AK5" i="130"/>
  <c r="AQ5" i="130"/>
  <c r="AT5" i="130"/>
  <c r="AW5" i="130"/>
  <c r="Z6" i="130"/>
  <c r="AA6" i="130"/>
  <c r="AG6" i="130"/>
  <c r="AI6" i="130"/>
  <c r="AK6" i="130"/>
  <c r="AQ6" i="130"/>
  <c r="AT6" i="130"/>
  <c r="AW6" i="130"/>
  <c r="AG7" i="130"/>
  <c r="AI7" i="130"/>
  <c r="AK7" i="130"/>
  <c r="AQ7" i="130"/>
  <c r="AT7" i="130"/>
  <c r="AW7" i="130"/>
  <c r="Z8" i="130"/>
  <c r="AA8" i="130"/>
  <c r="AG8" i="130"/>
  <c r="AI8" i="130"/>
  <c r="AK8" i="130"/>
  <c r="AQ8" i="130"/>
  <c r="AT8" i="130"/>
  <c r="AW8" i="130"/>
  <c r="Z9" i="130"/>
  <c r="AA9" i="130"/>
  <c r="AG9" i="130"/>
  <c r="AI9" i="130"/>
  <c r="AK9" i="130"/>
  <c r="AQ9" i="130"/>
  <c r="AT9" i="130"/>
  <c r="AW9" i="130"/>
  <c r="Z10" i="130"/>
  <c r="AA10" i="130"/>
  <c r="AG10" i="130"/>
  <c r="AI10" i="130"/>
  <c r="AK10" i="130"/>
  <c r="AQ10" i="130"/>
  <c r="AT10" i="130"/>
  <c r="AW10" i="130"/>
  <c r="Z11" i="130"/>
  <c r="AA11" i="130"/>
  <c r="AG11" i="130"/>
  <c r="AI11" i="130"/>
  <c r="AK11" i="130"/>
  <c r="AQ11" i="130"/>
  <c r="AT11" i="130"/>
  <c r="AW11" i="130"/>
  <c r="Z12" i="130"/>
  <c r="AA12" i="130"/>
  <c r="AG12" i="130"/>
  <c r="AI12" i="130"/>
  <c r="AK12" i="130"/>
  <c r="AQ12" i="130"/>
  <c r="AT12" i="130"/>
  <c r="AW12" i="130"/>
  <c r="AG13" i="130"/>
  <c r="AI13" i="130"/>
  <c r="AK13" i="130"/>
  <c r="AQ13" i="130"/>
  <c r="AT13" i="130"/>
  <c r="AW13" i="130"/>
  <c r="Z14" i="130"/>
  <c r="AA14" i="130"/>
  <c r="AG14" i="130"/>
  <c r="AI14" i="130"/>
  <c r="AK14" i="130"/>
  <c r="AQ14" i="130"/>
  <c r="AT14" i="130"/>
  <c r="AW14" i="130"/>
  <c r="A15" i="130"/>
  <c r="O15" i="130"/>
  <c r="P15" i="130"/>
  <c r="Q15" i="130"/>
  <c r="Z15" i="130"/>
  <c r="AA15" i="130"/>
  <c r="AF15" i="130"/>
  <c r="AH15" i="130"/>
  <c r="AP15" i="130"/>
  <c r="AR15" i="130"/>
  <c r="AV15" i="130"/>
  <c r="AY15" i="130"/>
  <c r="AZ15" i="130"/>
  <c r="BB15" i="130"/>
  <c r="BC15" i="130"/>
  <c r="BD15" i="130"/>
  <c r="BE15" i="130"/>
  <c r="BF15" i="130"/>
  <c r="A16" i="130"/>
  <c r="O16" i="130"/>
  <c r="P16" i="130"/>
  <c r="Q16" i="130"/>
  <c r="Z16" i="130"/>
  <c r="AA16" i="130"/>
  <c r="AF16" i="130"/>
  <c r="AH16" i="130"/>
  <c r="AP16" i="130"/>
  <c r="AR16" i="130"/>
  <c r="AV16" i="130"/>
  <c r="AY16" i="130"/>
  <c r="AZ16" i="130"/>
  <c r="BB16" i="130"/>
  <c r="BC16" i="130"/>
  <c r="BD16" i="130"/>
  <c r="BE16" i="130"/>
  <c r="BF16" i="130"/>
  <c r="A17" i="130"/>
  <c r="O17" i="130"/>
  <c r="P17" i="130"/>
  <c r="Q17" i="130"/>
  <c r="Z17" i="130"/>
  <c r="AA17" i="130"/>
  <c r="AF17" i="130"/>
  <c r="AH17" i="130"/>
  <c r="AP17" i="130"/>
  <c r="AR17" i="130"/>
  <c r="AV17" i="130"/>
  <c r="AY17" i="130"/>
  <c r="AZ17" i="130"/>
  <c r="BB17" i="130"/>
  <c r="BC17" i="130"/>
  <c r="BD17" i="130"/>
  <c r="BE17" i="130"/>
  <c r="BF17" i="130"/>
  <c r="A18" i="130"/>
  <c r="O18" i="130"/>
  <c r="P18" i="130"/>
  <c r="Q18" i="130"/>
  <c r="Z18" i="130"/>
  <c r="AA18" i="130"/>
  <c r="AF18" i="130"/>
  <c r="AH18" i="130"/>
  <c r="AP18" i="130"/>
  <c r="AR18" i="130"/>
  <c r="AV18" i="130"/>
  <c r="AY18" i="130"/>
  <c r="AZ18" i="130"/>
  <c r="BB18" i="130"/>
  <c r="BC18" i="130"/>
  <c r="BD18" i="130"/>
  <c r="BE18" i="130"/>
  <c r="BF18" i="130"/>
  <c r="A19" i="130"/>
  <c r="O19" i="130"/>
  <c r="P19" i="130"/>
  <c r="Q19" i="130"/>
  <c r="Z19" i="130"/>
  <c r="AA19" i="130"/>
  <c r="AF19" i="130"/>
  <c r="AH19" i="130"/>
  <c r="AP19" i="130"/>
  <c r="AR19" i="130"/>
  <c r="AV19" i="130"/>
  <c r="AY19" i="130"/>
  <c r="AZ19" i="130"/>
  <c r="BB19" i="130"/>
  <c r="BC19" i="130"/>
  <c r="BD19" i="130"/>
  <c r="BE19" i="130"/>
  <c r="BF19" i="130"/>
  <c r="A20" i="130"/>
  <c r="O20" i="130"/>
  <c r="P20" i="130"/>
  <c r="Q20" i="130"/>
  <c r="Z20" i="130"/>
  <c r="AA20" i="130"/>
  <c r="AF20" i="130"/>
  <c r="AH20" i="130"/>
  <c r="AP20" i="130"/>
  <c r="AR20" i="130"/>
  <c r="AV20" i="130"/>
  <c r="AY20" i="130"/>
  <c r="AZ20" i="130"/>
  <c r="BB20" i="130"/>
  <c r="BC20" i="130"/>
  <c r="BD20" i="130"/>
  <c r="BE20" i="130"/>
  <c r="BF20" i="130"/>
  <c r="A21" i="130"/>
  <c r="O21" i="130"/>
  <c r="P21" i="130"/>
  <c r="Q21" i="130"/>
  <c r="Z21" i="130"/>
  <c r="AA21" i="130"/>
  <c r="AF21" i="130"/>
  <c r="AH21" i="130"/>
  <c r="AP21" i="130"/>
  <c r="AR21" i="130"/>
  <c r="AV21" i="130"/>
  <c r="AY21" i="130"/>
  <c r="AZ21" i="130"/>
  <c r="BB21" i="130"/>
  <c r="BC21" i="130"/>
  <c r="BD21" i="130"/>
  <c r="BE21" i="130"/>
  <c r="BF21" i="130"/>
  <c r="A22" i="130"/>
  <c r="O22" i="130"/>
  <c r="P22" i="130"/>
  <c r="Q22" i="130"/>
  <c r="AF22" i="130"/>
  <c r="AH22" i="130"/>
  <c r="AP22" i="130"/>
  <c r="AR22" i="130"/>
  <c r="AV22" i="130"/>
  <c r="AY22" i="130"/>
  <c r="AZ22" i="130"/>
  <c r="BB22" i="130"/>
  <c r="BC22" i="130"/>
  <c r="BD22" i="130"/>
  <c r="BE22" i="130"/>
  <c r="BF22" i="130"/>
  <c r="A23" i="130"/>
  <c r="O23" i="130"/>
  <c r="P23" i="130"/>
  <c r="Q23" i="130"/>
  <c r="AF23" i="130"/>
  <c r="AH23" i="130"/>
  <c r="AP23" i="130"/>
  <c r="AR23" i="130"/>
  <c r="AV23" i="130"/>
  <c r="AY23" i="130"/>
  <c r="AZ23" i="130"/>
  <c r="BB23" i="130"/>
  <c r="BC23" i="130"/>
  <c r="BD23" i="130"/>
  <c r="BE23" i="130"/>
  <c r="BF23" i="130"/>
  <c r="A24" i="130"/>
  <c r="O24" i="130"/>
  <c r="P24" i="130"/>
  <c r="Q24" i="130"/>
  <c r="AF24" i="130"/>
  <c r="AH24" i="130"/>
  <c r="AP24" i="130"/>
  <c r="AR24" i="130"/>
  <c r="AV24" i="130"/>
  <c r="AY24" i="130"/>
  <c r="AZ24" i="130"/>
  <c r="BB24" i="130"/>
  <c r="BC24" i="130"/>
  <c r="BD24" i="130"/>
  <c r="BE24" i="130"/>
  <c r="BF24" i="130"/>
  <c r="A25" i="130"/>
  <c r="O25" i="130"/>
  <c r="P25" i="130"/>
  <c r="Q25" i="130"/>
  <c r="AF25" i="130"/>
  <c r="AH25" i="130"/>
  <c r="AP25" i="130"/>
  <c r="AR25" i="130"/>
  <c r="AV25" i="130"/>
  <c r="AY25" i="130"/>
  <c r="AZ25" i="130"/>
  <c r="BB25" i="130"/>
  <c r="BC25" i="130"/>
  <c r="BD25" i="130"/>
  <c r="BE25" i="130"/>
  <c r="BF25" i="130"/>
  <c r="A26" i="130"/>
  <c r="O26" i="130"/>
  <c r="P26" i="130"/>
  <c r="Q26" i="130"/>
  <c r="AF26" i="130"/>
  <c r="AH26" i="130"/>
  <c r="AP26" i="130"/>
  <c r="AR26" i="130"/>
  <c r="AV26" i="130"/>
  <c r="AY26" i="130"/>
  <c r="AZ26" i="130"/>
  <c r="BB26" i="130"/>
  <c r="BC26" i="130"/>
  <c r="BD26" i="130"/>
  <c r="BE26" i="130"/>
  <c r="BF26" i="130"/>
  <c r="O27" i="130"/>
  <c r="P27" i="130"/>
  <c r="Q27" i="130"/>
  <c r="AF27" i="130"/>
  <c r="AH27" i="130"/>
  <c r="AP27" i="130"/>
  <c r="AR27" i="130"/>
  <c r="AV27" i="130"/>
  <c r="AY27" i="130"/>
  <c r="AZ27" i="130"/>
  <c r="BB27" i="130"/>
  <c r="BC27" i="130"/>
  <c r="BD27" i="130"/>
  <c r="BE27" i="130"/>
  <c r="BF27" i="130"/>
  <c r="A28" i="130"/>
  <c r="O28" i="130"/>
  <c r="P28" i="130"/>
  <c r="Q28" i="130"/>
  <c r="AF28" i="130"/>
  <c r="AH28" i="130"/>
  <c r="AP28" i="130"/>
  <c r="AR28" i="130"/>
  <c r="AV28" i="130"/>
  <c r="AY28" i="130"/>
  <c r="AZ28" i="130"/>
  <c r="BB28" i="130"/>
  <c r="BC28" i="130"/>
  <c r="BD28" i="130"/>
  <c r="BE28" i="130"/>
  <c r="BF28" i="130"/>
  <c r="AG29" i="130"/>
  <c r="AI29" i="130"/>
  <c r="AK29" i="130"/>
  <c r="AS29" i="130"/>
  <c r="AX29" i="130"/>
  <c r="AG30" i="130"/>
  <c r="AI30" i="130"/>
  <c r="AK30" i="130"/>
  <c r="AS30" i="130"/>
  <c r="AX30" i="130"/>
  <c r="AG31" i="130"/>
  <c r="AI31" i="130"/>
  <c r="AK31" i="130"/>
  <c r="AS31" i="130"/>
  <c r="AX31" i="130"/>
  <c r="AG32" i="130"/>
  <c r="AI32" i="130"/>
  <c r="AK32" i="130"/>
  <c r="AS32" i="130"/>
  <c r="AX32" i="130"/>
  <c r="AG33" i="130"/>
  <c r="AI33" i="130"/>
  <c r="AK33" i="130"/>
  <c r="AS33" i="130"/>
  <c r="AX33" i="130"/>
  <c r="AG34" i="130"/>
  <c r="AI34" i="130"/>
  <c r="AK34" i="130"/>
  <c r="AS34" i="130"/>
  <c r="AX34" i="130"/>
  <c r="AG35" i="130"/>
  <c r="AI35" i="130"/>
  <c r="AK35" i="130"/>
  <c r="AS35" i="130"/>
  <c r="AX35" i="130"/>
  <c r="AG36" i="130"/>
  <c r="AI36" i="130"/>
  <c r="AK36" i="130"/>
  <c r="AS36" i="130"/>
  <c r="AX36" i="130"/>
  <c r="AG37" i="130"/>
  <c r="AI37" i="130"/>
  <c r="AK37" i="130"/>
  <c r="AS37" i="130"/>
  <c r="AX37" i="130"/>
  <c r="AG38" i="130"/>
  <c r="AI38" i="130"/>
  <c r="AK38" i="130"/>
  <c r="AS38" i="130"/>
  <c r="AX38" i="130"/>
  <c r="AG39" i="130"/>
  <c r="AI39" i="130"/>
  <c r="AK39" i="130"/>
  <c r="AS39" i="130"/>
  <c r="AX39" i="130"/>
  <c r="AG40" i="130"/>
  <c r="AI40" i="130"/>
  <c r="AK40" i="130"/>
  <c r="AS40" i="130"/>
  <c r="AX40" i="130"/>
  <c r="AG41" i="130"/>
  <c r="AI41" i="130"/>
  <c r="AK41" i="130"/>
  <c r="AS41" i="130"/>
  <c r="AX41" i="130"/>
  <c r="AG42" i="130"/>
  <c r="AI42" i="130"/>
  <c r="AK42" i="130"/>
  <c r="AS42" i="130"/>
  <c r="AX42" i="130"/>
  <c r="AU45" i="130"/>
  <c r="AW45" i="130"/>
  <c r="AX45" i="130"/>
  <c r="AY45" i="130"/>
  <c r="BA45" i="130"/>
  <c r="BB45" i="130"/>
  <c r="BC45" i="130"/>
  <c r="BD45" i="130"/>
  <c r="BF45" i="130"/>
  <c r="BG45" i="130"/>
  <c r="BH45" i="130"/>
  <c r="BI45" i="130"/>
  <c r="BJ45" i="130"/>
  <c r="BK45" i="130"/>
  <c r="BL45" i="130"/>
  <c r="BM45" i="130"/>
  <c r="BO45" i="130"/>
  <c r="AU46" i="130"/>
  <c r="AW46" i="130"/>
  <c r="AX46" i="130"/>
  <c r="AY46" i="130"/>
  <c r="BA46" i="130"/>
  <c r="BB46" i="130"/>
  <c r="BC46" i="130"/>
  <c r="BD46" i="130"/>
  <c r="BF46" i="130"/>
  <c r="BG46" i="130"/>
  <c r="BH46" i="130"/>
  <c r="BI46" i="130"/>
  <c r="BJ46" i="130"/>
  <c r="BK46" i="130"/>
  <c r="BL46" i="130"/>
  <c r="BM46" i="130"/>
  <c r="BO46" i="130"/>
  <c r="AU47" i="130"/>
  <c r="AW47" i="130"/>
  <c r="AX47" i="130"/>
  <c r="AY47" i="130"/>
  <c r="BA47" i="130"/>
  <c r="BB47" i="130"/>
  <c r="BC47" i="130"/>
  <c r="BD47" i="130"/>
  <c r="BF47" i="130"/>
  <c r="BG47" i="130"/>
  <c r="BH47" i="130"/>
  <c r="BI47" i="130"/>
  <c r="BJ47" i="130"/>
  <c r="BK47" i="130"/>
  <c r="BL47" i="130"/>
  <c r="BM47" i="130"/>
  <c r="BO47" i="130"/>
  <c r="AU48" i="130"/>
  <c r="AW48" i="130"/>
  <c r="AX48" i="130"/>
  <c r="AY48" i="130"/>
  <c r="BA48" i="130"/>
  <c r="BB48" i="130"/>
  <c r="BC48" i="130"/>
  <c r="BD48" i="130"/>
  <c r="BF48" i="130"/>
  <c r="BG48" i="130"/>
  <c r="BH48" i="130"/>
  <c r="BI48" i="130"/>
  <c r="BJ48" i="130"/>
  <c r="BK48" i="130"/>
  <c r="BL48" i="130"/>
  <c r="BM48" i="130"/>
  <c r="BO48" i="130"/>
  <c r="AU49" i="130"/>
  <c r="AW49" i="130"/>
  <c r="AX49" i="130"/>
  <c r="AY49" i="130"/>
  <c r="BA49" i="130"/>
  <c r="BB49" i="130"/>
  <c r="BC49" i="130"/>
  <c r="BD49" i="130"/>
  <c r="BF49" i="130"/>
  <c r="BG49" i="130"/>
  <c r="BH49" i="130"/>
  <c r="BI49" i="130"/>
  <c r="BJ49" i="130"/>
  <c r="BK49" i="130"/>
  <c r="BL49" i="130"/>
  <c r="BM49" i="130"/>
  <c r="BO49" i="130"/>
  <c r="AU50" i="130"/>
  <c r="AW50" i="130"/>
  <c r="AX50" i="130"/>
  <c r="AY50" i="130"/>
  <c r="BA50" i="130"/>
  <c r="BB50" i="130"/>
  <c r="BC50" i="130"/>
  <c r="BD50" i="130"/>
  <c r="BF50" i="130"/>
  <c r="BG50" i="130"/>
  <c r="BH50" i="130"/>
  <c r="BI50" i="130"/>
  <c r="BJ50" i="130"/>
  <c r="BK50" i="130"/>
  <c r="BL50" i="130"/>
  <c r="BM50" i="130"/>
  <c r="BO50" i="130"/>
  <c r="AU51" i="130"/>
  <c r="AW51" i="130"/>
  <c r="AX51" i="130"/>
  <c r="AY51" i="130"/>
  <c r="BA51" i="130"/>
  <c r="BB51" i="130"/>
  <c r="BC51" i="130"/>
  <c r="BD51" i="130"/>
  <c r="BF51" i="130"/>
  <c r="BG51" i="130"/>
  <c r="BH51" i="130"/>
  <c r="BI51" i="130"/>
  <c r="BJ51" i="130"/>
  <c r="BK51" i="130"/>
  <c r="BL51" i="130"/>
  <c r="BM51" i="130"/>
  <c r="BO51" i="130"/>
  <c r="AU52" i="130"/>
  <c r="AW52" i="130"/>
  <c r="AX52" i="130"/>
  <c r="AY52" i="130"/>
  <c r="BA52" i="130"/>
  <c r="BB52" i="130"/>
  <c r="BC52" i="130"/>
  <c r="BD52" i="130"/>
  <c r="BF52" i="130"/>
  <c r="BG52" i="130"/>
  <c r="BH52" i="130"/>
  <c r="BI52" i="130"/>
  <c r="BJ52" i="130"/>
  <c r="BK52" i="130"/>
  <c r="BL52" i="130"/>
  <c r="BM52" i="130"/>
  <c r="BO52" i="130"/>
  <c r="AU53" i="130"/>
  <c r="AW53" i="130"/>
  <c r="AX53" i="130"/>
  <c r="AY53" i="130"/>
  <c r="BA53" i="130"/>
  <c r="BB53" i="130"/>
  <c r="BC53" i="130"/>
  <c r="BD53" i="130"/>
  <c r="BF53" i="130"/>
  <c r="BG53" i="130"/>
  <c r="BH53" i="130"/>
  <c r="BI53" i="130"/>
  <c r="BJ53" i="130"/>
  <c r="BK53" i="130"/>
  <c r="BL53" i="130"/>
  <c r="BM53" i="130"/>
  <c r="BO53" i="130"/>
  <c r="AU54" i="130"/>
  <c r="AW54" i="130"/>
  <c r="AX54" i="130"/>
  <c r="AY54" i="130"/>
  <c r="BA54" i="130"/>
  <c r="BB54" i="130"/>
  <c r="BC54" i="130"/>
  <c r="BD54" i="130"/>
  <c r="BF54" i="130"/>
  <c r="BG54" i="130"/>
  <c r="BH54" i="130"/>
  <c r="BI54" i="130"/>
  <c r="BJ54" i="130"/>
  <c r="BK54" i="130"/>
  <c r="BL54" i="130"/>
  <c r="BM54" i="130"/>
  <c r="BO54" i="130"/>
  <c r="AU55" i="130"/>
  <c r="AW55" i="130"/>
  <c r="AX55" i="130"/>
  <c r="AY55" i="130"/>
  <c r="BA55" i="130"/>
  <c r="BB55" i="130"/>
  <c r="BC55" i="130"/>
  <c r="BD55" i="130"/>
  <c r="BF55" i="130"/>
  <c r="BG55" i="130"/>
  <c r="BH55" i="130"/>
  <c r="BI55" i="130"/>
  <c r="BJ55" i="130"/>
  <c r="BK55" i="130"/>
  <c r="BL55" i="130"/>
  <c r="BM55" i="130"/>
  <c r="BO55" i="130"/>
  <c r="AU56" i="130"/>
  <c r="AW56" i="130"/>
  <c r="AX56" i="130"/>
  <c r="AY56" i="130"/>
  <c r="BA56" i="130"/>
  <c r="BB56" i="130"/>
  <c r="BC56" i="130"/>
  <c r="BD56" i="130"/>
  <c r="BF56" i="130"/>
  <c r="BG56" i="130"/>
  <c r="BH56" i="130"/>
  <c r="BI56" i="130"/>
  <c r="BJ56" i="130"/>
  <c r="BK56" i="130"/>
  <c r="BL56" i="130"/>
  <c r="BM56" i="130"/>
  <c r="BO56" i="130"/>
  <c r="AU57" i="130"/>
  <c r="AW57" i="130"/>
  <c r="AX57" i="130"/>
  <c r="AY57" i="130"/>
  <c r="BA57" i="130"/>
  <c r="BB57" i="130"/>
  <c r="BC57" i="130"/>
  <c r="BD57" i="130"/>
  <c r="BF57" i="130"/>
  <c r="BJ57" i="130"/>
  <c r="BK57" i="130"/>
  <c r="BL57" i="130"/>
  <c r="AU58" i="130"/>
  <c r="AW58" i="130"/>
  <c r="AX58" i="130"/>
  <c r="AY58" i="130"/>
  <c r="BA58" i="130"/>
  <c r="BB58" i="130"/>
  <c r="BC58" i="130"/>
  <c r="BD58" i="130"/>
  <c r="BF58" i="130"/>
  <c r="BJ58" i="130"/>
  <c r="BK58" i="130"/>
  <c r="BL58" i="130"/>
</calcChain>
</file>

<file path=xl/sharedStrings.xml><?xml version="1.0" encoding="utf-8"?>
<sst xmlns="http://schemas.openxmlformats.org/spreadsheetml/2006/main" count="599" uniqueCount="97">
  <si>
    <t>-</t>
  </si>
  <si>
    <t>Yok</t>
  </si>
  <si>
    <t>Doğal Afet Yardımı</t>
  </si>
  <si>
    <t>SGK Prim Kesintisi</t>
  </si>
  <si>
    <t>SGK İşsizlik Primi Kesintisi</t>
  </si>
  <si>
    <t>Yemek Yardımı</t>
  </si>
  <si>
    <t>Evlilik Yardımı</t>
  </si>
  <si>
    <t>Var</t>
  </si>
  <si>
    <t>OCA</t>
  </si>
  <si>
    <t>ŞUB</t>
  </si>
  <si>
    <t>MAR</t>
  </si>
  <si>
    <t>NİS</t>
  </si>
  <si>
    <t>MAY</t>
  </si>
  <si>
    <t>HAZ</t>
  </si>
  <si>
    <t>TEM</t>
  </si>
  <si>
    <t>AĞU</t>
  </si>
  <si>
    <t>EYL</t>
  </si>
  <si>
    <t>EKİ</t>
  </si>
  <si>
    <t>KAS</t>
  </si>
  <si>
    <t>ARA</t>
  </si>
  <si>
    <t>Annelik İzni</t>
  </si>
  <si>
    <t>Analık Hâli İzni</t>
  </si>
  <si>
    <t>Babalık İzni</t>
  </si>
  <si>
    <t>Süt İzni</t>
  </si>
  <si>
    <t>Engelli Çocuk İzni</t>
  </si>
  <si>
    <t>Evlat Edinme İzni</t>
  </si>
  <si>
    <t>Doğal Afet İzni</t>
  </si>
  <si>
    <t>Ulaşım Yardımı</t>
  </si>
  <si>
    <t>Normal Çalışma</t>
  </si>
  <si>
    <t>BES Kesintisi</t>
  </si>
  <si>
    <t>Damga Vergisi Kesintisi</t>
  </si>
  <si>
    <t>Gelir Vergisi Kesintisi</t>
  </si>
  <si>
    <t>İkramiye Yardımı</t>
  </si>
  <si>
    <t>Nakdi Yardımlar</t>
  </si>
  <si>
    <t>Sendika Üyelik Aidatı Kesintisi</t>
  </si>
  <si>
    <t>Ücretli Sendikal İzin ve Sendika Temsilci Sayısı</t>
  </si>
  <si>
    <t>İş Arama İzni</t>
  </si>
  <si>
    <t>Ücretli Yıllık İzin</t>
  </si>
  <si>
    <t>Kazançlar</t>
  </si>
  <si>
    <t>Kesintiler</t>
  </si>
  <si>
    <t>Cenaze İzni</t>
  </si>
  <si>
    <t>Evlilik İzni</t>
  </si>
  <si>
    <t>Mazeret İzni</t>
  </si>
  <si>
    <t>Yol İzni</t>
  </si>
  <si>
    <t>a) İşçinin eşinin doğum yapması hâlinde 5 takvim günü ücretli sosyal izin verilir.</t>
  </si>
  <si>
    <t>a) İşçinin ikamet ettiği konutun doğal afet nedeniyle hasara uğraması hâlinde 10 iş günü ücretli sosyal izin verilir.</t>
  </si>
  <si>
    <t>a) Yıllık ücretli izinleri işyerinin kurulu bulunduğu yerden başka bir yerde geçirecek olanlara istemde bulunmaları ve bu hususu belgelemeleri koşulu ile gidiş ve dönüşlerinde yolda geçecek süreleri karşılamak üzere işveren toplam 4 güne kadar ücretsiz yol izni vermek zorundadır.
(Yıllık Ücretli İzin Yönetmeliği / Madde 6)</t>
  </si>
  <si>
    <t>Yıllık Toplam</t>
  </si>
  <si>
    <t xml:space="preserve">   Yemek Yardımı</t>
  </si>
  <si>
    <t xml:space="preserve">   Ulaşım Yardımı</t>
  </si>
  <si>
    <t xml:space="preserve">   Nakdi Yardımlar
   Sürekliliği Olmayan Yardımlar</t>
  </si>
  <si>
    <t>Cenaze Yardımı (Anne-Baba)</t>
  </si>
  <si>
    <t>Cenaze Yardımı (Eş-Çocuk)</t>
  </si>
  <si>
    <t>Cenaze Yardımı (İşçi-İş Kazası Sonucu)</t>
  </si>
  <si>
    <t>Cenaze Yardımı (İşçi-Tabii Sebepler Sonucu)</t>
  </si>
  <si>
    <t>Eğitim Yardımı (İşçi-Lise)</t>
  </si>
  <si>
    <t>Eğitim Yardımı (İşçi-Yükseköğretim)</t>
  </si>
  <si>
    <t>Eğitim Yardımı (Çocuk-İlköğretim)</t>
  </si>
  <si>
    <t>Eğitim Yardımı (Çocuk-Ortaöğretim)</t>
  </si>
  <si>
    <t>Eğitim Yardımı (Çocuk-Lise)</t>
  </si>
  <si>
    <t>Eğitim Yardımı (Çocuk-Yükseköğretim)</t>
  </si>
  <si>
    <t xml:space="preserve">   Toplam Kazanç
   Net</t>
  </si>
  <si>
    <t>İşveren Maliyeti</t>
  </si>
  <si>
    <t>a) 3 yaşını doldurmamış çocuğu evlat edinen eşlerden birine veya evlat edinene çocuğun aileye fiilen teslim edildiği tarihten itibaren 8 hafta analık hâli izni kullandırılır.
(4857 sayılı İş Kanunu / Madde 74)</t>
  </si>
  <si>
    <t>Miktar</t>
  </si>
  <si>
    <t xml:space="preserve">   Çocuk Yardımı</t>
  </si>
  <si>
    <t>Bayram Yardımı (Kurban)</t>
  </si>
  <si>
    <t>Bayram Yardımı (Ramazan)</t>
  </si>
  <si>
    <r>
      <t xml:space="preserve">   Sonraki Ayın 5'inde
   </t>
    </r>
    <r>
      <rPr>
        <b/>
        <sz val="16"/>
        <rFont val="Calibri"/>
        <family val="2"/>
        <charset val="162"/>
        <scheme val="minor"/>
      </rPr>
      <t>Net</t>
    </r>
  </si>
  <si>
    <t>Yakacak Yardımı</t>
  </si>
  <si>
    <t>Çocuk Yardımı</t>
  </si>
  <si>
    <t>Temizlik Sorumlusu</t>
  </si>
  <si>
    <t>Temizlik Görevlisi</t>
  </si>
  <si>
    <t>a) İşçinin eşinin veya çocuğunun vefatı hâlinde 5 iş günü ücretli sosyal izin verilir.
b) İşçinin annesinin, babasının veya kardeşinin vefatı hâlinde 5 iş günü ücretli sosyal izin verilir.
c) İşçinin eşinin annesinin, babasının veya kardeşinin vefatı hâlinde 5 iş günü ücretli sosyal izin verilir.
d) İşçinin amcasının, halasının, dayısının, teyzesinin, dedesinin veya ninesinin vefatı hâlinde 0 iş günü ücretli sosyal izin verilir.
e) Cenazenin il dışında olması veya il dışına götürülmesi hâlinde işçinin annesinin, babasının, kardeşinin, eşinin veya çocuğunun cenazesi için ilave 0 iş günü amcasının, halasının, dayısının, teyzesinin, dedesinin veya ninesinin cenazesi için ilave 0 iş günü ücretli sosyal izin verilir.
f) İşçilerden birinin vefatı hâlinde cenaze işlemleri veya katılımı için ihtiyaç kadar işçiye ücretli sosyal izin verilir.
g) Vefat eden kişi birden fazla personelin yakını ise cenaze izni her personele ayrı ayrı verilir.</t>
  </si>
  <si>
    <t>a) İşçinin evlenmesi hâlinde 7 iş günü ücretli sosyal izin verilir.
b) İşçinin çocuğunun evlenmesi hâlinde 0 iş günü ücretli sosyal izin verilir.
c) İşçinin evliliğinde, evlilik izninin hangi şekilde kullanılacağı işçinin talebi doğrultusunda değerlendirilir.</t>
  </si>
  <si>
    <t>a) İşçilere, gerekli ve geçerli mazeretleri hâlinde işverenin takdirine bağlı olarak yılda 0 iş günü ücretli sosyal izin verilir.
b) İşçilere, gerekli ve geçerli mazeretleri hâlinde işverenin takdirine bağlı olarak yılda 0 aya kadar ücretsiz sosyal izin verilebilir. Genel müdürün uygun görmesi hâlinde 0 aya kadar uzatılabilir.</t>
  </si>
  <si>
    <t>a) Toplu iş sözleşmesi yapmak üzere yetkisi kesinleşen sendika; 
işyerinde işçi sayısı 50’ye kadar ise 1,
51 ile 100 arasında ise en çok 2,
101 ile 500 arasında ise en çok 3,
501 ile 1000 arasında ise en çok 4,
1001 ile 2000 arasında ise en çok 6,
2000’den fazla ise en çok 8 işyeri sendika temsilcisini işyerinde çalışan üyeleri arasından atayarak 15 gün içinde kimliklerini işverene bildirir. Bunlardan biri baş temsilci olarak görevlendirilebilir. Temsilcilerin görevi, sendikanın yetkisi süresince devam eder.
(6356 sayılı Sendikalar ve Toplu İş Sözleşmesi Kanunu / Madde 27)</t>
  </si>
  <si>
    <t>a) Hizmeti 6 ay olanlar için 0 iş günü ücretli yıllık izin verilir.
Hizmeti 1-5 yıl olanlar için 18 iş günü ücretli yıllık izin verilir.
Hizmeti 5-10 yıl olanlar için 23 iş günü ücretli yıllık izin verilir.
Hizmeti 10-15 yıl olanlar için 23 iş günü ücretli yıllık izin verilir.
Hizmeti 15 yıldan fazla olanlar için 28 iş günü ücretli yıllık izin verilir.</t>
  </si>
  <si>
    <t>Sosyal Yardım</t>
  </si>
  <si>
    <t xml:space="preserve">   BES Kesintisi</t>
  </si>
  <si>
    <t xml:space="preserve">   Kıdem Yardımı</t>
  </si>
  <si>
    <t>Toplam</t>
  </si>
  <si>
    <t>Ortalama</t>
  </si>
  <si>
    <r>
      <t xml:space="preserve">   Fazla Çalışma
   </t>
    </r>
    <r>
      <rPr>
        <b/>
        <sz val="16"/>
        <rFont val="Calibri"/>
        <family val="2"/>
        <charset val="162"/>
        <scheme val="minor"/>
      </rPr>
      <t>% 60</t>
    </r>
  </si>
  <si>
    <r>
      <t xml:space="preserve">   Fazla Sürelerle Çalışma
   </t>
    </r>
    <r>
      <rPr>
        <b/>
        <sz val="16"/>
        <rFont val="Calibri"/>
        <family val="2"/>
        <charset val="162"/>
        <scheme val="minor"/>
      </rPr>
      <t>% 25</t>
    </r>
  </si>
  <si>
    <t>Fazla Çalışma (% 60)</t>
  </si>
  <si>
    <t>Fazla Sürelerle Çalışma (% 25)</t>
  </si>
  <si>
    <t>Resmi Tatillerde Çalışma (% 100)</t>
  </si>
  <si>
    <r>
      <t xml:space="preserve">   Resmi Tatillerde Çalışma
   </t>
    </r>
    <r>
      <rPr>
        <b/>
        <sz val="16"/>
        <rFont val="Calibri"/>
        <family val="2"/>
        <charset val="162"/>
        <scheme val="minor"/>
      </rPr>
      <t>% 100</t>
    </r>
  </si>
  <si>
    <r>
      <t xml:space="preserve">   Gece Çalışma
   </t>
    </r>
    <r>
      <rPr>
        <b/>
        <sz val="16"/>
        <rFont val="Calibri"/>
        <family val="2"/>
        <charset val="162"/>
        <scheme val="minor"/>
      </rPr>
      <t>% 15</t>
    </r>
  </si>
  <si>
    <t>Gece Çalışma (% 15)</t>
  </si>
  <si>
    <r>
      <t xml:space="preserve">   Sonraki Ayın 5'inde
   Fazla Çalışma (Gündüz-Gece-Resmi Tatil)
   Yemek Yardımı
   </t>
    </r>
    <r>
      <rPr>
        <b/>
        <sz val="16"/>
        <rFont val="Calibri"/>
        <family val="2"/>
        <charset val="162"/>
        <scheme val="minor"/>
      </rPr>
      <t>Net</t>
    </r>
  </si>
  <si>
    <r>
      <t xml:space="preserve">a) Kadın işçilerin </t>
    </r>
    <r>
      <rPr>
        <b/>
        <sz val="16"/>
        <color theme="0"/>
        <rFont val="Calibri"/>
        <family val="2"/>
        <charset val="162"/>
        <scheme val="minor"/>
      </rPr>
      <t>doğumdan önce 8 ve doğumdan sonra 8 hafta</t>
    </r>
    <r>
      <rPr>
        <sz val="16"/>
        <color theme="0"/>
        <rFont val="Calibri"/>
        <family val="2"/>
        <charset val="162"/>
        <scheme val="minor"/>
      </rPr>
      <t xml:space="preserve"> olmak üzere toplam 16 haftalık süre için çalıştırılmamaları esastır.
(4857 sayılı İş Kanunu / Madde 74)</t>
    </r>
  </si>
  <si>
    <r>
      <t xml:space="preserve">a) İşçilerin en az %70 oranında engelli veya süreğen hastalığı olan çocuğunun tedavisinde, hastalık raporuna dayalı olarak ve çalışan ebeveynden sadece biri tarafından kullanılması kaydıyla, </t>
    </r>
    <r>
      <rPr>
        <b/>
        <sz val="16"/>
        <color theme="0"/>
        <rFont val="Calibri"/>
        <family val="2"/>
        <charset val="162"/>
        <scheme val="minor"/>
      </rPr>
      <t>bir yıl içinde toptan veya bölümler hâlinde 10 güne kadar</t>
    </r>
    <r>
      <rPr>
        <sz val="16"/>
        <color theme="0"/>
        <rFont val="Calibri"/>
        <family val="2"/>
        <charset val="162"/>
        <scheme val="minor"/>
      </rPr>
      <t xml:space="preserve"> ücretli izin verilir.
(4857 sayılı İş Kanunu / Ek Madde 2)</t>
    </r>
  </si>
  <si>
    <r>
      <t xml:space="preserve">a) İşçiye; evlat edinmesi hâlinde </t>
    </r>
    <r>
      <rPr>
        <b/>
        <sz val="16"/>
        <color theme="0"/>
        <rFont val="Calibri"/>
        <family val="2"/>
        <charset val="162"/>
        <scheme val="minor"/>
      </rPr>
      <t>3 gün</t>
    </r>
    <r>
      <rPr>
        <sz val="16"/>
        <color theme="0"/>
        <rFont val="Calibri"/>
        <family val="2"/>
        <charset val="162"/>
        <scheme val="minor"/>
      </rPr>
      <t xml:space="preserve"> ücretli izin verilir.
(4857 sayılı İş Kanunu / Ek Madde 2)</t>
    </r>
  </si>
  <si>
    <r>
      <t xml:space="preserve">a) Bildirim süreleri içinde işveren, işçiye yeni bir iş bulması için gerekli olan iş arama iznini iş saatleri içinde ve ücret kesintisi yapmadan vermeye mecburdur. İş arama izninin süresi </t>
    </r>
    <r>
      <rPr>
        <b/>
        <sz val="16"/>
        <color theme="0"/>
        <rFont val="Calibri"/>
        <family val="2"/>
        <charset val="162"/>
        <scheme val="minor"/>
      </rPr>
      <t>günde 2 saatten az olamaz</t>
    </r>
    <r>
      <rPr>
        <sz val="16"/>
        <color theme="0"/>
        <rFont val="Calibri"/>
        <family val="2"/>
        <charset val="162"/>
        <scheme val="minor"/>
      </rPr>
      <t xml:space="preserve"> ve işçi isterse iş arama izin saatlerini birleştirerek toplu kullanabilir.
(4857 sayılı İş Kanunu / Madde 27)</t>
    </r>
  </si>
  <si>
    <r>
      <t xml:space="preserve">a) Kadın işçilere bir yaşından küçük çocuklarını emzirmeleri için </t>
    </r>
    <r>
      <rPr>
        <b/>
        <sz val="16"/>
        <color theme="0"/>
        <rFont val="Calibri"/>
        <family val="2"/>
        <charset val="162"/>
        <scheme val="minor"/>
      </rPr>
      <t>günde toplam 1,5 saat</t>
    </r>
    <r>
      <rPr>
        <sz val="16"/>
        <color theme="0"/>
        <rFont val="Calibri"/>
        <family val="2"/>
        <charset val="162"/>
        <scheme val="minor"/>
      </rPr>
      <t xml:space="preserve"> süt izni verilir.
(4857 sayılı İş Kanunu / Madde 74)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</si>
</sst>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dd/mm/yyyy;@"/>
    <numFmt numFmtId="165" formatCode="0\ &quot;Gün&quot;"/>
    <numFmt numFmtId="166" formatCode="#,##0.00\ &quot;₺&quot;"/>
    <numFmt numFmtId="167" formatCode="0.000000"/>
    <numFmt numFmtId="168" formatCode="%\ 0"/>
    <numFmt numFmtId="169" formatCode="%\ 0.00"/>
    <numFmt numFmtId="170" formatCode="General\ &quot;₺&quot;"/>
    <numFmt numFmtId="171" formatCode="0.0000000"/>
  </numFmts>
  <fonts count="17" x14ac:knownFonts="1">
    <font>
      <sz val="11"/>
      <color rgb="FF000000"/>
      <name val="Calibri"/>
      <family val="2"/>
      <charset val="1"/>
    </font>
    <font>
      <sz val="11"/>
      <color rgb="FF000000"/>
      <name val="Calibri"/>
      <family val="2"/>
      <charset val="162"/>
    </font>
    <font>
      <sz val="11"/>
      <color rgb="FF000000"/>
      <name val="Calibri"/>
      <family val="2"/>
      <charset val="1"/>
    </font>
    <font>
      <sz val="10"/>
      <name val="Arial Tur"/>
      <charset val="162"/>
    </font>
    <font>
      <sz val="8"/>
      <name val="Calibri"/>
      <family val="2"/>
      <charset val="1"/>
    </font>
    <font>
      <sz val="16"/>
      <name val="Calibri"/>
      <family val="2"/>
      <charset val="162"/>
      <scheme val="minor"/>
    </font>
    <font>
      <b/>
      <sz val="16"/>
      <name val="Calibri"/>
      <family val="2"/>
      <charset val="162"/>
      <scheme val="minor"/>
    </font>
    <font>
      <sz val="16"/>
      <color rgb="FFFF0000"/>
      <name val="Calibri"/>
      <family val="2"/>
      <charset val="162"/>
      <scheme val="minor"/>
    </font>
    <font>
      <sz val="20"/>
      <name val="Calibri"/>
      <family val="2"/>
      <charset val="162"/>
      <scheme val="minor"/>
    </font>
    <font>
      <sz val="20"/>
      <color rgb="FFFF0000"/>
      <name val="Calibri"/>
      <family val="2"/>
      <charset val="162"/>
      <scheme val="minor"/>
    </font>
    <font>
      <b/>
      <sz val="22"/>
      <name val="Calibri"/>
      <family val="2"/>
      <charset val="162"/>
      <scheme val="minor"/>
    </font>
    <font>
      <b/>
      <sz val="22"/>
      <color rgb="FFFF0000"/>
      <name val="Calibri"/>
      <family val="2"/>
      <charset val="162"/>
      <scheme val="minor"/>
    </font>
    <font>
      <sz val="15"/>
      <name val="Calibri"/>
      <family val="2"/>
      <charset val="162"/>
      <scheme val="minor"/>
    </font>
    <font>
      <b/>
      <sz val="14"/>
      <name val="Calibri"/>
      <family val="2"/>
      <charset val="162"/>
      <scheme val="minor"/>
    </font>
    <font>
      <sz val="16"/>
      <color theme="0"/>
      <name val="Calibri"/>
      <family val="2"/>
      <charset val="162"/>
      <scheme val="minor"/>
    </font>
    <font>
      <b/>
      <sz val="16"/>
      <color theme="0"/>
      <name val="Calibri"/>
      <family val="2"/>
      <charset val="162"/>
      <scheme val="minor"/>
    </font>
    <font>
      <b/>
      <sz val="14"/>
      <color theme="0"/>
      <name val="Calibri"/>
      <family val="2"/>
      <charset val="162"/>
      <scheme val="minor"/>
    </font>
  </fonts>
  <fills count="6">
    <fill>
      <patternFill patternType="none"/>
    </fill>
    <fill>
      <patternFill patternType="gray125"/>
    </fill>
    <fill>
      <patternFill patternType="solid">
        <fgColor theme="0" tint="-0.14999847407452621"/>
        <bgColor indexed="64"/>
      </patternFill>
    </fill>
    <fill>
      <patternFill patternType="solid">
        <fgColor rgb="FFC8E1B4"/>
        <bgColor indexed="64"/>
      </patternFill>
    </fill>
    <fill>
      <patternFill patternType="solid">
        <fgColor theme="8" tint="0.79998168889431442"/>
        <bgColor indexed="64"/>
      </patternFill>
    </fill>
    <fill>
      <patternFill patternType="solid">
        <fgColor rgb="FFC8E1B4"/>
        <bgColor rgb="FFC5E0B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6">
    <xf numFmtId="0" fontId="0" fillId="0" borderId="0"/>
    <xf numFmtId="0" fontId="1" fillId="0" borderId="0"/>
    <xf numFmtId="0" fontId="3" fillId="0" borderId="0"/>
    <xf numFmtId="0" fontId="2" fillId="0" borderId="0"/>
    <xf numFmtId="9" fontId="3" fillId="0" borderId="0" applyFont="0" applyFill="0" applyBorder="0" applyAlignment="0" applyProtection="0"/>
    <xf numFmtId="0" fontId="3" fillId="0" borderId="0" applyFont="0" applyFill="0" applyBorder="0" applyAlignment="0" applyProtection="0"/>
  </cellStyleXfs>
  <cellXfs count="84">
    <xf numFmtId="0" fontId="0" fillId="0" borderId="0" xfId="0"/>
    <xf numFmtId="0" fontId="5" fillId="0" borderId="0" xfId="2" applyFont="1" applyAlignment="1" applyProtection="1">
      <alignment horizontal="center" vertical="center"/>
      <protection hidden="1"/>
    </xf>
    <xf numFmtId="0" fontId="5" fillId="2" borderId="1" xfId="2" applyFont="1" applyFill="1" applyBorder="1" applyAlignment="1" applyProtection="1">
      <alignment horizontal="center" vertical="center"/>
      <protection hidden="1"/>
    </xf>
    <xf numFmtId="169" fontId="5" fillId="2" borderId="1" xfId="2" applyNumberFormat="1" applyFont="1" applyFill="1" applyBorder="1" applyAlignment="1" applyProtection="1">
      <alignment horizontal="center" vertical="center"/>
      <protection hidden="1"/>
    </xf>
    <xf numFmtId="4" fontId="5" fillId="2" borderId="1" xfId="2" applyNumberFormat="1" applyFont="1" applyFill="1" applyBorder="1" applyAlignment="1" applyProtection="1">
      <alignment horizontal="center" vertical="center"/>
      <protection hidden="1"/>
    </xf>
    <xf numFmtId="2" fontId="6" fillId="2" borderId="1" xfId="0" applyNumberFormat="1" applyFont="1" applyFill="1" applyBorder="1" applyAlignment="1" applyProtection="1">
      <alignment horizontal="center" vertical="center"/>
      <protection hidden="1"/>
    </xf>
    <xf numFmtId="166" fontId="10" fillId="4" borderId="1" xfId="2" applyNumberFormat="1" applyFont="1" applyFill="1" applyBorder="1" applyAlignment="1" applyProtection="1">
      <alignment horizontal="center" vertical="center"/>
      <protection hidden="1"/>
    </xf>
    <xf numFmtId="166" fontId="11" fillId="4" borderId="1" xfId="2" applyNumberFormat="1" applyFont="1" applyFill="1" applyBorder="1" applyAlignment="1" applyProtection="1">
      <alignment horizontal="center" vertical="center"/>
      <protection hidden="1"/>
    </xf>
    <xf numFmtId="2" fontId="5" fillId="2" borderId="1" xfId="2" applyNumberFormat="1" applyFont="1" applyFill="1" applyBorder="1" applyAlignment="1" applyProtection="1">
      <alignment horizontal="center" vertical="center"/>
      <protection hidden="1"/>
    </xf>
    <xf numFmtId="4" fontId="12" fillId="2" borderId="1" xfId="2" applyNumberFormat="1" applyFont="1" applyFill="1" applyBorder="1" applyAlignment="1" applyProtection="1">
      <alignment horizontal="center" vertical="center" wrapText="1"/>
      <protection hidden="1"/>
    </xf>
    <xf numFmtId="4" fontId="13" fillId="2" borderId="1" xfId="2" applyNumberFormat="1" applyFont="1" applyFill="1" applyBorder="1" applyAlignment="1" applyProtection="1">
      <alignment horizontal="center" vertical="center" wrapText="1"/>
      <protection hidden="1"/>
    </xf>
    <xf numFmtId="1" fontId="5" fillId="2" borderId="1" xfId="2" applyNumberFormat="1" applyFont="1" applyFill="1" applyBorder="1" applyAlignment="1" applyProtection="1">
      <alignment horizontal="center" vertical="center"/>
      <protection hidden="1"/>
    </xf>
    <xf numFmtId="166" fontId="10" fillId="2" borderId="1" xfId="2" applyNumberFormat="1" applyFont="1" applyFill="1" applyBorder="1" applyAlignment="1" applyProtection="1">
      <alignment horizontal="center" vertical="center"/>
      <protection hidden="1"/>
    </xf>
    <xf numFmtId="166" fontId="11" fillId="2" borderId="1" xfId="2" applyNumberFormat="1" applyFont="1" applyFill="1" applyBorder="1" applyAlignment="1" applyProtection="1">
      <alignment horizontal="center" vertical="center"/>
      <protection hidden="1"/>
    </xf>
    <xf numFmtId="1" fontId="5" fillId="3" borderId="1" xfId="2" applyNumberFormat="1" applyFont="1" applyFill="1" applyBorder="1" applyAlignment="1" applyProtection="1">
      <alignment horizontal="center" vertical="center"/>
      <protection locked="0" hidden="1"/>
    </xf>
    <xf numFmtId="2" fontId="5" fillId="3" borderId="1" xfId="3" applyNumberFormat="1" applyFont="1" applyFill="1" applyBorder="1" applyAlignment="1" applyProtection="1">
      <alignment horizontal="center" vertical="center"/>
      <protection locked="0" hidden="1"/>
    </xf>
    <xf numFmtId="2" fontId="5" fillId="5" borderId="1" xfId="2" applyNumberFormat="1" applyFont="1" applyFill="1" applyBorder="1" applyAlignment="1" applyProtection="1">
      <alignment horizontal="center" vertical="center" wrapText="1"/>
      <protection locked="0" hidden="1"/>
    </xf>
    <xf numFmtId="168" fontId="5" fillId="3" borderId="1" xfId="2" applyNumberFormat="1" applyFont="1" applyFill="1" applyBorder="1" applyAlignment="1" applyProtection="1">
      <alignment horizontal="center" vertical="center"/>
      <protection locked="0" hidden="1"/>
    </xf>
    <xf numFmtId="0" fontId="14" fillId="0" borderId="0" xfId="2" applyFont="1" applyFill="1" applyBorder="1" applyAlignment="1" applyProtection="1">
      <alignment horizontal="center" vertical="center" wrapText="1"/>
      <protection hidden="1"/>
    </xf>
    <xf numFmtId="166" fontId="14" fillId="0" borderId="0" xfId="2" applyNumberFormat="1" applyFont="1" applyFill="1" applyBorder="1" applyAlignment="1" applyProtection="1">
      <alignment horizontal="center" vertical="center" wrapText="1"/>
      <protection hidden="1"/>
    </xf>
    <xf numFmtId="2" fontId="14" fillId="0" borderId="0" xfId="3" applyNumberFormat="1" applyFont="1" applyFill="1" applyBorder="1" applyAlignment="1" applyProtection="1">
      <alignment horizontal="center" vertical="center" wrapText="1"/>
      <protection hidden="1"/>
    </xf>
    <xf numFmtId="0" fontId="14" fillId="0" borderId="0" xfId="2" applyFont="1" applyFill="1" applyBorder="1" applyAlignment="1" applyProtection="1">
      <alignment horizontal="center" vertical="center"/>
      <protection hidden="1"/>
    </xf>
    <xf numFmtId="166" fontId="14" fillId="0" borderId="0" xfId="2" applyNumberFormat="1" applyFont="1" applyFill="1" applyBorder="1" applyAlignment="1" applyProtection="1">
      <alignment horizontal="center" vertical="center"/>
      <protection hidden="1"/>
    </xf>
    <xf numFmtId="165" fontId="14" fillId="0" borderId="0" xfId="2" applyNumberFormat="1" applyFont="1" applyFill="1" applyBorder="1" applyAlignment="1" applyProtection="1">
      <alignment horizontal="center" vertical="center"/>
      <protection hidden="1"/>
    </xf>
    <xf numFmtId="0" fontId="14" fillId="0" borderId="0" xfId="3" applyFont="1" applyFill="1" applyBorder="1" applyAlignment="1" applyProtection="1">
      <alignment horizontal="center" vertical="center"/>
      <protection hidden="1"/>
    </xf>
    <xf numFmtId="2" fontId="14" fillId="0" borderId="0" xfId="3" applyNumberFormat="1" applyFont="1" applyFill="1" applyBorder="1" applyAlignment="1" applyProtection="1">
      <alignment horizontal="center" vertical="center"/>
      <protection hidden="1"/>
    </xf>
    <xf numFmtId="169" fontId="14" fillId="0" borderId="0" xfId="2" applyNumberFormat="1" applyFont="1" applyFill="1" applyBorder="1" applyAlignment="1" applyProtection="1">
      <alignment horizontal="center" vertical="center"/>
      <protection hidden="1"/>
    </xf>
    <xf numFmtId="4" fontId="14" fillId="0" borderId="0" xfId="2" applyNumberFormat="1" applyFont="1" applyFill="1" applyBorder="1" applyAlignment="1" applyProtection="1">
      <alignment horizontal="center" vertical="center"/>
      <protection hidden="1"/>
    </xf>
    <xf numFmtId="164" fontId="14" fillId="0" borderId="0" xfId="2" applyNumberFormat="1" applyFont="1" applyFill="1" applyBorder="1" applyAlignment="1" applyProtection="1">
      <alignment horizontal="center" vertical="center"/>
      <protection hidden="1"/>
    </xf>
    <xf numFmtId="164" fontId="14" fillId="0" borderId="0" xfId="0" applyNumberFormat="1" applyFont="1" applyFill="1" applyBorder="1" applyAlignment="1" applyProtection="1">
      <alignment horizontal="center" vertical="center"/>
      <protection hidden="1"/>
    </xf>
    <xf numFmtId="165" fontId="14" fillId="0" borderId="0" xfId="0" applyNumberFormat="1" applyFont="1" applyFill="1" applyBorder="1" applyAlignment="1" applyProtection="1">
      <alignment horizontal="center" vertical="center"/>
      <protection hidden="1"/>
    </xf>
    <xf numFmtId="166" fontId="14" fillId="0" borderId="0" xfId="3" applyNumberFormat="1" applyFont="1" applyFill="1" applyBorder="1" applyAlignment="1" applyProtection="1">
      <alignment horizontal="center" vertical="center"/>
      <protection hidden="1"/>
    </xf>
    <xf numFmtId="3" fontId="14" fillId="0" borderId="0" xfId="2" applyNumberFormat="1" applyFont="1" applyFill="1" applyBorder="1" applyAlignment="1" applyProtection="1">
      <alignment horizontal="center" vertical="center"/>
      <protection hidden="1"/>
    </xf>
    <xf numFmtId="2" fontId="14" fillId="0" borderId="0" xfId="2" applyNumberFormat="1" applyFont="1" applyFill="1" applyBorder="1" applyAlignment="1" applyProtection="1">
      <alignment horizontal="center" vertical="center" wrapText="1"/>
      <protection hidden="1"/>
    </xf>
    <xf numFmtId="2" fontId="14" fillId="0" borderId="0" xfId="2" applyNumberFormat="1" applyFont="1" applyFill="1" applyBorder="1" applyAlignment="1" applyProtection="1">
      <alignment horizontal="center" vertical="center"/>
      <protection hidden="1"/>
    </xf>
    <xf numFmtId="2" fontId="15" fillId="0" borderId="0" xfId="0" applyNumberFormat="1" applyFont="1" applyFill="1" applyBorder="1" applyAlignment="1" applyProtection="1">
      <alignment horizontal="center" vertical="center"/>
      <protection hidden="1"/>
    </xf>
    <xf numFmtId="0" fontId="14" fillId="0" borderId="0" xfId="0" applyFont="1" applyFill="1" applyBorder="1" applyAlignment="1" applyProtection="1">
      <alignment horizontal="center" vertical="center" wrapText="1"/>
      <protection hidden="1"/>
    </xf>
    <xf numFmtId="0" fontId="14" fillId="0" borderId="0" xfId="0" applyFont="1" applyFill="1" applyBorder="1" applyAlignment="1" applyProtection="1">
      <alignment horizontal="right" vertical="center" wrapText="1" indent="1"/>
      <protection hidden="1"/>
    </xf>
    <xf numFmtId="49" fontId="14" fillId="0" borderId="0" xfId="0" applyNumberFormat="1" applyFont="1" applyFill="1" applyBorder="1" applyAlignment="1" applyProtection="1">
      <alignment horizontal="center" vertical="center" wrapText="1"/>
      <protection hidden="1"/>
    </xf>
    <xf numFmtId="49" fontId="14" fillId="0" borderId="0" xfId="2" applyNumberFormat="1" applyFont="1" applyFill="1" applyBorder="1" applyAlignment="1" applyProtection="1">
      <alignment horizontal="center" vertical="center" wrapText="1"/>
      <protection hidden="1"/>
    </xf>
    <xf numFmtId="4" fontId="16" fillId="0" borderId="0" xfId="2" applyNumberFormat="1" applyFont="1" applyFill="1" applyBorder="1" applyAlignment="1" applyProtection="1">
      <alignment horizontal="center" vertical="center" wrapText="1"/>
      <protection hidden="1"/>
    </xf>
    <xf numFmtId="166" fontId="14" fillId="0" borderId="0" xfId="0" applyNumberFormat="1" applyFont="1" applyFill="1" applyBorder="1" applyAlignment="1" applyProtection="1">
      <alignment horizontal="center" vertical="center"/>
      <protection hidden="1"/>
    </xf>
    <xf numFmtId="169" fontId="14" fillId="0" borderId="0" xfId="4" applyNumberFormat="1" applyFont="1" applyFill="1" applyBorder="1" applyAlignment="1" applyProtection="1">
      <alignment horizontal="center" vertical="center"/>
      <protection hidden="1"/>
    </xf>
    <xf numFmtId="171" fontId="14" fillId="0" borderId="0" xfId="2" applyNumberFormat="1" applyFont="1" applyFill="1" applyBorder="1" applyAlignment="1" applyProtection="1">
      <alignment horizontal="center" vertical="center" wrapText="1"/>
      <protection hidden="1"/>
    </xf>
    <xf numFmtId="166" fontId="14" fillId="0" borderId="0" xfId="4" applyNumberFormat="1" applyFont="1" applyFill="1" applyBorder="1" applyAlignment="1" applyProtection="1">
      <alignment horizontal="center" vertical="center"/>
      <protection hidden="1"/>
    </xf>
    <xf numFmtId="2" fontId="14" fillId="0" borderId="0" xfId="2" applyNumberFormat="1" applyFont="1" applyFill="1" applyBorder="1" applyAlignment="1" applyProtection="1">
      <alignment horizontal="right" vertical="center" wrapText="1" indent="1"/>
      <protection hidden="1"/>
    </xf>
    <xf numFmtId="4" fontId="14" fillId="0" borderId="0" xfId="2" applyNumberFormat="1" applyFont="1" applyFill="1" applyBorder="1" applyAlignment="1" applyProtection="1">
      <alignment horizontal="center" vertical="center" wrapText="1"/>
      <protection hidden="1"/>
    </xf>
    <xf numFmtId="168" fontId="14" fillId="0" borderId="0" xfId="2" applyNumberFormat="1" applyFont="1" applyFill="1" applyBorder="1" applyAlignment="1" applyProtection="1">
      <alignment horizontal="center" vertical="center"/>
      <protection hidden="1"/>
    </xf>
    <xf numFmtId="167" fontId="14" fillId="0" borderId="0" xfId="2" applyNumberFormat="1" applyFont="1" applyFill="1" applyBorder="1" applyAlignment="1" applyProtection="1">
      <alignment horizontal="center" vertical="center"/>
      <protection hidden="1"/>
    </xf>
    <xf numFmtId="49" fontId="14" fillId="0" borderId="0" xfId="3" applyNumberFormat="1" applyFont="1" applyFill="1" applyBorder="1" applyAlignment="1" applyProtection="1">
      <alignment horizontal="center" vertical="center"/>
      <protection hidden="1"/>
    </xf>
    <xf numFmtId="2" fontId="7" fillId="2" borderId="1" xfId="2" applyNumberFormat="1" applyFont="1" applyFill="1" applyBorder="1" applyAlignment="1" applyProtection="1">
      <alignment horizontal="center" textRotation="90" wrapText="1"/>
      <protection hidden="1"/>
    </xf>
    <xf numFmtId="2" fontId="5" fillId="2" borderId="1" xfId="2" applyNumberFormat="1" applyFont="1" applyFill="1" applyBorder="1" applyAlignment="1" applyProtection="1">
      <alignment horizontal="center" textRotation="90" wrapText="1"/>
      <protection hidden="1"/>
    </xf>
    <xf numFmtId="2" fontId="5" fillId="2" borderId="10" xfId="0" applyNumberFormat="1" applyFont="1" applyFill="1" applyBorder="1" applyAlignment="1" applyProtection="1">
      <alignment horizontal="center" textRotation="90" wrapText="1"/>
      <protection hidden="1"/>
    </xf>
    <xf numFmtId="2" fontId="5" fillId="2" borderId="11" xfId="0" applyNumberFormat="1" applyFont="1" applyFill="1" applyBorder="1" applyAlignment="1" applyProtection="1">
      <alignment horizontal="center" textRotation="90" wrapText="1"/>
      <protection hidden="1"/>
    </xf>
    <xf numFmtId="2" fontId="5" fillId="2" borderId="12" xfId="0" applyNumberFormat="1" applyFont="1" applyFill="1" applyBorder="1" applyAlignment="1" applyProtection="1">
      <alignment horizontal="center" textRotation="90" wrapText="1"/>
      <protection hidden="1"/>
    </xf>
    <xf numFmtId="2" fontId="5" fillId="2" borderId="5" xfId="2" applyNumberFormat="1" applyFont="1" applyFill="1" applyBorder="1" applyAlignment="1" applyProtection="1">
      <alignment horizontal="center" textRotation="90" wrapText="1"/>
      <protection hidden="1"/>
    </xf>
    <xf numFmtId="2" fontId="5" fillId="2" borderId="6" xfId="2" applyNumberFormat="1" applyFont="1" applyFill="1" applyBorder="1" applyAlignment="1" applyProtection="1">
      <alignment horizontal="center" textRotation="90" wrapText="1"/>
      <protection hidden="1"/>
    </xf>
    <xf numFmtId="2" fontId="5" fillId="2" borderId="7" xfId="2" applyNumberFormat="1" applyFont="1" applyFill="1" applyBorder="1" applyAlignment="1" applyProtection="1">
      <alignment horizontal="center" textRotation="90" wrapText="1"/>
      <protection hidden="1"/>
    </xf>
    <xf numFmtId="2" fontId="5" fillId="2" borderId="8" xfId="2" applyNumberFormat="1" applyFont="1" applyFill="1" applyBorder="1" applyAlignment="1" applyProtection="1">
      <alignment horizontal="center" textRotation="90" wrapText="1"/>
      <protection hidden="1"/>
    </xf>
    <xf numFmtId="2" fontId="5" fillId="2" borderId="0" xfId="2" applyNumberFormat="1" applyFont="1" applyFill="1" applyBorder="1" applyAlignment="1" applyProtection="1">
      <alignment horizontal="center" textRotation="90" wrapText="1"/>
      <protection hidden="1"/>
    </xf>
    <xf numFmtId="2" fontId="5" fillId="2" borderId="9" xfId="2" applyNumberFormat="1" applyFont="1" applyFill="1" applyBorder="1" applyAlignment="1" applyProtection="1">
      <alignment horizontal="center" textRotation="90" wrapText="1"/>
      <protection hidden="1"/>
    </xf>
    <xf numFmtId="2" fontId="5" fillId="2" borderId="2" xfId="2" applyNumberFormat="1" applyFont="1" applyFill="1" applyBorder="1" applyAlignment="1" applyProtection="1">
      <alignment horizontal="center" textRotation="90" wrapText="1"/>
      <protection hidden="1"/>
    </xf>
    <xf numFmtId="2" fontId="5" fillId="2" borderId="3" xfId="2" applyNumberFormat="1" applyFont="1" applyFill="1" applyBorder="1" applyAlignment="1" applyProtection="1">
      <alignment horizontal="center" textRotation="90" wrapText="1"/>
      <protection hidden="1"/>
    </xf>
    <xf numFmtId="2" fontId="5" fillId="2" borderId="4" xfId="2" applyNumberFormat="1" applyFont="1" applyFill="1" applyBorder="1" applyAlignment="1" applyProtection="1">
      <alignment horizontal="center" textRotation="90" wrapText="1"/>
      <protection hidden="1"/>
    </xf>
    <xf numFmtId="2" fontId="8" fillId="3" borderId="1" xfId="2" applyNumberFormat="1" applyFont="1" applyFill="1" applyBorder="1" applyAlignment="1" applyProtection="1">
      <alignment horizontal="center" vertical="center" textRotation="90" wrapText="1"/>
      <protection locked="0" hidden="1"/>
    </xf>
    <xf numFmtId="170" fontId="9" fillId="2" borderId="1" xfId="2" applyNumberFormat="1" applyFont="1" applyFill="1" applyBorder="1" applyAlignment="1" applyProtection="1">
      <alignment horizontal="center" vertical="center" textRotation="90" wrapText="1"/>
      <protection hidden="1"/>
    </xf>
    <xf numFmtId="0" fontId="5" fillId="2" borderId="8" xfId="0" applyFont="1" applyFill="1" applyBorder="1" applyAlignment="1" applyProtection="1">
      <alignment horizontal="center" vertical="center" wrapText="1"/>
      <protection hidden="1"/>
    </xf>
    <xf numFmtId="0" fontId="5" fillId="3" borderId="1" xfId="0" applyFont="1" applyFill="1" applyBorder="1" applyAlignment="1" applyProtection="1">
      <alignment horizontal="center" vertical="center" textRotation="90" wrapText="1"/>
      <protection locked="0" hidden="1"/>
    </xf>
    <xf numFmtId="0" fontId="5" fillId="2" borderId="9" xfId="0" applyFont="1" applyFill="1" applyBorder="1" applyAlignment="1" applyProtection="1">
      <alignment horizontal="center" vertical="center" wrapText="1"/>
      <protection hidden="1"/>
    </xf>
    <xf numFmtId="0" fontId="5" fillId="2" borderId="0" xfId="0" applyFont="1" applyFill="1" applyAlignment="1" applyProtection="1">
      <alignment horizontal="left" vertical="center" wrapText="1"/>
      <protection hidden="1"/>
    </xf>
    <xf numFmtId="0" fontId="5" fillId="2" borderId="5" xfId="0" applyFont="1" applyFill="1" applyBorder="1" applyAlignment="1" applyProtection="1">
      <alignment horizontal="center" vertical="center" wrapText="1"/>
      <protection hidden="1"/>
    </xf>
    <xf numFmtId="0" fontId="5" fillId="2" borderId="6" xfId="0" applyFont="1" applyFill="1" applyBorder="1" applyAlignment="1" applyProtection="1">
      <alignment horizontal="center" vertical="center" wrapText="1"/>
      <protection hidden="1"/>
    </xf>
    <xf numFmtId="0" fontId="5" fillId="2" borderId="7" xfId="0" applyFont="1" applyFill="1" applyBorder="1" applyAlignment="1" applyProtection="1">
      <alignment horizontal="center" vertical="center" wrapText="1"/>
      <protection hidden="1"/>
    </xf>
    <xf numFmtId="0" fontId="5" fillId="3" borderId="1" xfId="2" applyFont="1" applyFill="1" applyBorder="1" applyAlignment="1" applyProtection="1">
      <alignment horizontal="center" vertical="center" textRotation="90" wrapText="1"/>
      <protection locked="0" hidden="1"/>
    </xf>
    <xf numFmtId="0" fontId="5" fillId="2" borderId="2" xfId="0" applyFont="1" applyFill="1" applyBorder="1" applyAlignment="1" applyProtection="1">
      <alignment horizontal="center" vertical="center" wrapText="1"/>
      <protection hidden="1"/>
    </xf>
    <xf numFmtId="0" fontId="5" fillId="2" borderId="3" xfId="0" applyFont="1" applyFill="1" applyBorder="1" applyAlignment="1" applyProtection="1">
      <alignment horizontal="center" vertical="center" wrapText="1"/>
      <protection hidden="1"/>
    </xf>
    <xf numFmtId="0" fontId="5" fillId="2" borderId="4" xfId="0" applyFont="1" applyFill="1" applyBorder="1" applyAlignment="1" applyProtection="1">
      <alignment horizontal="center" vertical="center" wrapText="1"/>
      <protection hidden="1"/>
    </xf>
    <xf numFmtId="0" fontId="5" fillId="2" borderId="1" xfId="2" applyFont="1" applyFill="1" applyBorder="1" applyAlignment="1" applyProtection="1">
      <alignment horizontal="center" vertical="center"/>
      <protection hidden="1"/>
    </xf>
    <xf numFmtId="0" fontId="7" fillId="0" borderId="0" xfId="2" applyFont="1" applyAlignment="1" applyProtection="1">
      <alignment horizontal="center" vertical="center"/>
      <protection hidden="1"/>
    </xf>
    <xf numFmtId="0" fontId="7" fillId="2" borderId="10" xfId="0" applyFont="1" applyFill="1" applyBorder="1" applyAlignment="1" applyProtection="1">
      <alignment horizontal="center" vertical="center" wrapText="1"/>
      <protection hidden="1"/>
    </xf>
    <xf numFmtId="0" fontId="7" fillId="2" borderId="11" xfId="0" applyFont="1" applyFill="1" applyBorder="1" applyAlignment="1" applyProtection="1">
      <alignment horizontal="center" vertical="center" wrapText="1"/>
      <protection hidden="1"/>
    </xf>
    <xf numFmtId="0" fontId="7" fillId="2" borderId="12" xfId="0" applyFont="1" applyFill="1" applyBorder="1" applyAlignment="1" applyProtection="1">
      <alignment horizontal="center" vertical="center" wrapText="1"/>
      <protection hidden="1"/>
    </xf>
    <xf numFmtId="0" fontId="14" fillId="0" borderId="0" xfId="2" applyFont="1" applyAlignment="1" applyProtection="1">
      <alignment horizontal="center" vertical="center"/>
      <protection hidden="1"/>
    </xf>
    <xf numFmtId="0" fontId="14" fillId="0" borderId="0" xfId="2" applyFont="1" applyAlignment="1" applyProtection="1">
      <alignment horizontal="right" vertical="center" indent="1"/>
      <protection hidden="1"/>
    </xf>
  </cellXfs>
  <cellStyles count="6">
    <cellStyle name="Açıklama Metni" xfId="1" builtinId="53" customBuiltin="1"/>
    <cellStyle name="Normal" xfId="0" builtinId="0"/>
    <cellStyle name="Normal 2" xfId="2" xr:uid="{00000000-0005-0000-0000-000003000000}"/>
    <cellStyle name="Normal 2 2" xfId="3" xr:uid="{00000000-0005-0000-0000-000004000000}"/>
    <cellStyle name="Virgül 2" xfId="5" xr:uid="{00000000-0005-0000-0000-000005000000}"/>
    <cellStyle name="Yüzde 2" xfId="4" xr:uid="{00000000-0005-0000-0000-000006000000}"/>
  </cellStyles>
  <dxfs count="0"/>
  <tableStyles count="0" defaultTableStyle="TableStyleMedium9"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FE699"/>
      <rgbColor rgb="FFCCFFFF"/>
      <rgbColor rgb="FF660066"/>
      <rgbColor rgb="FFFF8080"/>
      <rgbColor rgb="FF0066CC"/>
      <rgbColor rgb="FFD9D9D9"/>
      <rgbColor rgb="FF000080"/>
      <rgbColor rgb="FFFF00FF"/>
      <rgbColor rgb="FFFFFF00"/>
      <rgbColor rgb="FF00FFFF"/>
      <rgbColor rgb="FF800080"/>
      <rgbColor rgb="FF800000"/>
      <rgbColor rgb="FF008080"/>
      <rgbColor rgb="FF0000FF"/>
      <rgbColor rgb="FF00CCFF"/>
      <rgbColor rgb="FFCCFFFF"/>
      <rgbColor rgb="FFC5E0B4"/>
      <rgbColor rgb="FFFFFF99"/>
      <rgbColor rgb="FF99CCFF"/>
      <rgbColor rgb="FFFF99CC"/>
      <rgbColor rgb="FFCC99FF"/>
      <rgbColor rgb="FFF8CBAD"/>
      <rgbColor rgb="FF3366FF"/>
      <rgbColor rgb="FF33CCCC"/>
      <rgbColor rgb="FF99CC00"/>
      <rgbColor rgb="FFFFCC00"/>
      <rgbColor rgb="FFFF9900"/>
      <rgbColor rgb="FFFF3333"/>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mruColors>
      <color rgb="FFDAEEF3"/>
      <color rgb="FFC8E1B4"/>
      <color rgb="FF003300"/>
      <color rgb="FF9933FF"/>
      <color rgb="FFAAD7E1"/>
      <color rgb="FFAAD7DC"/>
      <color rgb="FFAAD7E6"/>
      <color rgb="FFAACDE6"/>
      <color rgb="FFAFCDE6"/>
      <color rgb="FFAFE1E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tr-T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6821142851852943"/>
          <c:y val="1.6407513119655142E-2"/>
          <c:w val="0.22938183964581099"/>
          <c:h val="0.96718497376068968"/>
        </c:manualLayout>
      </c:layout>
      <c:barChart>
        <c:barDir val="bar"/>
        <c:grouping val="clustered"/>
        <c:varyColors val="0"/>
        <c:ser>
          <c:idx val="0"/>
          <c:order val="0"/>
          <c:spPr>
            <a:solidFill>
              <a:schemeClr val="tx1"/>
            </a:solidFill>
            <a:ln>
              <a:noFill/>
            </a:ln>
            <a:effectLst/>
          </c:spPr>
          <c:invertIfNegative val="0"/>
          <c:dPt>
            <c:idx val="11"/>
            <c:invertIfNegative val="0"/>
            <c:bubble3D val="0"/>
            <c:spPr>
              <a:solidFill>
                <a:schemeClr val="tx1"/>
              </a:solidFill>
              <a:ln>
                <a:noFill/>
              </a:ln>
              <a:effectLst/>
            </c:spPr>
            <c:extLst>
              <c:ext xmlns:c16="http://schemas.microsoft.com/office/drawing/2014/chart" uri="{C3380CC4-5D6E-409C-BE32-E72D297353CC}">
                <c16:uniqueId val="{00000027-15C5-4CF9-A126-8061EA1D968F}"/>
              </c:ext>
            </c:extLst>
          </c:dPt>
          <c:dPt>
            <c:idx val="12"/>
            <c:invertIfNegative val="0"/>
            <c:bubble3D val="0"/>
            <c:spPr>
              <a:solidFill>
                <a:srgbClr val="C00000"/>
              </a:solidFill>
              <a:ln>
                <a:noFill/>
              </a:ln>
              <a:effectLst/>
            </c:spPr>
            <c:extLst>
              <c:ext xmlns:c16="http://schemas.microsoft.com/office/drawing/2014/chart" uri="{C3380CC4-5D6E-409C-BE32-E72D297353CC}">
                <c16:uniqueId val="{00000028-15C5-4CF9-A126-8061EA1D968F}"/>
              </c:ext>
            </c:extLst>
          </c:dPt>
          <c:dPt>
            <c:idx val="13"/>
            <c:invertIfNegative val="0"/>
            <c:bubble3D val="0"/>
            <c:spPr>
              <a:solidFill>
                <a:srgbClr val="C00000"/>
              </a:solidFill>
              <a:ln>
                <a:noFill/>
              </a:ln>
              <a:effectLst/>
            </c:spPr>
            <c:extLst>
              <c:ext xmlns:c16="http://schemas.microsoft.com/office/drawing/2014/chart" uri="{C3380CC4-5D6E-409C-BE32-E72D297353CC}">
                <c16:uniqueId val="{00000029-15C5-4CF9-A126-8061EA1D968F}"/>
              </c:ext>
            </c:extLst>
          </c:dPt>
          <c:dPt>
            <c:idx val="14"/>
            <c:invertIfNegative val="0"/>
            <c:bubble3D val="0"/>
            <c:spPr>
              <a:solidFill>
                <a:srgbClr val="C00000"/>
              </a:solidFill>
              <a:ln>
                <a:noFill/>
              </a:ln>
              <a:effectLst/>
            </c:spPr>
            <c:extLst>
              <c:ext xmlns:c16="http://schemas.microsoft.com/office/drawing/2014/chart" uri="{C3380CC4-5D6E-409C-BE32-E72D297353CC}">
                <c16:uniqueId val="{0000002A-15C5-4CF9-A126-8061EA1D968F}"/>
              </c:ext>
            </c:extLst>
          </c:dPt>
          <c:dPt>
            <c:idx val="15"/>
            <c:invertIfNegative val="0"/>
            <c:bubble3D val="0"/>
            <c:spPr>
              <a:solidFill>
                <a:srgbClr val="C00000"/>
              </a:solidFill>
              <a:ln>
                <a:noFill/>
              </a:ln>
              <a:effectLst/>
            </c:spPr>
            <c:extLst>
              <c:ext xmlns:c16="http://schemas.microsoft.com/office/drawing/2014/chart" uri="{C3380CC4-5D6E-409C-BE32-E72D297353CC}">
                <c16:uniqueId val="{0000002B-15C5-4CF9-A126-8061EA1D968F}"/>
              </c:ext>
            </c:extLst>
          </c:dPt>
          <c:dPt>
            <c:idx val="16"/>
            <c:invertIfNegative val="0"/>
            <c:bubble3D val="0"/>
            <c:spPr>
              <a:solidFill>
                <a:srgbClr val="C00000"/>
              </a:solidFill>
              <a:ln>
                <a:noFill/>
              </a:ln>
              <a:effectLst/>
            </c:spPr>
            <c:extLst>
              <c:ext xmlns:c16="http://schemas.microsoft.com/office/drawing/2014/chart" uri="{C3380CC4-5D6E-409C-BE32-E72D297353CC}">
                <c16:uniqueId val="{0000002C-15C5-4CF9-A126-8061EA1D968F}"/>
              </c:ext>
            </c:extLst>
          </c:dPt>
          <c:dPt>
            <c:idx val="17"/>
            <c:invertIfNegative val="0"/>
            <c:bubble3D val="0"/>
            <c:spPr>
              <a:solidFill>
                <a:srgbClr val="C00000"/>
              </a:solidFill>
              <a:ln>
                <a:noFill/>
              </a:ln>
              <a:effectLst/>
            </c:spPr>
            <c:extLst>
              <c:ext xmlns:c16="http://schemas.microsoft.com/office/drawing/2014/chart" uri="{C3380CC4-5D6E-409C-BE32-E72D297353CC}">
                <c16:uniqueId val="{0000002D-15C5-4CF9-A126-8061EA1D968F}"/>
              </c:ext>
            </c:extLst>
          </c:dPt>
          <c:dPt>
            <c:idx val="18"/>
            <c:invertIfNegative val="0"/>
            <c:bubble3D val="0"/>
            <c:spPr>
              <a:solidFill>
                <a:schemeClr val="bg1">
                  <a:lumMod val="50000"/>
                </a:schemeClr>
              </a:solidFill>
              <a:ln>
                <a:noFill/>
              </a:ln>
              <a:effectLst/>
            </c:spPr>
            <c:extLst>
              <c:ext xmlns:c16="http://schemas.microsoft.com/office/drawing/2014/chart" uri="{C3380CC4-5D6E-409C-BE32-E72D297353CC}">
                <c16:uniqueId val="{00000035-B7D2-4BCE-BB62-19949372B699}"/>
              </c:ext>
            </c:extLst>
          </c:dPt>
          <c:dPt>
            <c:idx val="19"/>
            <c:invertIfNegative val="0"/>
            <c:bubble3D val="0"/>
            <c:spPr>
              <a:solidFill>
                <a:schemeClr val="bg1">
                  <a:lumMod val="50000"/>
                </a:schemeClr>
              </a:solidFill>
              <a:ln>
                <a:noFill/>
              </a:ln>
              <a:effectLst/>
            </c:spPr>
            <c:extLst>
              <c:ext xmlns:c16="http://schemas.microsoft.com/office/drawing/2014/chart" uri="{C3380CC4-5D6E-409C-BE32-E72D297353CC}">
                <c16:uniqueId val="{00000036-B7D2-4BCE-BB62-19949372B699}"/>
              </c:ext>
            </c:extLst>
          </c:dPt>
          <c:dPt>
            <c:idx val="20"/>
            <c:invertIfNegative val="0"/>
            <c:bubble3D val="0"/>
            <c:spPr>
              <a:solidFill>
                <a:schemeClr val="tx1"/>
              </a:solidFill>
              <a:ln>
                <a:noFill/>
              </a:ln>
              <a:effectLst/>
            </c:spPr>
            <c:extLst>
              <c:ext xmlns:c16="http://schemas.microsoft.com/office/drawing/2014/chart" uri="{C3380CC4-5D6E-409C-BE32-E72D297353CC}">
                <c16:uniqueId val="{0000000F-45CA-4018-8A5C-C7D91A61B798}"/>
              </c:ext>
            </c:extLst>
          </c:dPt>
          <c:dPt>
            <c:idx val="21"/>
            <c:invertIfNegative val="0"/>
            <c:bubble3D val="0"/>
            <c:spPr>
              <a:solidFill>
                <a:schemeClr val="tx1"/>
              </a:solidFill>
              <a:ln>
                <a:noFill/>
              </a:ln>
              <a:effectLst/>
            </c:spPr>
            <c:extLst>
              <c:ext xmlns:c16="http://schemas.microsoft.com/office/drawing/2014/chart" uri="{C3380CC4-5D6E-409C-BE32-E72D297353CC}">
                <c16:uniqueId val="{0000000E-45CA-4018-8A5C-C7D91A61B798}"/>
              </c:ext>
            </c:extLst>
          </c:dPt>
          <c:dPt>
            <c:idx val="22"/>
            <c:invertIfNegative val="0"/>
            <c:bubble3D val="0"/>
            <c:spPr>
              <a:solidFill>
                <a:schemeClr val="tx1"/>
              </a:solidFill>
              <a:ln>
                <a:noFill/>
              </a:ln>
              <a:effectLst/>
            </c:spPr>
            <c:extLst>
              <c:ext xmlns:c16="http://schemas.microsoft.com/office/drawing/2014/chart" uri="{C3380CC4-5D6E-409C-BE32-E72D297353CC}">
                <c16:uniqueId val="{0000000D-45CA-4018-8A5C-C7D91A61B798}"/>
              </c:ext>
            </c:extLst>
          </c:dPt>
          <c:dPt>
            <c:idx val="23"/>
            <c:invertIfNegative val="0"/>
            <c:bubble3D val="0"/>
            <c:spPr>
              <a:solidFill>
                <a:schemeClr val="tx1"/>
              </a:solidFill>
              <a:ln>
                <a:noFill/>
              </a:ln>
              <a:effectLst/>
            </c:spPr>
            <c:extLst>
              <c:ext xmlns:c16="http://schemas.microsoft.com/office/drawing/2014/chart" uri="{C3380CC4-5D6E-409C-BE32-E72D297353CC}">
                <c16:uniqueId val="{00000015-E42F-428B-802F-3B6F8ADE344D}"/>
              </c:ext>
            </c:extLst>
          </c:dPt>
          <c:dPt>
            <c:idx val="24"/>
            <c:invertIfNegative val="0"/>
            <c:bubble3D val="0"/>
            <c:spPr>
              <a:solidFill>
                <a:schemeClr val="tx1"/>
              </a:solidFill>
              <a:ln>
                <a:noFill/>
              </a:ln>
              <a:effectLst/>
            </c:spPr>
            <c:extLst>
              <c:ext xmlns:c16="http://schemas.microsoft.com/office/drawing/2014/chart" uri="{C3380CC4-5D6E-409C-BE32-E72D297353CC}">
                <c16:uniqueId val="{0000000A-45CA-4018-8A5C-C7D91A61B798}"/>
              </c:ext>
            </c:extLst>
          </c:dPt>
          <c:dPt>
            <c:idx val="25"/>
            <c:invertIfNegative val="0"/>
            <c:bubble3D val="0"/>
            <c:spPr>
              <a:solidFill>
                <a:schemeClr val="tx1"/>
              </a:solidFill>
              <a:ln>
                <a:noFill/>
              </a:ln>
              <a:effectLst/>
            </c:spPr>
            <c:extLst>
              <c:ext xmlns:c16="http://schemas.microsoft.com/office/drawing/2014/chart" uri="{C3380CC4-5D6E-409C-BE32-E72D297353CC}">
                <c16:uniqueId val="{00000009-45CA-4018-8A5C-C7D91A61B798}"/>
              </c:ext>
            </c:extLst>
          </c:dPt>
          <c:dPt>
            <c:idx val="26"/>
            <c:invertIfNegative val="0"/>
            <c:bubble3D val="0"/>
            <c:spPr>
              <a:solidFill>
                <a:srgbClr val="C00000"/>
              </a:solidFill>
              <a:ln>
                <a:noFill/>
              </a:ln>
              <a:effectLst/>
            </c:spPr>
            <c:extLst>
              <c:ext xmlns:c16="http://schemas.microsoft.com/office/drawing/2014/chart" uri="{C3380CC4-5D6E-409C-BE32-E72D297353CC}">
                <c16:uniqueId val="{0000000B-45CA-4018-8A5C-C7D91A61B798}"/>
              </c:ext>
            </c:extLst>
          </c:dPt>
          <c:dPt>
            <c:idx val="27"/>
            <c:invertIfNegative val="0"/>
            <c:bubble3D val="0"/>
            <c:spPr>
              <a:solidFill>
                <a:srgbClr val="C00000"/>
              </a:solidFill>
              <a:ln>
                <a:noFill/>
              </a:ln>
              <a:effectLst/>
            </c:spPr>
            <c:extLst>
              <c:ext xmlns:c16="http://schemas.microsoft.com/office/drawing/2014/chart" uri="{C3380CC4-5D6E-409C-BE32-E72D297353CC}">
                <c16:uniqueId val="{00000008-45CA-4018-8A5C-C7D91A61B798}"/>
              </c:ext>
            </c:extLst>
          </c:dPt>
          <c:dPt>
            <c:idx val="28"/>
            <c:invertIfNegative val="0"/>
            <c:bubble3D val="0"/>
            <c:spPr>
              <a:solidFill>
                <a:srgbClr val="C00000"/>
              </a:solidFill>
              <a:ln>
                <a:noFill/>
              </a:ln>
              <a:effectLst/>
            </c:spPr>
            <c:extLst>
              <c:ext xmlns:c16="http://schemas.microsoft.com/office/drawing/2014/chart" uri="{C3380CC4-5D6E-409C-BE32-E72D297353CC}">
                <c16:uniqueId val="{0000000C-45CA-4018-8A5C-C7D91A61B798}"/>
              </c:ext>
            </c:extLst>
          </c:dPt>
          <c:dPt>
            <c:idx val="29"/>
            <c:invertIfNegative val="0"/>
            <c:bubble3D val="0"/>
            <c:spPr>
              <a:solidFill>
                <a:srgbClr val="C00000"/>
              </a:solidFill>
              <a:ln>
                <a:noFill/>
              </a:ln>
              <a:effectLst/>
            </c:spPr>
            <c:extLst>
              <c:ext xmlns:c16="http://schemas.microsoft.com/office/drawing/2014/chart" uri="{C3380CC4-5D6E-409C-BE32-E72D297353CC}">
                <c16:uniqueId val="{00000007-45CA-4018-8A5C-C7D91A61B798}"/>
              </c:ext>
            </c:extLst>
          </c:dPt>
          <c:dPt>
            <c:idx val="30"/>
            <c:invertIfNegative val="0"/>
            <c:bubble3D val="0"/>
            <c:spPr>
              <a:solidFill>
                <a:srgbClr val="C00000"/>
              </a:solidFill>
              <a:ln>
                <a:noFill/>
              </a:ln>
              <a:effectLst/>
            </c:spPr>
            <c:extLst>
              <c:ext xmlns:c16="http://schemas.microsoft.com/office/drawing/2014/chart" uri="{C3380CC4-5D6E-409C-BE32-E72D297353CC}">
                <c16:uniqueId val="{00000013-D68E-4191-8C49-7635405731D1}"/>
              </c:ext>
            </c:extLst>
          </c:dPt>
          <c:dPt>
            <c:idx val="31"/>
            <c:invertIfNegative val="0"/>
            <c:bubble3D val="0"/>
            <c:spPr>
              <a:solidFill>
                <a:srgbClr val="C00000"/>
              </a:solidFill>
              <a:ln>
                <a:noFill/>
              </a:ln>
              <a:effectLst/>
            </c:spPr>
            <c:extLst>
              <c:ext xmlns:c16="http://schemas.microsoft.com/office/drawing/2014/chart" uri="{C3380CC4-5D6E-409C-BE32-E72D297353CC}">
                <c16:uniqueId val="{00000017-D7E6-45C6-BD44-9DAF6A5B6F82}"/>
              </c:ext>
            </c:extLst>
          </c:dPt>
          <c:dPt>
            <c:idx val="32"/>
            <c:invertIfNegative val="0"/>
            <c:bubble3D val="0"/>
            <c:spPr>
              <a:solidFill>
                <a:srgbClr val="C00000"/>
              </a:solidFill>
              <a:ln>
                <a:noFill/>
              </a:ln>
              <a:effectLst/>
            </c:spPr>
            <c:extLst>
              <c:ext xmlns:c16="http://schemas.microsoft.com/office/drawing/2014/chart" uri="{C3380CC4-5D6E-409C-BE32-E72D297353CC}">
                <c16:uniqueId val="{00000018-D7E6-45C6-BD44-9DAF6A5B6F82}"/>
              </c:ext>
            </c:extLst>
          </c:dPt>
          <c:dPt>
            <c:idx val="33"/>
            <c:invertIfNegative val="0"/>
            <c:bubble3D val="0"/>
            <c:spPr>
              <a:solidFill>
                <a:srgbClr val="C00000"/>
              </a:solidFill>
              <a:ln>
                <a:noFill/>
              </a:ln>
              <a:effectLst/>
            </c:spPr>
            <c:extLst>
              <c:ext xmlns:c16="http://schemas.microsoft.com/office/drawing/2014/chart" uri="{C3380CC4-5D6E-409C-BE32-E72D297353CC}">
                <c16:uniqueId val="{0000001D-B20F-4A15-8DC8-56B8EB5F98BA}"/>
              </c:ext>
            </c:extLst>
          </c:dPt>
          <c:dPt>
            <c:idx val="34"/>
            <c:invertIfNegative val="0"/>
            <c:bubble3D val="0"/>
            <c:spPr>
              <a:solidFill>
                <a:srgbClr val="C00000"/>
              </a:solidFill>
              <a:ln>
                <a:noFill/>
              </a:ln>
              <a:effectLst/>
            </c:spPr>
            <c:extLst>
              <c:ext xmlns:c16="http://schemas.microsoft.com/office/drawing/2014/chart" uri="{C3380CC4-5D6E-409C-BE32-E72D297353CC}">
                <c16:uniqueId val="{0000001C-B20F-4A15-8DC8-56B8EB5F98BA}"/>
              </c:ext>
            </c:extLst>
          </c:dPt>
          <c:dPt>
            <c:idx val="35"/>
            <c:invertIfNegative val="0"/>
            <c:bubble3D val="0"/>
            <c:spPr>
              <a:solidFill>
                <a:srgbClr val="C00000"/>
              </a:solidFill>
              <a:ln>
                <a:noFill/>
              </a:ln>
              <a:effectLst/>
            </c:spPr>
            <c:extLst>
              <c:ext xmlns:c16="http://schemas.microsoft.com/office/drawing/2014/chart" uri="{C3380CC4-5D6E-409C-BE32-E72D297353CC}">
                <c16:uniqueId val="{0000001E-B20F-4A15-8DC8-56B8EB5F98BA}"/>
              </c:ext>
            </c:extLst>
          </c:dPt>
          <c:dPt>
            <c:idx val="36"/>
            <c:invertIfNegative val="0"/>
            <c:bubble3D val="0"/>
            <c:spPr>
              <a:solidFill>
                <a:srgbClr val="C00000"/>
              </a:solidFill>
              <a:ln>
                <a:noFill/>
              </a:ln>
              <a:effectLst/>
            </c:spPr>
            <c:extLst>
              <c:ext xmlns:c16="http://schemas.microsoft.com/office/drawing/2014/chart" uri="{C3380CC4-5D6E-409C-BE32-E72D297353CC}">
                <c16:uniqueId val="{0000001B-B20F-4A15-8DC8-56B8EB5F98BA}"/>
              </c:ext>
            </c:extLst>
          </c:dPt>
          <c:dPt>
            <c:idx val="37"/>
            <c:invertIfNegative val="0"/>
            <c:bubble3D val="0"/>
            <c:spPr>
              <a:solidFill>
                <a:srgbClr val="C00000"/>
              </a:solidFill>
              <a:ln>
                <a:noFill/>
              </a:ln>
              <a:effectLst/>
            </c:spPr>
            <c:extLst>
              <c:ext xmlns:c16="http://schemas.microsoft.com/office/drawing/2014/chart" uri="{C3380CC4-5D6E-409C-BE32-E72D297353CC}">
                <c16:uniqueId val="{00000023-8CC3-4E54-9960-0F980A27CEC9}"/>
              </c:ext>
            </c:extLst>
          </c:dPt>
          <c:dPt>
            <c:idx val="38"/>
            <c:invertIfNegative val="0"/>
            <c:bubble3D val="0"/>
            <c:spPr>
              <a:solidFill>
                <a:schemeClr val="bg1">
                  <a:lumMod val="50000"/>
                </a:schemeClr>
              </a:solidFill>
              <a:ln>
                <a:noFill/>
              </a:ln>
              <a:effectLst/>
            </c:spPr>
            <c:extLst>
              <c:ext xmlns:c16="http://schemas.microsoft.com/office/drawing/2014/chart" uri="{C3380CC4-5D6E-409C-BE32-E72D297353CC}">
                <c16:uniqueId val="{00000024-8CC3-4E54-9960-0F980A27CEC9}"/>
              </c:ext>
            </c:extLst>
          </c:dPt>
          <c:dLbls>
            <c:spPr>
              <a:noFill/>
              <a:ln>
                <a:noFill/>
              </a:ln>
              <a:effectLst/>
            </c:spPr>
            <c:txPr>
              <a:bodyPr rot="0" spcFirstLastPara="1" vertOverflow="ellipsis" vert="horz" wrap="square" anchor="ctr" anchorCtr="1"/>
              <a:lstStyle/>
              <a:p>
                <a:pPr>
                  <a:defRPr sz="1600" b="0" i="0" u="none" strike="noStrike" kern="1200" baseline="0">
                    <a:solidFill>
                      <a:schemeClr val="tx1">
                        <a:lumMod val="75000"/>
                        <a:lumOff val="25000"/>
                      </a:schemeClr>
                    </a:solidFill>
                    <a:latin typeface="+mn-lt"/>
                    <a:ea typeface="+mn-ea"/>
                    <a:cs typeface="+mn-cs"/>
                  </a:defRPr>
                </a:pPr>
                <a:endParaRPr lang="tr-T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'Özet Tablo'!$Y$1:$Y$19</c:f>
              <c:strCache>
                <c:ptCount val="19"/>
                <c:pt idx="0">
                  <c:v>Normal Çalışma</c:v>
                </c:pt>
                <c:pt idx="1">
                  <c:v>Fazla Çalışma (% 60)</c:v>
                </c:pt>
                <c:pt idx="2">
                  <c:v>Fazla Sürelerle Çalışma (% 25)</c:v>
                </c:pt>
                <c:pt idx="3">
                  <c:v>Resmi Tatillerde Çalışma (% 100)</c:v>
                </c:pt>
                <c:pt idx="4">
                  <c:v>Gece Çalışma (% 15)</c:v>
                </c:pt>
                <c:pt idx="5">
                  <c:v>Yemek Yardımı</c:v>
                </c:pt>
                <c:pt idx="6">
                  <c:v>Ulaşım Yardımı</c:v>
                </c:pt>
                <c:pt idx="7">
                  <c:v>İkramiye Yardımı</c:v>
                </c:pt>
                <c:pt idx="8">
                  <c:v>Sosyal Yardım</c:v>
                </c:pt>
                <c:pt idx="9">
                  <c:v>Yakacak Yardımı</c:v>
                </c:pt>
                <c:pt idx="10">
                  <c:v>Çocuk Yardımı</c:v>
                </c:pt>
                <c:pt idx="11">
                  <c:v>Nakdi Yardımlar</c:v>
                </c:pt>
                <c:pt idx="12">
                  <c:v>Sendika Üyelik Aidatı Kesintisi</c:v>
                </c:pt>
                <c:pt idx="13">
                  <c:v>BES Kesintisi</c:v>
                </c:pt>
                <c:pt idx="14">
                  <c:v>Damga Vergisi Kesintisi</c:v>
                </c:pt>
                <c:pt idx="15">
                  <c:v>SGK Prim Kesintisi</c:v>
                </c:pt>
                <c:pt idx="16">
                  <c:v>SGK İşsizlik Primi Kesintisi</c:v>
                </c:pt>
                <c:pt idx="17">
                  <c:v>Gelir Vergisi Kesintisi</c:v>
                </c:pt>
                <c:pt idx="18">
                  <c:v>İşveren Maliyeti</c:v>
                </c:pt>
              </c:strCache>
            </c:strRef>
          </c:cat>
          <c:val>
            <c:numRef>
              <c:f>'Özet Tablo'!$Z$1:$Z$19</c:f>
              <c:numCache>
                <c:formatCode>#,##0.00\ "₺"</c:formatCode>
                <c:ptCount val="19"/>
                <c:pt idx="0">
                  <c:v>459670.92786584829</c:v>
                </c:pt>
                <c:pt idx="1">
                  <c:v>0</c:v>
                </c:pt>
                <c:pt idx="2">
                  <c:v>0</c:v>
                </c:pt>
                <c:pt idx="3">
                  <c:v>0</c:v>
                </c:pt>
                <c:pt idx="4">
                  <c:v>0</c:v>
                </c:pt>
                <c:pt idx="5">
                  <c:v>54648</c:v>
                </c:pt>
                <c:pt idx="6">
                  <c:v>25440</c:v>
                </c:pt>
                <c:pt idx="7">
                  <c:v>75306.700809855392</c:v>
                </c:pt>
                <c:pt idx="8">
                  <c:v>31603.012911013</c:v>
                </c:pt>
                <c:pt idx="9">
                  <c:v>2845.0040190760783</c:v>
                </c:pt>
                <c:pt idx="10">
                  <c:v>0</c:v>
                </c:pt>
                <c:pt idx="11">
                  <c:v>0</c:v>
                </c:pt>
                <c:pt idx="12">
                  <c:v>23296.019999999997</c:v>
                </c:pt>
                <c:pt idx="13">
                  <c:v>0</c:v>
                </c:pt>
                <c:pt idx="14">
                  <c:v>4592.488650463727</c:v>
                </c:pt>
                <c:pt idx="15">
                  <c:v>131154.37558167614</c:v>
                </c:pt>
                <c:pt idx="16">
                  <c:v>9368.1696844054368</c:v>
                </c:pt>
                <c:pt idx="17">
                  <c:v>126616.42</c:v>
                </c:pt>
                <c:pt idx="18">
                  <c:v>1135568.5682332332</c:v>
                </c:pt>
              </c:numCache>
            </c:numRef>
          </c:val>
          <c:extLst>
            <c:ext xmlns:c16="http://schemas.microsoft.com/office/drawing/2014/chart" uri="{C3380CC4-5D6E-409C-BE32-E72D297353CC}">
              <c16:uniqueId val="{00000000-755B-478D-AB69-BF223AA4AC7C}"/>
            </c:ext>
          </c:extLst>
        </c:ser>
        <c:dLbls>
          <c:dLblPos val="outEnd"/>
          <c:showLegendKey val="0"/>
          <c:showVal val="1"/>
          <c:showCatName val="0"/>
          <c:showSerName val="0"/>
          <c:showPercent val="0"/>
          <c:showBubbleSize val="0"/>
        </c:dLbls>
        <c:gapWidth val="182"/>
        <c:axId val="552148752"/>
        <c:axId val="552147112"/>
      </c:barChart>
      <c:catAx>
        <c:axId val="55214875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endParaRPr lang="tr-TR"/>
          </a:p>
        </c:txPr>
        <c:crossAx val="552147112"/>
        <c:crosses val="autoZero"/>
        <c:auto val="1"/>
        <c:lblAlgn val="ctr"/>
        <c:lblOffset val="100"/>
        <c:tickMarkSkip val="1"/>
        <c:noMultiLvlLbl val="0"/>
      </c:catAx>
      <c:valAx>
        <c:axId val="552147112"/>
        <c:scaling>
          <c:orientation val="minMax"/>
        </c:scaling>
        <c:delete val="1"/>
        <c:axPos val="t"/>
        <c:numFmt formatCode="#,##0.00\ &quot;₺&quot;" sourceLinked="1"/>
        <c:majorTickMark val="out"/>
        <c:minorTickMark val="none"/>
        <c:tickLblPos val="nextTo"/>
        <c:crossAx val="5521487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lumMod val="85000"/>
      </a:schemeClr>
    </a:solidFill>
    <a:ln w="9525" cap="flat" cmpd="sng" algn="ctr">
      <a:solidFill>
        <a:schemeClr val="tx1">
          <a:lumMod val="15000"/>
          <a:lumOff val="85000"/>
        </a:schemeClr>
      </a:solidFill>
      <a:round/>
    </a:ln>
    <a:effectLst/>
  </c:spPr>
  <c:txPr>
    <a:bodyPr/>
    <a:lstStyle/>
    <a:p>
      <a:pPr>
        <a:defRPr sz="1600"/>
      </a:pPr>
      <a:endParaRPr lang="tr-T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tr-T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dPt>
            <c:idx val="0"/>
            <c:bubble3D val="0"/>
            <c:explosion val="4"/>
            <c:spPr>
              <a:solidFill>
                <a:schemeClr val="tx1"/>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1-5D9F-40F4-A256-823C9FF01F41}"/>
              </c:ext>
            </c:extLst>
          </c:dPt>
          <c:dPt>
            <c:idx val="1"/>
            <c:bubble3D val="0"/>
            <c:explosion val="5"/>
            <c:spPr>
              <a:solidFill>
                <a:srgbClr val="C00000"/>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3-5D9F-40F4-A256-823C9FF01F41}"/>
              </c:ext>
            </c:extLst>
          </c:dPt>
          <c:dLbls>
            <c:dLbl>
              <c:idx val="0"/>
              <c:layout>
                <c:manualLayout>
                  <c:x val="0"/>
                  <c:y val="-0.2727330235099843"/>
                </c:manualLayout>
              </c:layout>
              <c:tx>
                <c:rich>
                  <a:bodyPr rot="0" spcFirstLastPara="1" vertOverflow="ellipsis" vert="horz" wrap="square" lIns="0" tIns="0" rIns="0" bIns="0" anchor="ctr" anchorCtr="0">
                    <a:noAutofit/>
                  </a:bodyPr>
                  <a:lstStyle/>
                  <a:p>
                    <a:pPr lvl="1" algn="ctr" rtl="0">
                      <a:defRPr sz="2000" b="1" i="0" u="none" strike="noStrike" kern="1200" baseline="0">
                        <a:solidFill>
                          <a:sysClr val="windowText" lastClr="000000"/>
                        </a:solidFill>
                        <a:latin typeface="+mn-lt"/>
                        <a:ea typeface="+mn-ea"/>
                        <a:cs typeface="+mn-cs"/>
                      </a:defRPr>
                    </a:pPr>
                    <a:r>
                      <a:rPr lang="en-US" sz="2000" i="0" u="sng" baseline="0">
                        <a:solidFill>
                          <a:sysClr val="windowText" lastClr="000000"/>
                        </a:solidFill>
                      </a:rPr>
                      <a:t>Kazançlar</a:t>
                    </a:r>
                  </a:p>
                  <a:p>
                    <a:pPr lvl="1" algn="ctr" rtl="0">
                      <a:defRPr sz="2000" b="1" i="0" u="none" strike="noStrike" kern="1200" baseline="0">
                        <a:solidFill>
                          <a:sysClr val="windowText" lastClr="000000"/>
                        </a:solidFill>
                        <a:latin typeface="+mn-lt"/>
                        <a:ea typeface="+mn-ea"/>
                        <a:cs typeface="+mn-cs"/>
                      </a:defRPr>
                    </a:pPr>
                    <a:fld id="{18CB9E8E-A975-43C0-A56F-BEEBC923E687}" type="VALUE">
                      <a:rPr lang="en-US" sz="2000" i="0">
                        <a:solidFill>
                          <a:sysClr val="windowText" lastClr="000000"/>
                        </a:solidFill>
                      </a:rPr>
                      <a:pPr lvl="1" algn="ctr" rtl="0">
                        <a:defRPr sz="2000" b="1" i="0" u="none" strike="noStrike" kern="1200" baseline="0">
                          <a:solidFill>
                            <a:sysClr val="windowText" lastClr="000000"/>
                          </a:solidFill>
                          <a:latin typeface="+mn-lt"/>
                          <a:ea typeface="+mn-ea"/>
                          <a:cs typeface="+mn-cs"/>
                        </a:defRPr>
                      </a:pPr>
                      <a:t>[DEĞER]</a:t>
                    </a:fld>
                    <a:endParaRPr lang="en-US" sz="2000" i="0" baseline="0">
                      <a:solidFill>
                        <a:sysClr val="windowText" lastClr="000000"/>
                      </a:solidFill>
                    </a:endParaRPr>
                  </a:p>
                  <a:p>
                    <a:pPr lvl="1" algn="ctr" rtl="0">
                      <a:defRPr sz="2000" b="1" i="0" u="none" strike="noStrike" kern="1200" baseline="0">
                        <a:solidFill>
                          <a:sysClr val="windowText" lastClr="000000"/>
                        </a:solidFill>
                        <a:latin typeface="+mn-lt"/>
                        <a:ea typeface="+mn-ea"/>
                        <a:cs typeface="+mn-cs"/>
                      </a:defRPr>
                    </a:pPr>
                    <a:fld id="{ED1D6583-AC77-4CB8-8AE1-8BB6A6F10BE5}" type="PERCENTAGE">
                      <a:rPr lang="en-US" sz="2000" i="0">
                        <a:solidFill>
                          <a:sysClr val="windowText" lastClr="000000"/>
                        </a:solidFill>
                      </a:rPr>
                      <a:pPr lvl="1" algn="ctr" rtl="0">
                        <a:defRPr sz="2000" b="1" i="0" u="none" strike="noStrike" kern="1200" baseline="0">
                          <a:solidFill>
                            <a:sysClr val="windowText" lastClr="000000"/>
                          </a:solidFill>
                          <a:latin typeface="+mn-lt"/>
                          <a:ea typeface="+mn-ea"/>
                          <a:cs typeface="+mn-cs"/>
                        </a:defRPr>
                      </a:pPr>
                      <a:t>[YÜZDE]</a:t>
                    </a:fld>
                    <a:endParaRPr lang="tr-TR"/>
                  </a:p>
                </c:rich>
              </c:tx>
              <c:numFmt formatCode="%\ 0.00" sourceLinked="0"/>
              <c:spPr>
                <a:noFill/>
                <a:ln>
                  <a:noFill/>
                </a:ln>
                <a:effectLst/>
              </c:spPr>
              <c:dLblPos val="bestFit"/>
              <c:showLegendKey val="0"/>
              <c:showVal val="0"/>
              <c:showCatName val="0"/>
              <c:showSerName val="0"/>
              <c:showPercent val="1"/>
              <c:showBubbleSize val="0"/>
              <c:separator>
</c:separator>
              <c:extLst>
                <c:ext xmlns:c15="http://schemas.microsoft.com/office/drawing/2012/chart" uri="{CE6537A1-D6FC-4f65-9D91-7224C49458BB}">
                  <c15:spPr xmlns:c15="http://schemas.microsoft.com/office/drawing/2012/chart">
                    <a:prstGeom prst="rect">
                      <a:avLst/>
                    </a:prstGeom>
                  </c15:spPr>
                  <c15:layout>
                    <c:manualLayout>
                      <c:w val="1"/>
                      <c:h val="0.2"/>
                    </c:manualLayout>
                  </c15:layout>
                  <c15:dlblFieldTable/>
                  <c15:showDataLabelsRange val="0"/>
                </c:ext>
                <c:ext xmlns:c16="http://schemas.microsoft.com/office/drawing/2014/chart" uri="{C3380CC4-5D6E-409C-BE32-E72D297353CC}">
                  <c16:uniqueId val="{00000001-5D9F-40F4-A256-823C9FF01F41}"/>
                </c:ext>
              </c:extLst>
            </c:dLbl>
            <c:dLbl>
              <c:idx val="1"/>
              <c:layout>
                <c:manualLayout>
                  <c:x val="0"/>
                  <c:y val="0.28660887761598208"/>
                </c:manualLayout>
              </c:layout>
              <c:tx>
                <c:rich>
                  <a:bodyPr rot="0" spcFirstLastPara="1" vertOverflow="ellipsis" vert="horz" wrap="square" lIns="0" tIns="0" rIns="0" bIns="0" anchor="t" anchorCtr="0">
                    <a:noAutofit/>
                  </a:bodyPr>
                  <a:lstStyle/>
                  <a:p>
                    <a:pPr lvl="1" algn="ctr" rtl="0">
                      <a:defRPr sz="2000" b="1" i="0" u="none" strike="noStrike" kern="1200" baseline="0">
                        <a:solidFill>
                          <a:srgbClr val="C00000"/>
                        </a:solidFill>
                        <a:latin typeface="+mn-lt"/>
                        <a:ea typeface="+mn-ea"/>
                        <a:cs typeface="+mn-cs"/>
                      </a:defRPr>
                    </a:pPr>
                    <a:r>
                      <a:rPr lang="en-US" sz="2000" b="1" i="0" u="sng" strike="noStrike" baseline="0">
                        <a:solidFill>
                          <a:srgbClr val="C00000"/>
                        </a:solidFill>
                      </a:rPr>
                      <a:t>Kesintiler</a:t>
                    </a:r>
                    <a:br>
                      <a:rPr lang="en-US" sz="2000" b="1" i="0" u="none" strike="noStrike" baseline="0">
                        <a:solidFill>
                          <a:srgbClr val="C00000"/>
                        </a:solidFill>
                      </a:rPr>
                    </a:br>
                    <a:fld id="{D48269F3-90DB-4B96-9E27-A88140910F88}" type="VALUE">
                      <a:rPr lang="en-US" sz="2000">
                        <a:solidFill>
                          <a:srgbClr val="C00000"/>
                        </a:solidFill>
                      </a:rPr>
                      <a:pPr lvl="1" algn="ctr" rtl="0">
                        <a:defRPr sz="2000" b="1" i="0" u="none" strike="noStrike" kern="1200" baseline="0">
                          <a:solidFill>
                            <a:srgbClr val="C00000"/>
                          </a:solidFill>
                          <a:latin typeface="+mn-lt"/>
                          <a:ea typeface="+mn-ea"/>
                          <a:cs typeface="+mn-cs"/>
                        </a:defRPr>
                      </a:pPr>
                      <a:t>[DEĞER]</a:t>
                    </a:fld>
                    <a:endParaRPr lang="en-US" sz="2000" baseline="0">
                      <a:solidFill>
                        <a:srgbClr val="C00000"/>
                      </a:solidFill>
                    </a:endParaRPr>
                  </a:p>
                  <a:p>
                    <a:pPr lvl="1" algn="ctr" rtl="0">
                      <a:defRPr sz="2000" b="1" i="0" u="none" strike="noStrike" kern="1200" baseline="0">
                        <a:solidFill>
                          <a:srgbClr val="C00000"/>
                        </a:solidFill>
                        <a:latin typeface="+mn-lt"/>
                        <a:ea typeface="+mn-ea"/>
                        <a:cs typeface="+mn-cs"/>
                      </a:defRPr>
                    </a:pPr>
                    <a:fld id="{C4F91586-97B1-4B5B-B426-9B699746C01D}" type="PERCENTAGE">
                      <a:rPr lang="en-US" sz="2000">
                        <a:solidFill>
                          <a:srgbClr val="C00000"/>
                        </a:solidFill>
                      </a:rPr>
                      <a:pPr lvl="1" algn="ctr" rtl="0">
                        <a:defRPr sz="2000" b="1" i="0" u="none" strike="noStrike" kern="1200" baseline="0">
                          <a:solidFill>
                            <a:srgbClr val="C00000"/>
                          </a:solidFill>
                          <a:latin typeface="+mn-lt"/>
                          <a:ea typeface="+mn-ea"/>
                          <a:cs typeface="+mn-cs"/>
                        </a:defRPr>
                      </a:pPr>
                      <a:t>[YÜZDE]</a:t>
                    </a:fld>
                    <a:endParaRPr lang="tr-TR"/>
                  </a:p>
                </c:rich>
              </c:tx>
              <c:numFmt formatCode="%\ 0.00" sourceLinked="0"/>
              <c:spPr>
                <a:noFill/>
                <a:ln>
                  <a:noFill/>
                </a:ln>
                <a:effectLst/>
              </c:spPr>
              <c:dLblPos val="bestFit"/>
              <c:showLegendKey val="0"/>
              <c:showVal val="0"/>
              <c:showCatName val="0"/>
              <c:showSerName val="0"/>
              <c:showPercent val="1"/>
              <c:showBubbleSize val="0"/>
              <c:separator>
</c:separator>
              <c:extLst>
                <c:ext xmlns:c15="http://schemas.microsoft.com/office/drawing/2012/chart" uri="{CE6537A1-D6FC-4f65-9D91-7224C49458BB}">
                  <c15:spPr xmlns:c15="http://schemas.microsoft.com/office/drawing/2012/chart">
                    <a:prstGeom prst="rect">
                      <a:avLst/>
                    </a:prstGeom>
                  </c15:spPr>
                  <c15:layout>
                    <c:manualLayout>
                      <c:w val="1"/>
                      <c:h val="0.18251962962962964"/>
                    </c:manualLayout>
                  </c15:layout>
                  <c15:dlblFieldTable/>
                  <c15:showDataLabelsRange val="0"/>
                </c:ext>
                <c:ext xmlns:c16="http://schemas.microsoft.com/office/drawing/2014/chart" uri="{C3380CC4-5D6E-409C-BE32-E72D297353CC}">
                  <c16:uniqueId val="{00000003-5D9F-40F4-A256-823C9FF01F41}"/>
                </c:ext>
              </c:extLst>
            </c:dLbl>
            <c:numFmt formatCode="%\ 0.00" sourceLinked="0"/>
            <c:spPr>
              <a:noFill/>
              <a:ln>
                <a:noFill/>
              </a:ln>
              <a:effectLst/>
            </c:spPr>
            <c:txPr>
              <a:bodyPr rot="0" spcFirstLastPara="1" vertOverflow="ellipsis" vert="horz" wrap="square" lIns="0" tIns="0" rIns="0" bIns="0" anchor="ctr" anchorCtr="0">
                <a:spAutoFit/>
              </a:bodyPr>
              <a:lstStyle/>
              <a:p>
                <a:pPr algn="ctr">
                  <a:defRPr sz="1300" b="1" i="0" u="none" strike="noStrike" kern="1200" baseline="0">
                    <a:solidFill>
                      <a:schemeClr val="lt1"/>
                    </a:solidFill>
                    <a:latin typeface="+mn-lt"/>
                    <a:ea typeface="+mn-ea"/>
                    <a:cs typeface="+mn-cs"/>
                  </a:defRPr>
                </a:pPr>
                <a:endParaRPr lang="tr-TR"/>
              </a:p>
            </c:txPr>
            <c:dLblPos val="ctr"/>
            <c:showLegendKey val="0"/>
            <c:showVal val="0"/>
            <c:showCatName val="0"/>
            <c:showSerName val="0"/>
            <c:showPercent val="1"/>
            <c:showBubbleSize val="0"/>
            <c:separator>
</c:separator>
            <c:showLeaderLines val="0"/>
            <c:extLst>
              <c:ext xmlns:c15="http://schemas.microsoft.com/office/drawing/2012/chart" uri="{CE6537A1-D6FC-4f65-9D91-7224C49458BB}"/>
            </c:extLst>
          </c:dLbls>
          <c:cat>
            <c:strRef>
              <c:f>'Özet Tablo'!$Y$20:$Y$21</c:f>
              <c:strCache>
                <c:ptCount val="2"/>
                <c:pt idx="0">
                  <c:v>Kazançlar</c:v>
                </c:pt>
                <c:pt idx="1">
                  <c:v>Kesintiler</c:v>
                </c:pt>
              </c:strCache>
            </c:strRef>
          </c:cat>
          <c:val>
            <c:numRef>
              <c:f>'Özet Tablo'!$Z$20:$Z$21</c:f>
              <c:numCache>
                <c:formatCode>#,##0.00\ "₺"</c:formatCode>
                <c:ptCount val="2"/>
                <c:pt idx="0">
                  <c:v>679709.49452399835</c:v>
                </c:pt>
                <c:pt idx="1">
                  <c:v>295027.47391654528</c:v>
                </c:pt>
              </c:numCache>
            </c:numRef>
          </c:val>
          <c:extLst>
            <c:ext xmlns:c16="http://schemas.microsoft.com/office/drawing/2014/chart" uri="{C3380CC4-5D6E-409C-BE32-E72D297353CC}">
              <c16:uniqueId val="{00000004-5D9F-40F4-A256-823C9FF01F41}"/>
            </c:ext>
          </c:extLst>
        </c:ser>
        <c:dLbls>
          <c:dLblPos val="inEnd"/>
          <c:showLegendKey val="0"/>
          <c:showVal val="1"/>
          <c:showCatName val="1"/>
          <c:showSerName val="0"/>
          <c:showPercent val="0"/>
          <c:showBubbleSize val="0"/>
          <c:showLeaderLines val="0"/>
        </c:dLbls>
        <c:firstSliceAng val="27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lumMod val="85000"/>
      </a:schemeClr>
    </a:solidFill>
    <a:ln w="9525" cap="flat" cmpd="sng" algn="ctr">
      <a:noFill/>
      <a:round/>
    </a:ln>
    <a:effectLst/>
  </c:spPr>
  <c:txPr>
    <a:bodyPr/>
    <a:lstStyle/>
    <a:p>
      <a:pPr>
        <a:defRPr/>
      </a:pPr>
      <a:endParaRPr lang="tr-T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18</xdr:col>
      <xdr:colOff>53463</xdr:colOff>
      <xdr:row>0</xdr:row>
      <xdr:rowOff>70921</xdr:rowOff>
    </xdr:from>
    <xdr:to>
      <xdr:col>18</xdr:col>
      <xdr:colOff>7290954</xdr:colOff>
      <xdr:row>27</xdr:row>
      <xdr:rowOff>398319</xdr:rowOff>
    </xdr:to>
    <xdr:graphicFrame macro="">
      <xdr:nvGraphicFramePr>
        <xdr:cNvPr id="7" name="Grafik 6">
          <a:extLst>
            <a:ext uri="{FF2B5EF4-FFF2-40B4-BE49-F238E27FC236}">
              <a16:creationId xmlns:a16="http://schemas.microsoft.com/office/drawing/2014/main" id="{80F8C963-D5D5-4BCD-8610-182E47B88E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18</xdr:col>
      <xdr:colOff>4966692</xdr:colOff>
      <xdr:row>8</xdr:row>
      <xdr:rowOff>125886</xdr:rowOff>
    </xdr:from>
    <xdr:to>
      <xdr:col>18</xdr:col>
      <xdr:colOff>7306692</xdr:colOff>
      <xdr:row>19</xdr:row>
      <xdr:rowOff>5969</xdr:rowOff>
    </xdr:to>
    <xdr:graphicFrame macro="">
      <xdr:nvGraphicFramePr>
        <xdr:cNvPr id="3" name="Grafik 2">
          <a:extLst>
            <a:ext uri="{FF2B5EF4-FFF2-40B4-BE49-F238E27FC236}">
              <a16:creationId xmlns:a16="http://schemas.microsoft.com/office/drawing/2014/main" id="{7ADA3213-C9FB-42E9-8CD0-901898DBDF8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PrintsWithSheet="0"/>
  </xdr:twoCellAnchor>
</xdr:wsDr>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autoPageBreaks="0"/>
  </sheetPr>
  <dimension ref="A1:BS362"/>
  <sheetViews>
    <sheetView tabSelected="1" showWhiteSpace="0" zoomScale="55" zoomScaleNormal="55" zoomScaleSheetLayoutView="40" zoomScalePageLayoutView="55" workbookViewId="0">
      <pane xSplit="2" topLeftCell="C1" activePane="topRight" state="frozen"/>
      <selection pane="topRight" sqref="A1:A14"/>
    </sheetView>
  </sheetViews>
  <sheetFormatPr defaultColWidth="0" defaultRowHeight="39.950000000000003" customHeight="1" zeroHeight="1" x14ac:dyDescent="0.25"/>
  <cols>
    <col min="1" max="14" width="12.7109375" style="1" customWidth="1"/>
    <col min="15" max="17" width="25.7109375" style="1" customWidth="1"/>
    <col min="18" max="18" width="12.7109375" style="1" customWidth="1"/>
    <col min="19" max="19" width="110.7109375" style="1" customWidth="1"/>
    <col min="20" max="20" width="12.7109375" style="1" customWidth="1"/>
    <col min="21" max="21" width="5.7109375" style="1" customWidth="1"/>
    <col min="22" max="22" width="80.7109375" style="1" customWidth="1"/>
    <col min="23" max="23" width="5.7109375" style="1" customWidth="1"/>
    <col min="24" max="24" width="1.7109375" style="78" customWidth="1"/>
    <col min="25" max="27" width="0.140625" style="21" customWidth="1"/>
    <col min="28" max="70" width="25.7109375" style="21" hidden="1"/>
    <col min="71" max="71" width="25.7109375" style="82" hidden="1"/>
    <col min="72" max="16384" width="20.7109375" style="82" hidden="1"/>
  </cols>
  <sheetData>
    <row r="1" spans="1:70" ht="39.950000000000003" customHeight="1" x14ac:dyDescent="0.25">
      <c r="A1" s="64" t="s">
        <v>72</v>
      </c>
      <c r="B1" s="65">
        <f>COUNTIF($A$1,"Temizlik Sorumlusu")*($AD$1)
+COUNTIF($A$1,"Temizlik Görevlisi")*($AD$2)</f>
        <v>2115.17</v>
      </c>
      <c r="C1" s="51" t="s">
        <v>80</v>
      </c>
      <c r="D1" s="51" t="s">
        <v>83</v>
      </c>
      <c r="E1" s="51" t="s">
        <v>84</v>
      </c>
      <c r="F1" s="52" t="s">
        <v>88</v>
      </c>
      <c r="G1" s="51" t="s">
        <v>89</v>
      </c>
      <c r="H1" s="51" t="s">
        <v>48</v>
      </c>
      <c r="I1" s="51" t="s">
        <v>49</v>
      </c>
      <c r="J1" s="51" t="s">
        <v>65</v>
      </c>
      <c r="K1" s="55" t="s">
        <v>50</v>
      </c>
      <c r="L1" s="56"/>
      <c r="M1" s="57"/>
      <c r="N1" s="51" t="s">
        <v>79</v>
      </c>
      <c r="O1" s="51" t="s">
        <v>68</v>
      </c>
      <c r="P1" s="51" t="s">
        <v>91</v>
      </c>
      <c r="Q1" s="50" t="s">
        <v>61</v>
      </c>
      <c r="R1" s="73" t="s">
        <v>47</v>
      </c>
      <c r="S1" s="77"/>
      <c r="T1" s="67" t="s">
        <v>37</v>
      </c>
      <c r="U1" s="70"/>
      <c r="V1" s="71"/>
      <c r="W1" s="72"/>
      <c r="X1" s="79"/>
      <c r="Y1" s="18" t="s">
        <v>28</v>
      </c>
      <c r="Z1" s="19">
        <f t="shared" ref="Z1" ca="1" si="0">IF(AA1&gt;0,AA1,AA1*-1)</f>
        <v>459670.92786584829</v>
      </c>
      <c r="AA1" s="19">
        <f ca="1">COUNTIF(R1,"Ocak")*(AI29)
+COUNTIF(R1,"Şubat")*(AI30)
+COUNTIF(R1,"Mart")*(AI31)
+COUNTIF(R1,"Nisan")*(AI32)
+COUNTIF(R1,"Mayıs")*(AI33)
+COUNTIF(R1,"Haziran")*(AI34)
+COUNTIF(R1,"Temmuz")*(AI35)
+COUNTIF(R1,"Ağustos")*(AI36)
+COUNTIF(R1,"Eylül")*(AI37)
+COUNTIF(R1,"Ekim")*(AI38)
+COUNTIF(R1,"Kasım")*(AI39)
+COUNTIF(R1,"Aralık")*(AI40)
+COUNTIF(R1,"Yıllık Toplam")*(AI41)
+COUNTIF(R1,"Yıllık Ortalama")*(AI42)</f>
        <v>459670.92786584829</v>
      </c>
      <c r="AB1" s="20" t="s">
        <v>71</v>
      </c>
      <c r="AC1" s="19">
        <v>1908.91</v>
      </c>
      <c r="AD1" s="19">
        <v>2284.39</v>
      </c>
      <c r="AF1" s="22">
        <f t="shared" ref="AF1:AF12" si="1">(AO15/7.5*1.6*D15)</f>
        <v>0</v>
      </c>
      <c r="AG1" s="22">
        <f t="shared" ref="AG1:AG12" ca="1" si="2">(AF1*BO45)</f>
        <v>0</v>
      </c>
      <c r="AH1" s="22">
        <f t="shared" ref="AH1:AH12" si="3">(AO15/7.5*1.6*E15)</f>
        <v>0</v>
      </c>
      <c r="AI1" s="22">
        <f t="shared" ref="AI1:AI12" ca="1" si="4">(AH1*BO45)</f>
        <v>0</v>
      </c>
      <c r="AJ1" s="22">
        <f t="shared" ref="AJ1:AJ12" si="5">(AO15*2*F15)</f>
        <v>0</v>
      </c>
      <c r="AK1" s="22">
        <f t="shared" ref="AK1:AK12" ca="1" si="6">(AL1+AO1+AN29+AO29+AQ1)</f>
        <v>4554</v>
      </c>
      <c r="AL1" s="22">
        <f t="shared" ref="AL1:AL12" si="7">(AI15)</f>
        <v>4800</v>
      </c>
      <c r="AM1" s="22">
        <f t="shared" ref="AM1:AM12" si="8">(AI15)</f>
        <v>4800</v>
      </c>
      <c r="AN1" s="22">
        <f>(AL1-AM1)</f>
        <v>0</v>
      </c>
      <c r="AO1" s="22">
        <f>(AN1*0.00759*-1)</f>
        <v>0</v>
      </c>
      <c r="AP1" s="22">
        <f t="shared" ref="AP1:AP12" si="9">IF(AP29-AQ29&lt;=0,0,AP29-AQ29)</f>
        <v>0</v>
      </c>
      <c r="AQ1" s="22">
        <f t="shared" ref="AQ1:AQ12" ca="1" si="10">IF(AP1*BJ45*-1&gt;=0,0,AP1*BJ45*-1)</f>
        <v>0</v>
      </c>
      <c r="AR1" s="23">
        <v>30</v>
      </c>
      <c r="AS1" s="22">
        <f>(3696.72/30*AR1)</f>
        <v>3696.72</v>
      </c>
      <c r="AT1" s="22">
        <f t="shared" ref="AT1:AT12" ca="1" si="11">(AS1*BO45)</f>
        <v>2642.8220952000001</v>
      </c>
      <c r="AU1" s="23">
        <v>30</v>
      </c>
      <c r="AV1" s="22">
        <f>(277.25/30*AU1)</f>
        <v>277.25</v>
      </c>
      <c r="AW1" s="22">
        <f t="shared" ref="AW1:AW12" ca="1" si="12">AV1-(AV1*0.00759)-((AV1-AX1)*0.14)-((AV1-AX1)*0.01)-((AV1-(AV1-AX1)*0.14-(AV1-AX1)*0.01)-AY1)*BJ45</f>
        <v>239.79629749999998</v>
      </c>
      <c r="AX1" s="22">
        <f>(0)</f>
        <v>0</v>
      </c>
      <c r="AY1" s="22">
        <f t="shared" ref="AY1:AY6" si="13">IF(AV1&lt;=$AD$13,AV1,$AD$13)</f>
        <v>277.25</v>
      </c>
      <c r="AZ1" s="22">
        <f t="shared" ref="AZ1:BA6" si="14">($AD$9)</f>
        <v>26005.5</v>
      </c>
      <c r="BA1" s="22">
        <f t="shared" si="14"/>
        <v>26005.5</v>
      </c>
      <c r="BB1" s="22">
        <f t="shared" ref="BB1:BB12" si="15">(AZ1-BA1)</f>
        <v>0</v>
      </c>
      <c r="BC1" s="22">
        <f>(BB1*0.00759*-1)</f>
        <v>0</v>
      </c>
      <c r="BD1" s="22">
        <f>(AZ1*0.00759)</f>
        <v>197.38174500000002</v>
      </c>
      <c r="BE1" s="22">
        <f>(AZ1)</f>
        <v>26005.5</v>
      </c>
    </row>
    <row r="2" spans="1:70" ht="39.950000000000003" customHeight="1" x14ac:dyDescent="0.25">
      <c r="A2" s="64"/>
      <c r="B2" s="65"/>
      <c r="C2" s="51"/>
      <c r="D2" s="51"/>
      <c r="E2" s="51"/>
      <c r="F2" s="53"/>
      <c r="G2" s="51"/>
      <c r="H2" s="51"/>
      <c r="I2" s="51"/>
      <c r="J2" s="51"/>
      <c r="K2" s="58"/>
      <c r="L2" s="59"/>
      <c r="M2" s="60"/>
      <c r="N2" s="51"/>
      <c r="O2" s="51"/>
      <c r="P2" s="51"/>
      <c r="Q2" s="50"/>
      <c r="R2" s="73"/>
      <c r="S2" s="77"/>
      <c r="T2" s="67"/>
      <c r="U2" s="66"/>
      <c r="V2" s="69" t="str">
        <f>IF($T$1="Analık Hâli İzni",$AA$22,
IF($T$1="Annelik İzni",$AA$23,
IF($T$1="Babalık İzni",$AA$24,
IF($T$1="Cenaze İzni",$AA$25,
IF($T$1="Doğal Afet İzni",$AA$26,
IF($T$1="Engelli Çocuk İzni",$AA$27,
IF($T$1="Evlat Edinme İzni",$AA$28,
IF($T$1="Evlilik İzni",$AA$29,
IF($T$1="İş Arama İzni",$AA$30,
IF($T$1="Mazeret İzni",$AA$31,
IF($T$1="Süt İzni",$AA$32,
IF($T$1="Ücretli Sendikal İzin ve Sendika Temsilci Sayısı",$AA$33,
IF($T$1="Ücretli Yıllık İzin",$AA$34,
IF($T$1="Yol İzni",$AA$35))))))))))))))</f>
        <v>a) Hizmeti 6 ay olanlar için 0 iş günü ücretli yıllık izin verilir.
Hizmeti 1-5 yıl olanlar için 18 iş günü ücretli yıllık izin verilir.
Hizmeti 5-10 yıl olanlar için 23 iş günü ücretli yıllık izin verilir.
Hizmeti 10-15 yıl olanlar için 23 iş günü ücretli yıllık izin verilir.
Hizmeti 15 yıldan fazla olanlar için 28 iş günü ücretli yıllık izin verilir.</v>
      </c>
      <c r="W2" s="68"/>
      <c r="X2" s="80"/>
      <c r="Y2" s="18" t="s">
        <v>85</v>
      </c>
      <c r="Z2" s="19">
        <f t="shared" ref="Z2" ca="1" si="16">IF(AA2&gt;0,AA2,AA2*-1)</f>
        <v>0</v>
      </c>
      <c r="AA2" s="19">
        <f ca="1">COUNTIF(R1,"Ocak")*(AG1)
+COUNTIF(R1,"Şubat")*(AG2)
+COUNTIF(R1,"Mart")*(AG3)
+COUNTIF(R1,"Nisan")*(AG4)
+COUNTIF(R1,"Mayıs")*(AG5)
+COUNTIF(R1,"Haziran")*(AG6)
+COUNTIF(R1,"Temmuz")*(AG7)
+COUNTIF(R1,"Ağustos")*(AG8)
+COUNTIF(R1,"Eylül")*(AG9)
+COUNTIF(R1,"Ekim")*(AG10)
+COUNTIF(R1,"Kasım")*(AG11)
+COUNTIF(R1,"Aralık")*(AG12)
+COUNTIF(R1,"Yıllık Toplam")*(AG13)
+COUNTIF(R1,"Yıllık Ortalama")*(AG14)</f>
        <v>0</v>
      </c>
      <c r="AB2" s="20" t="s">
        <v>72</v>
      </c>
      <c r="AC2" s="19">
        <v>1767.5</v>
      </c>
      <c r="AD2" s="19">
        <v>2115.17</v>
      </c>
      <c r="AF2" s="22">
        <f t="shared" si="1"/>
        <v>0</v>
      </c>
      <c r="AG2" s="22">
        <f t="shared" ca="1" si="2"/>
        <v>0</v>
      </c>
      <c r="AH2" s="22">
        <f t="shared" si="3"/>
        <v>0</v>
      </c>
      <c r="AI2" s="22">
        <f t="shared" ca="1" si="4"/>
        <v>0</v>
      </c>
      <c r="AJ2" s="22">
        <f t="shared" si="5"/>
        <v>0</v>
      </c>
      <c r="AK2" s="22">
        <f t="shared" ca="1" si="6"/>
        <v>4554</v>
      </c>
      <c r="AL2" s="22">
        <f t="shared" si="7"/>
        <v>4800</v>
      </c>
      <c r="AM2" s="22">
        <f t="shared" si="8"/>
        <v>4800</v>
      </c>
      <c r="AN2" s="22">
        <f t="shared" ref="AN2:AN12" si="17">(AL2-AM2)</f>
        <v>0</v>
      </c>
      <c r="AO2" s="22">
        <f t="shared" ref="AO2:AO12" si="18">(AN2*0.00759*-1)</f>
        <v>0</v>
      </c>
      <c r="AP2" s="22">
        <f t="shared" si="9"/>
        <v>0</v>
      </c>
      <c r="AQ2" s="22">
        <f t="shared" ca="1" si="10"/>
        <v>0</v>
      </c>
      <c r="AR2" s="23">
        <v>30</v>
      </c>
      <c r="AS2" s="22">
        <f t="shared" ref="AS2:AS6" si="19">(3696.72/30*AR2)</f>
        <v>3696.72</v>
      </c>
      <c r="AT2" s="22">
        <f t="shared" ca="1" si="11"/>
        <v>2642.8220952000001</v>
      </c>
      <c r="AU2" s="23">
        <v>30</v>
      </c>
      <c r="AV2" s="22">
        <f t="shared" ref="AV2:AV6" si="20">(277.25/30*AU2)</f>
        <v>277.25</v>
      </c>
      <c r="AW2" s="22">
        <f t="shared" ca="1" si="12"/>
        <v>239.79629749999998</v>
      </c>
      <c r="AX2" s="22">
        <f>(0)</f>
        <v>0</v>
      </c>
      <c r="AY2" s="22">
        <f t="shared" si="13"/>
        <v>277.25</v>
      </c>
      <c r="AZ2" s="22">
        <f t="shared" si="14"/>
        <v>26005.5</v>
      </c>
      <c r="BA2" s="22">
        <f t="shared" si="14"/>
        <v>26005.5</v>
      </c>
      <c r="BB2" s="22">
        <f t="shared" si="15"/>
        <v>0</v>
      </c>
      <c r="BC2" s="22">
        <f t="shared" ref="BC2:BC12" si="21">(BB2*0.00759*-1)</f>
        <v>0</v>
      </c>
      <c r="BD2" s="22">
        <f t="shared" ref="BD2:BD12" si="22">(AZ2*0.00759)</f>
        <v>197.38174500000002</v>
      </c>
      <c r="BE2" s="22">
        <f t="shared" ref="BE2:BE12" si="23">(AZ2)</f>
        <v>26005.5</v>
      </c>
      <c r="BP2" s="21">
        <v>0</v>
      </c>
      <c r="BQ2" s="24">
        <v>0</v>
      </c>
      <c r="BR2" s="25">
        <v>0</v>
      </c>
    </row>
    <row r="3" spans="1:70" ht="39.950000000000003" customHeight="1" x14ac:dyDescent="0.25">
      <c r="A3" s="64"/>
      <c r="B3" s="65"/>
      <c r="C3" s="51"/>
      <c r="D3" s="51"/>
      <c r="E3" s="51"/>
      <c r="F3" s="53"/>
      <c r="G3" s="51"/>
      <c r="H3" s="51"/>
      <c r="I3" s="51"/>
      <c r="J3" s="51"/>
      <c r="K3" s="58"/>
      <c r="L3" s="59"/>
      <c r="M3" s="60"/>
      <c r="N3" s="51"/>
      <c r="O3" s="51"/>
      <c r="P3" s="51"/>
      <c r="Q3" s="50"/>
      <c r="R3" s="73"/>
      <c r="S3" s="77"/>
      <c r="T3" s="67"/>
      <c r="U3" s="66"/>
      <c r="V3" s="69"/>
      <c r="W3" s="68"/>
      <c r="X3" s="80"/>
      <c r="Y3" s="18" t="s">
        <v>86</v>
      </c>
      <c r="Z3" s="19">
        <f t="shared" ref="Z3" ca="1" si="24">IF(AA3&gt;0,AA3,AA3*-1)</f>
        <v>0</v>
      </c>
      <c r="AA3" s="19">
        <f ca="1">COUNTIF(R1,"Ocak")*(AI1)
+COUNTIF(R1,"Şubat")*(AI2)
+COUNTIF(R1,"Mart")*(AI3)
+COUNTIF(R1,"Nisan")*(AI4)
+COUNTIF(R1,"Mayıs")*(AI5)
+COUNTIF(R1,"Haziran")*(AI6)
+COUNTIF(R1,"Temmuz")*(AI7)
+COUNTIF(R1,"Ağustos")*(AI8)
+COUNTIF(R1,"Eylül")*(AI9)
+COUNTIF(R1,"Ekim")*(AI10)
+COUNTIF(R1,"Kasım")*(AI11)
+COUNTIF(R1,"Aralık")*(AI12)
+COUNTIF(R1,"Yıllık Toplam")*(AI13)
+COUNTIF(R1,"Yıllık Ortalama")*(AI14)</f>
        <v>0</v>
      </c>
      <c r="AB3" s="26">
        <f>(10%)</f>
        <v>0.1</v>
      </c>
      <c r="AC3" s="21" t="s">
        <v>0</v>
      </c>
      <c r="AD3" s="22">
        <f>($AD$9*$AB$3)</f>
        <v>2600.5500000000002</v>
      </c>
      <c r="AE3" s="22">
        <f>($AE$9*$AB$3)</f>
        <v>2600.5500000000002</v>
      </c>
      <c r="AF3" s="22">
        <f t="shared" si="1"/>
        <v>0</v>
      </c>
      <c r="AG3" s="22">
        <f t="shared" ca="1" si="2"/>
        <v>0</v>
      </c>
      <c r="AH3" s="22">
        <f t="shared" si="3"/>
        <v>0</v>
      </c>
      <c r="AI3" s="22">
        <f t="shared" ca="1" si="4"/>
        <v>0</v>
      </c>
      <c r="AJ3" s="22">
        <f t="shared" si="5"/>
        <v>0</v>
      </c>
      <c r="AK3" s="22">
        <f t="shared" ca="1" si="6"/>
        <v>4554</v>
      </c>
      <c r="AL3" s="22">
        <f t="shared" si="7"/>
        <v>4800</v>
      </c>
      <c r="AM3" s="22">
        <f t="shared" si="8"/>
        <v>4800</v>
      </c>
      <c r="AN3" s="22">
        <f t="shared" si="17"/>
        <v>0</v>
      </c>
      <c r="AO3" s="22">
        <f t="shared" si="18"/>
        <v>0</v>
      </c>
      <c r="AP3" s="22">
        <f t="shared" si="9"/>
        <v>0</v>
      </c>
      <c r="AQ3" s="22">
        <f t="shared" ca="1" si="10"/>
        <v>0</v>
      </c>
      <c r="AR3" s="23">
        <v>30</v>
      </c>
      <c r="AS3" s="22">
        <f t="shared" si="19"/>
        <v>3696.72</v>
      </c>
      <c r="AT3" s="22">
        <f t="shared" ca="1" si="11"/>
        <v>2619.9386733565862</v>
      </c>
      <c r="AU3" s="23">
        <v>30</v>
      </c>
      <c r="AV3" s="22">
        <f t="shared" si="20"/>
        <v>277.25</v>
      </c>
      <c r="AW3" s="22">
        <f t="shared" ca="1" si="12"/>
        <v>240.09916194896556</v>
      </c>
      <c r="AX3" s="22">
        <f>(0)</f>
        <v>0</v>
      </c>
      <c r="AY3" s="22">
        <f t="shared" si="13"/>
        <v>277.25</v>
      </c>
      <c r="AZ3" s="22">
        <f t="shared" si="14"/>
        <v>26005.5</v>
      </c>
      <c r="BA3" s="22">
        <f t="shared" si="14"/>
        <v>26005.5</v>
      </c>
      <c r="BB3" s="22">
        <f t="shared" si="15"/>
        <v>0</v>
      </c>
      <c r="BC3" s="22">
        <f t="shared" si="21"/>
        <v>0</v>
      </c>
      <c r="BD3" s="22">
        <f t="shared" si="22"/>
        <v>197.38174500000002</v>
      </c>
      <c r="BE3" s="22">
        <f t="shared" si="23"/>
        <v>26005.5</v>
      </c>
      <c r="BP3" s="21">
        <v>1</v>
      </c>
      <c r="BQ3" s="24">
        <v>0.5</v>
      </c>
      <c r="BR3" s="25">
        <v>0.03</v>
      </c>
    </row>
    <row r="4" spans="1:70" ht="39.950000000000003" customHeight="1" x14ac:dyDescent="0.25">
      <c r="A4" s="64"/>
      <c r="B4" s="65"/>
      <c r="C4" s="51"/>
      <c r="D4" s="51"/>
      <c r="E4" s="51"/>
      <c r="F4" s="53"/>
      <c r="G4" s="51"/>
      <c r="H4" s="51"/>
      <c r="I4" s="51"/>
      <c r="J4" s="51"/>
      <c r="K4" s="58"/>
      <c r="L4" s="59"/>
      <c r="M4" s="60"/>
      <c r="N4" s="51"/>
      <c r="O4" s="51"/>
      <c r="P4" s="51"/>
      <c r="Q4" s="50"/>
      <c r="R4" s="73"/>
      <c r="S4" s="77"/>
      <c r="T4" s="67"/>
      <c r="U4" s="66"/>
      <c r="V4" s="69"/>
      <c r="W4" s="68"/>
      <c r="X4" s="80"/>
      <c r="Y4" s="18" t="s">
        <v>87</v>
      </c>
      <c r="Z4" s="19">
        <f ca="1">IF(AA4&gt;0,AA4,AA4*-1)</f>
        <v>0</v>
      </c>
      <c r="AA4" s="19">
        <f ca="1">COUNTIF(R1,"Ocak")*(AF15)
+COUNTIF(R1,"Şubat")*(AF16)
+COUNTIF(R1,"Mart")*(AF17)
+COUNTIF(R1,"Nisan")*(AF18)
+COUNTIF(R1,"Mayıs")*(AF19)
+COUNTIF(R1,"Haziran")*(AF20)
+COUNTIF(R1,"Temmuz")*(AF21)
+COUNTIF(R1,"Ağustos")*(AF22)
+COUNTIF(R1,"Eylül")*(AF23)
+COUNTIF(R1,"Ekim")*(AF24)
+COUNTIF(R1,"Kasım")*(AF25)
+COUNTIF(R1,"Aralık")*(AF26)
+COUNTIF(R1,"Yıllık Toplam")*(AF27)
+COUNTIF(R1,"Yıllık Ortalama")*(AF28)</f>
        <v>0</v>
      </c>
      <c r="AB4" s="26">
        <f>(2%)</f>
        <v>0.02</v>
      </c>
      <c r="AC4" s="21" t="s">
        <v>0</v>
      </c>
      <c r="AD4" s="22">
        <f>($AD$9*$AB$4)</f>
        <v>520.11</v>
      </c>
      <c r="AE4" s="22">
        <f>($AE$9*$AB$4)</f>
        <v>520.11</v>
      </c>
      <c r="AF4" s="22">
        <f t="shared" si="1"/>
        <v>0</v>
      </c>
      <c r="AG4" s="22">
        <f t="shared" ca="1" si="2"/>
        <v>0</v>
      </c>
      <c r="AH4" s="22">
        <f t="shared" si="3"/>
        <v>0</v>
      </c>
      <c r="AI4" s="22">
        <f t="shared" ca="1" si="4"/>
        <v>0</v>
      </c>
      <c r="AJ4" s="22">
        <f t="shared" si="5"/>
        <v>0</v>
      </c>
      <c r="AK4" s="22">
        <f t="shared" ca="1" si="6"/>
        <v>4554</v>
      </c>
      <c r="AL4" s="22">
        <f t="shared" si="7"/>
        <v>4800</v>
      </c>
      <c r="AM4" s="22">
        <f t="shared" si="8"/>
        <v>4800</v>
      </c>
      <c r="AN4" s="22">
        <f t="shared" si="17"/>
        <v>0</v>
      </c>
      <c r="AO4" s="22">
        <f t="shared" si="18"/>
        <v>0</v>
      </c>
      <c r="AP4" s="22">
        <f t="shared" si="9"/>
        <v>0</v>
      </c>
      <c r="AQ4" s="22">
        <f t="shared" ca="1" si="10"/>
        <v>0</v>
      </c>
      <c r="AR4" s="23">
        <v>30</v>
      </c>
      <c r="AS4" s="22">
        <f t="shared" si="19"/>
        <v>3696.72</v>
      </c>
      <c r="AT4" s="22">
        <f t="shared" ca="1" si="11"/>
        <v>2485.7114951999997</v>
      </c>
      <c r="AU4" s="23">
        <v>30</v>
      </c>
      <c r="AV4" s="22">
        <f t="shared" si="20"/>
        <v>277.25</v>
      </c>
      <c r="AW4" s="22">
        <f t="shared" ca="1" si="12"/>
        <v>241.87567249999998</v>
      </c>
      <c r="AX4" s="22">
        <f>(0)</f>
        <v>0</v>
      </c>
      <c r="AY4" s="22">
        <f t="shared" si="13"/>
        <v>277.25</v>
      </c>
      <c r="AZ4" s="22">
        <f t="shared" si="14"/>
        <v>26005.5</v>
      </c>
      <c r="BA4" s="22">
        <f t="shared" si="14"/>
        <v>26005.5</v>
      </c>
      <c r="BB4" s="22">
        <f t="shared" si="15"/>
        <v>0</v>
      </c>
      <c r="BC4" s="22">
        <f t="shared" si="21"/>
        <v>0</v>
      </c>
      <c r="BD4" s="22">
        <f t="shared" si="22"/>
        <v>197.38174500000002</v>
      </c>
      <c r="BE4" s="22">
        <f t="shared" si="23"/>
        <v>26005.5</v>
      </c>
      <c r="BP4" s="21">
        <v>2</v>
      </c>
      <c r="BQ4" s="24">
        <v>1</v>
      </c>
      <c r="BR4" s="25">
        <v>0.04</v>
      </c>
    </row>
    <row r="5" spans="1:70" ht="39.950000000000003" customHeight="1" x14ac:dyDescent="0.25">
      <c r="A5" s="64"/>
      <c r="B5" s="65"/>
      <c r="C5" s="51"/>
      <c r="D5" s="51"/>
      <c r="E5" s="51"/>
      <c r="F5" s="53"/>
      <c r="G5" s="51"/>
      <c r="H5" s="51"/>
      <c r="I5" s="51"/>
      <c r="J5" s="51"/>
      <c r="K5" s="58"/>
      <c r="L5" s="59"/>
      <c r="M5" s="60"/>
      <c r="N5" s="51"/>
      <c r="O5" s="51"/>
      <c r="P5" s="51"/>
      <c r="Q5" s="50"/>
      <c r="R5" s="73"/>
      <c r="S5" s="77"/>
      <c r="T5" s="67"/>
      <c r="U5" s="66"/>
      <c r="V5" s="69"/>
      <c r="W5" s="68"/>
      <c r="X5" s="80"/>
      <c r="Y5" s="18" t="s">
        <v>90</v>
      </c>
      <c r="Z5" s="19">
        <f ca="1">IF(AA5&gt;0,AA5,AA5*-1)</f>
        <v>0</v>
      </c>
      <c r="AA5" s="22">
        <f ca="1">COUNTIF(R1,"Ocak")*(AH15)
+COUNTIF(R1,"Şubat")*(AH16)
+COUNTIF(R1,"Mart")*(AH17)
+COUNTIF(R1,"Nisan")*(AH18)
+COUNTIF(R1,"Mayıs")*(AH19)
+COUNTIF(R1,"Haziran")*(AH20)
+COUNTIF(R1,"Temmuz")*(AH21)
+COUNTIF(R1,"Ağustos")*(AH22)
+COUNTIF(R1,"Eylül")*(AH23)
+COUNTIF(R1,"Ekim")*(AH24)
+COUNTIF(R1,"Kasım")*(AH25)
+COUNTIF(R1,"Aralık")*(AH26)
+COUNTIF(R1,"Yıllık Toplam")*(AH27)
+COUNTIF(R1,"Yıllık Ortalama")*(AH28)</f>
        <v>0</v>
      </c>
      <c r="AB5" s="26">
        <f>(1%)</f>
        <v>0.01</v>
      </c>
      <c r="AC5" s="21" t="s">
        <v>0</v>
      </c>
      <c r="AD5" s="22">
        <f>($AD$9*$AB$5)</f>
        <v>260.05500000000001</v>
      </c>
      <c r="AE5" s="22">
        <f>($AE$9*$AB$5)</f>
        <v>260.05500000000001</v>
      </c>
      <c r="AF5" s="22">
        <f t="shared" si="1"/>
        <v>0</v>
      </c>
      <c r="AG5" s="22">
        <f t="shared" ca="1" si="2"/>
        <v>0</v>
      </c>
      <c r="AH5" s="22">
        <f t="shared" si="3"/>
        <v>0</v>
      </c>
      <c r="AI5" s="22">
        <f t="shared" ca="1" si="4"/>
        <v>0</v>
      </c>
      <c r="AJ5" s="22">
        <f t="shared" si="5"/>
        <v>0</v>
      </c>
      <c r="AK5" s="22">
        <f t="shared" ca="1" si="6"/>
        <v>4554</v>
      </c>
      <c r="AL5" s="22">
        <f t="shared" si="7"/>
        <v>4800</v>
      </c>
      <c r="AM5" s="22">
        <f t="shared" si="8"/>
        <v>4800</v>
      </c>
      <c r="AN5" s="22">
        <f t="shared" si="17"/>
        <v>0</v>
      </c>
      <c r="AO5" s="22">
        <f t="shared" si="18"/>
        <v>0</v>
      </c>
      <c r="AP5" s="22">
        <f t="shared" si="9"/>
        <v>0</v>
      </c>
      <c r="AQ5" s="22">
        <f t="shared" ca="1" si="10"/>
        <v>0</v>
      </c>
      <c r="AR5" s="23">
        <v>30</v>
      </c>
      <c r="AS5" s="22">
        <f t="shared" si="19"/>
        <v>3696.72</v>
      </c>
      <c r="AT5" s="22">
        <f t="shared" ca="1" si="11"/>
        <v>2485.7114951999997</v>
      </c>
      <c r="AU5" s="23">
        <v>30</v>
      </c>
      <c r="AV5" s="22">
        <f t="shared" si="20"/>
        <v>277.25</v>
      </c>
      <c r="AW5" s="22">
        <f t="shared" ca="1" si="12"/>
        <v>241.87567249999998</v>
      </c>
      <c r="AX5" s="22">
        <f>(0)</f>
        <v>0</v>
      </c>
      <c r="AY5" s="22">
        <f t="shared" si="13"/>
        <v>277.25</v>
      </c>
      <c r="AZ5" s="22">
        <f t="shared" si="14"/>
        <v>26005.5</v>
      </c>
      <c r="BA5" s="22">
        <f t="shared" si="14"/>
        <v>26005.5</v>
      </c>
      <c r="BB5" s="22">
        <f t="shared" si="15"/>
        <v>0</v>
      </c>
      <c r="BC5" s="22">
        <f t="shared" si="21"/>
        <v>0</v>
      </c>
      <c r="BD5" s="22">
        <f t="shared" si="22"/>
        <v>197.38174500000002</v>
      </c>
      <c r="BE5" s="22">
        <f t="shared" si="23"/>
        <v>26005.5</v>
      </c>
      <c r="BP5" s="21">
        <v>3</v>
      </c>
      <c r="BQ5" s="24">
        <v>1.5</v>
      </c>
      <c r="BR5" s="25">
        <v>0.05</v>
      </c>
    </row>
    <row r="6" spans="1:70" ht="39.950000000000003" customHeight="1" x14ac:dyDescent="0.25">
      <c r="A6" s="64"/>
      <c r="B6" s="65"/>
      <c r="C6" s="51"/>
      <c r="D6" s="51"/>
      <c r="E6" s="51"/>
      <c r="F6" s="53"/>
      <c r="G6" s="51"/>
      <c r="H6" s="51"/>
      <c r="I6" s="51"/>
      <c r="J6" s="51"/>
      <c r="K6" s="58"/>
      <c r="L6" s="59"/>
      <c r="M6" s="60"/>
      <c r="N6" s="51"/>
      <c r="O6" s="51"/>
      <c r="P6" s="51"/>
      <c r="Q6" s="50"/>
      <c r="R6" s="73"/>
      <c r="S6" s="77"/>
      <c r="T6" s="67"/>
      <c r="U6" s="66"/>
      <c r="V6" s="69"/>
      <c r="W6" s="68"/>
      <c r="X6" s="80"/>
      <c r="Y6" s="18" t="s">
        <v>5</v>
      </c>
      <c r="Z6" s="19">
        <f ca="1">IF(AA6&gt;0,AA6,AA6*-1)</f>
        <v>54648</v>
      </c>
      <c r="AA6" s="19">
        <f ca="1">COUNTIF(R1,"Ocak")*(AK1)
+COUNTIF(R1,"Şubat")*(AK2)
+COUNTIF(R1,"Mart")*(AK3)
+COUNTIF(R1,"Nisan")*(AK4)
+COUNTIF(R1,"Mayıs")*(AK5)
+COUNTIF(R1,"Haziran")*(AK6)
+COUNTIF(R1,"Temmuz")*(AK7)
+COUNTIF(R1,"Ağustos")*(AK8)
+COUNTIF(R1,"Eylül")*(AK9)
+COUNTIF(R1,"Ekim")*(AK10)
+COUNTIF(R1,"Kasım")*(AK11)
+COUNTIF(R1,"Aralık")*(AK12)
+COUNTIF(R1,"Yıllık Toplam")*(AK13)
+COUNTIF(R1,"Yıllık Ortalama")*(AK14)</f>
        <v>54648</v>
      </c>
      <c r="AB6" s="21" t="s">
        <v>0</v>
      </c>
      <c r="AC6" s="21" t="s">
        <v>0</v>
      </c>
      <c r="AD6" s="22">
        <f>($AD$17)</f>
        <v>2301.539788</v>
      </c>
      <c r="AE6" s="22">
        <f>($AE$17)</f>
        <v>2659.8896029999996</v>
      </c>
      <c r="AF6" s="22">
        <f t="shared" si="1"/>
        <v>0</v>
      </c>
      <c r="AG6" s="22">
        <f t="shared" ca="1" si="2"/>
        <v>0</v>
      </c>
      <c r="AH6" s="22">
        <f t="shared" si="3"/>
        <v>0</v>
      </c>
      <c r="AI6" s="22">
        <f t="shared" ca="1" si="4"/>
        <v>0</v>
      </c>
      <c r="AJ6" s="22">
        <f t="shared" si="5"/>
        <v>0</v>
      </c>
      <c r="AK6" s="22">
        <f t="shared" ca="1" si="6"/>
        <v>4554</v>
      </c>
      <c r="AL6" s="22">
        <f t="shared" si="7"/>
        <v>4800</v>
      </c>
      <c r="AM6" s="22">
        <f t="shared" si="8"/>
        <v>4800</v>
      </c>
      <c r="AN6" s="22">
        <f t="shared" si="17"/>
        <v>0</v>
      </c>
      <c r="AO6" s="22">
        <f t="shared" si="18"/>
        <v>0</v>
      </c>
      <c r="AP6" s="22">
        <f t="shared" si="9"/>
        <v>0</v>
      </c>
      <c r="AQ6" s="22">
        <f t="shared" ca="1" si="10"/>
        <v>0</v>
      </c>
      <c r="AR6" s="23">
        <v>30</v>
      </c>
      <c r="AS6" s="22">
        <f t="shared" si="19"/>
        <v>3696.72</v>
      </c>
      <c r="AT6" s="22">
        <f t="shared" ca="1" si="11"/>
        <v>2457.4388612564117</v>
      </c>
      <c r="AU6" s="23">
        <v>30</v>
      </c>
      <c r="AV6" s="22">
        <f t="shared" si="20"/>
        <v>277.25</v>
      </c>
      <c r="AW6" s="22">
        <f t="shared" ca="1" si="12"/>
        <v>242.24986372711291</v>
      </c>
      <c r="AX6" s="22">
        <f>(0)</f>
        <v>0</v>
      </c>
      <c r="AY6" s="22">
        <f t="shared" si="13"/>
        <v>277.25</v>
      </c>
      <c r="AZ6" s="22">
        <f t="shared" si="14"/>
        <v>26005.5</v>
      </c>
      <c r="BA6" s="22">
        <f t="shared" si="14"/>
        <v>26005.5</v>
      </c>
      <c r="BB6" s="22">
        <f t="shared" si="15"/>
        <v>0</v>
      </c>
      <c r="BC6" s="22">
        <f t="shared" si="21"/>
        <v>0</v>
      </c>
      <c r="BD6" s="22">
        <f t="shared" si="22"/>
        <v>197.38174500000002</v>
      </c>
      <c r="BE6" s="22">
        <f t="shared" si="23"/>
        <v>26005.5</v>
      </c>
      <c r="BP6" s="21">
        <v>4</v>
      </c>
      <c r="BQ6" s="24">
        <v>2</v>
      </c>
      <c r="BR6" s="25">
        <v>0.06</v>
      </c>
    </row>
    <row r="7" spans="1:70" ht="39.950000000000003" customHeight="1" x14ac:dyDescent="0.25">
      <c r="A7" s="64"/>
      <c r="B7" s="65"/>
      <c r="C7" s="51"/>
      <c r="D7" s="51"/>
      <c r="E7" s="51"/>
      <c r="F7" s="53"/>
      <c r="G7" s="51"/>
      <c r="H7" s="51"/>
      <c r="I7" s="51"/>
      <c r="J7" s="51"/>
      <c r="K7" s="58"/>
      <c r="L7" s="59"/>
      <c r="M7" s="60"/>
      <c r="N7" s="51"/>
      <c r="O7" s="51"/>
      <c r="P7" s="51"/>
      <c r="Q7" s="50"/>
      <c r="R7" s="73"/>
      <c r="S7" s="77"/>
      <c r="T7" s="67"/>
      <c r="U7" s="66"/>
      <c r="V7" s="69"/>
      <c r="W7" s="68"/>
      <c r="X7" s="80"/>
      <c r="Y7" s="18" t="s">
        <v>27</v>
      </c>
      <c r="Z7" s="19">
        <f>IF(AA7&gt;0,AA7,AA7*-1)</f>
        <v>25440</v>
      </c>
      <c r="AA7" s="19">
        <f>COUNTIF(R1,"Ocak")*(AS15)
+COUNTIF(R1,"Şubat")*(AS16)
+COUNTIF(R1,"Mart")*(AS17)
+COUNTIF(R1,"Nisan")*(AS18)
+COUNTIF(R1,"Mayıs")*(AS19)
+COUNTIF(R1,"Haziran")*(AS20)
+COUNTIF(R1,"Temmuz")*(AS21)
+COUNTIF(R1,"Ağustos")*(AS22)
+COUNTIF(R1,"Eylül")*(AS23)
+COUNTIF(R1,"Ekim")*(AS24)
+COUNTIF(R1,"Kasım")*(AS25)
+COUNTIF(R1,"Aralık")*(AS26)
+COUNTIF(R1,"Yıllık Toplam")*(AS27)
+COUNTIF(R1,"Yıllık Ortalama")*(AS28)</f>
        <v>25440</v>
      </c>
      <c r="AB7" s="21" t="s">
        <v>0</v>
      </c>
      <c r="AC7" s="21" t="s">
        <v>0</v>
      </c>
      <c r="AD7" s="22">
        <f>($AD$18)</f>
        <v>506.27800000000002</v>
      </c>
      <c r="AE7" s="22">
        <f>($AE$18)</f>
        <v>585.10549999999989</v>
      </c>
      <c r="AF7" s="22">
        <f t="shared" si="1"/>
        <v>0</v>
      </c>
      <c r="AG7" s="22">
        <f t="shared" ca="1" si="2"/>
        <v>0</v>
      </c>
      <c r="AH7" s="22">
        <f t="shared" si="3"/>
        <v>0</v>
      </c>
      <c r="AI7" s="22">
        <f t="shared" ca="1" si="4"/>
        <v>0</v>
      </c>
      <c r="AJ7" s="22">
        <f t="shared" si="5"/>
        <v>0</v>
      </c>
      <c r="AK7" s="22">
        <f t="shared" ca="1" si="6"/>
        <v>4554</v>
      </c>
      <c r="AL7" s="22">
        <f t="shared" si="7"/>
        <v>4800</v>
      </c>
      <c r="AM7" s="22">
        <f t="shared" si="8"/>
        <v>4800</v>
      </c>
      <c r="AN7" s="22">
        <f t="shared" si="17"/>
        <v>0</v>
      </c>
      <c r="AO7" s="22">
        <f t="shared" si="18"/>
        <v>0</v>
      </c>
      <c r="AP7" s="22">
        <f t="shared" si="9"/>
        <v>0</v>
      </c>
      <c r="AQ7" s="22">
        <f t="shared" ca="1" si="10"/>
        <v>0</v>
      </c>
      <c r="AR7" s="23">
        <v>30</v>
      </c>
      <c r="AS7" s="22">
        <f>(4423.86/30*AR7)</f>
        <v>4423.8599999999997</v>
      </c>
      <c r="AT7" s="22">
        <f t="shared" ca="1" si="11"/>
        <v>2711.4280325999998</v>
      </c>
      <c r="AU7" s="23">
        <v>30</v>
      </c>
      <c r="AV7" s="22">
        <f>(331.79/30*AU7)</f>
        <v>331.79</v>
      </c>
      <c r="AW7" s="22">
        <f t="shared" ca="1" si="12"/>
        <v>203.3574089</v>
      </c>
      <c r="AX7" s="22">
        <f>(0)</f>
        <v>0</v>
      </c>
      <c r="AY7" s="22">
        <f>(0)</f>
        <v>0</v>
      </c>
      <c r="AZ7" s="22">
        <f t="shared" ref="AZ7:BA12" si="25">($AE$9)</f>
        <v>26005.5</v>
      </c>
      <c r="BA7" s="22">
        <f t="shared" si="25"/>
        <v>26005.5</v>
      </c>
      <c r="BB7" s="22">
        <f t="shared" si="15"/>
        <v>0</v>
      </c>
      <c r="BC7" s="22">
        <f t="shared" si="21"/>
        <v>0</v>
      </c>
      <c r="BD7" s="22">
        <f t="shared" si="22"/>
        <v>197.38174500000002</v>
      </c>
      <c r="BE7" s="22">
        <f t="shared" si="23"/>
        <v>26005.5</v>
      </c>
      <c r="BP7" s="21">
        <v>5</v>
      </c>
      <c r="BQ7" s="24">
        <v>2.5</v>
      </c>
      <c r="BR7" s="25">
        <v>7.0000000000000007E-2</v>
      </c>
    </row>
    <row r="8" spans="1:70" ht="39.950000000000003" customHeight="1" x14ac:dyDescent="0.25">
      <c r="A8" s="64"/>
      <c r="B8" s="65"/>
      <c r="C8" s="51"/>
      <c r="D8" s="51"/>
      <c r="E8" s="51"/>
      <c r="F8" s="53"/>
      <c r="G8" s="51"/>
      <c r="H8" s="51"/>
      <c r="I8" s="51"/>
      <c r="J8" s="51"/>
      <c r="K8" s="58"/>
      <c r="L8" s="59"/>
      <c r="M8" s="60"/>
      <c r="N8" s="51"/>
      <c r="O8" s="51"/>
      <c r="P8" s="51"/>
      <c r="Q8" s="50"/>
      <c r="R8" s="73"/>
      <c r="S8" s="77"/>
      <c r="T8" s="67"/>
      <c r="U8" s="66"/>
      <c r="V8" s="69"/>
      <c r="W8" s="68"/>
      <c r="X8" s="80"/>
      <c r="Y8" s="18" t="s">
        <v>32</v>
      </c>
      <c r="Z8" s="19">
        <f ca="1">IF(AA8&gt;0,AA8,AA8*-1)</f>
        <v>75306.700809855392</v>
      </c>
      <c r="AA8" s="19">
        <f ca="1">COUNTIF(R1,"Ocak")*(AV15)
+COUNTIF(R1,"Şubat")*(AV16)
+COUNTIF(R1,"Mart")*(AV17)
+COUNTIF(R1,"Nisan")*(AV18)
+COUNTIF(R1,"Mayıs")*(AV19)
+COUNTIF(R1,"Haziran")*(AV20)
+COUNTIF(R1,"Temmuz")*(AV21)
+COUNTIF(R1,"Ağustos")*(AV22)
+COUNTIF(R1,"Eylül")*(AV23)
+COUNTIF(R1,"Ekim")*(AV24)
+COUNTIF(R1,"Kasım")*(AV25)
+COUNTIF(R1,"Aralık")*(AV26)
+COUNTIF(R1,"Yıllık Toplam")*(AV27)
+COUNTIF(R1,"Yıllık Ortalama")*(AV28)</f>
        <v>75306.700809855392</v>
      </c>
      <c r="AB8" s="21" t="s">
        <v>0</v>
      </c>
      <c r="AC8" s="21" t="s">
        <v>0</v>
      </c>
      <c r="AD8" s="22">
        <f>($AD$19)</f>
        <v>253.13900000000001</v>
      </c>
      <c r="AE8" s="22">
        <f>($AE$19)</f>
        <v>292.55274999999995</v>
      </c>
      <c r="AF8" s="22">
        <f t="shared" si="1"/>
        <v>0</v>
      </c>
      <c r="AG8" s="22">
        <f t="shared" ca="1" si="2"/>
        <v>0</v>
      </c>
      <c r="AH8" s="22">
        <f t="shared" si="3"/>
        <v>0</v>
      </c>
      <c r="AI8" s="22">
        <f t="shared" ca="1" si="4"/>
        <v>0</v>
      </c>
      <c r="AJ8" s="22">
        <f t="shared" si="5"/>
        <v>0</v>
      </c>
      <c r="AK8" s="22">
        <f t="shared" ca="1" si="6"/>
        <v>4554</v>
      </c>
      <c r="AL8" s="22">
        <f t="shared" si="7"/>
        <v>4800</v>
      </c>
      <c r="AM8" s="22">
        <f t="shared" si="8"/>
        <v>4800</v>
      </c>
      <c r="AN8" s="22">
        <f t="shared" si="17"/>
        <v>0</v>
      </c>
      <c r="AO8" s="22">
        <f t="shared" si="18"/>
        <v>0</v>
      </c>
      <c r="AP8" s="22">
        <f t="shared" si="9"/>
        <v>0</v>
      </c>
      <c r="AQ8" s="22">
        <f t="shared" ca="1" si="10"/>
        <v>0</v>
      </c>
      <c r="AR8" s="23">
        <v>30</v>
      </c>
      <c r="AS8" s="22">
        <f>(4423.86/30*AR8)</f>
        <v>4423.8599999999997</v>
      </c>
      <c r="AT8" s="22">
        <f t="shared" ca="1" si="11"/>
        <v>2711.4280325999998</v>
      </c>
      <c r="AU8" s="23">
        <v>30</v>
      </c>
      <c r="AV8" s="22">
        <f t="shared" ref="AV8:AV12" si="26">(331.79/30*AU8)</f>
        <v>331.79</v>
      </c>
      <c r="AW8" s="22">
        <f t="shared" ca="1" si="12"/>
        <v>203.3574089</v>
      </c>
      <c r="AX8" s="22">
        <f>(0)</f>
        <v>0</v>
      </c>
      <c r="AY8" s="22">
        <f>(0)</f>
        <v>0</v>
      </c>
      <c r="AZ8" s="22">
        <f t="shared" si="25"/>
        <v>26005.5</v>
      </c>
      <c r="BA8" s="22">
        <f t="shared" si="25"/>
        <v>26005.5</v>
      </c>
      <c r="BB8" s="22">
        <f t="shared" si="15"/>
        <v>0</v>
      </c>
      <c r="BC8" s="22">
        <f t="shared" si="21"/>
        <v>0</v>
      </c>
      <c r="BD8" s="22">
        <f t="shared" si="22"/>
        <v>197.38174500000002</v>
      </c>
      <c r="BE8" s="22">
        <f t="shared" si="23"/>
        <v>26005.5</v>
      </c>
      <c r="BP8" s="21">
        <v>6</v>
      </c>
      <c r="BQ8" s="24">
        <v>3</v>
      </c>
      <c r="BR8" s="25">
        <v>0.08</v>
      </c>
    </row>
    <row r="9" spans="1:70" ht="39.950000000000003" customHeight="1" x14ac:dyDescent="0.25">
      <c r="A9" s="64"/>
      <c r="B9" s="65"/>
      <c r="C9" s="51"/>
      <c r="D9" s="51"/>
      <c r="E9" s="51"/>
      <c r="F9" s="53"/>
      <c r="G9" s="51"/>
      <c r="H9" s="51"/>
      <c r="I9" s="51"/>
      <c r="J9" s="51"/>
      <c r="K9" s="58"/>
      <c r="L9" s="59"/>
      <c r="M9" s="60"/>
      <c r="N9" s="51"/>
      <c r="O9" s="51"/>
      <c r="P9" s="51"/>
      <c r="Q9" s="50"/>
      <c r="R9" s="73"/>
      <c r="S9" s="77"/>
      <c r="T9" s="67"/>
      <c r="U9" s="66"/>
      <c r="V9" s="69"/>
      <c r="W9" s="68"/>
      <c r="X9" s="80"/>
      <c r="Y9" s="18" t="s">
        <v>78</v>
      </c>
      <c r="Z9" s="19">
        <f t="shared" ref="Z9:Z11" ca="1" si="27">IF(AA9&gt;0,AA9,AA9*-1)</f>
        <v>31603.012911013</v>
      </c>
      <c r="AA9" s="19">
        <f ca="1">COUNTIF(R1,"Ocak")*(AT1)
+COUNTIF(R1,"Şubat")*(AT2)
+COUNTIF(R1,"Mart")*(AT3)
+COUNTIF(R1,"Nisan")*(AT4)
+COUNTIF(R1,"Mayıs")*(AT5)
+COUNTIF(R1,"Haziran")*(AT6)
+COUNTIF(R1,"Temmuz")*(AT7)
+COUNTIF(R1,"Ağustos")*(AT8)
+COUNTIF(R1,"Eylül")*(AT9)
+COUNTIF(R1,"Ekim")*(AT10)
+COUNTIF(R1,"Kasım")*(AT11)
+COUNTIF(R1,"Aralık")*(AT12)
+COUNTIF(R1,"Yıllık Toplam")*(AT13)
+COUNTIF(R1,"Yıllık Ortalama")*(AT14)</f>
        <v>31603.012911013</v>
      </c>
      <c r="AB9" s="22" t="s">
        <v>0</v>
      </c>
      <c r="AC9" s="21" t="s">
        <v>0</v>
      </c>
      <c r="AD9" s="19">
        <v>26005.5</v>
      </c>
      <c r="AE9" s="19">
        <v>26005.5</v>
      </c>
      <c r="AF9" s="22">
        <f t="shared" si="1"/>
        <v>0</v>
      </c>
      <c r="AG9" s="22">
        <f t="shared" ca="1" si="2"/>
        <v>0</v>
      </c>
      <c r="AH9" s="22">
        <f t="shared" si="3"/>
        <v>0</v>
      </c>
      <c r="AI9" s="22">
        <f t="shared" ca="1" si="4"/>
        <v>0</v>
      </c>
      <c r="AJ9" s="22">
        <f t="shared" si="5"/>
        <v>0</v>
      </c>
      <c r="AK9" s="22">
        <f t="shared" ca="1" si="6"/>
        <v>4554</v>
      </c>
      <c r="AL9" s="22">
        <f t="shared" si="7"/>
        <v>4800</v>
      </c>
      <c r="AM9" s="22">
        <f t="shared" si="8"/>
        <v>4800</v>
      </c>
      <c r="AN9" s="22">
        <f t="shared" si="17"/>
        <v>0</v>
      </c>
      <c r="AO9" s="22">
        <f t="shared" si="18"/>
        <v>0</v>
      </c>
      <c r="AP9" s="22">
        <f t="shared" si="9"/>
        <v>0</v>
      </c>
      <c r="AQ9" s="22">
        <f t="shared" ca="1" si="10"/>
        <v>0</v>
      </c>
      <c r="AR9" s="23">
        <v>30</v>
      </c>
      <c r="AS9" s="22">
        <f t="shared" ref="AS9:AS12" si="28">(4423.86/30*AR9)</f>
        <v>4423.8599999999997</v>
      </c>
      <c r="AT9" s="22">
        <f t="shared" ca="1" si="11"/>
        <v>2711.4280325999998</v>
      </c>
      <c r="AU9" s="23">
        <v>30</v>
      </c>
      <c r="AV9" s="22">
        <f t="shared" si="26"/>
        <v>331.79</v>
      </c>
      <c r="AW9" s="22">
        <f t="shared" ca="1" si="12"/>
        <v>203.3574089</v>
      </c>
      <c r="AX9" s="22">
        <f>(0)</f>
        <v>0</v>
      </c>
      <c r="AY9" s="22">
        <f>(0)</f>
        <v>0</v>
      </c>
      <c r="AZ9" s="22">
        <f t="shared" si="25"/>
        <v>26005.5</v>
      </c>
      <c r="BA9" s="22">
        <f t="shared" si="25"/>
        <v>26005.5</v>
      </c>
      <c r="BB9" s="22">
        <f t="shared" si="15"/>
        <v>0</v>
      </c>
      <c r="BC9" s="22">
        <f t="shared" si="21"/>
        <v>0</v>
      </c>
      <c r="BD9" s="22">
        <f t="shared" si="22"/>
        <v>197.38174500000002</v>
      </c>
      <c r="BE9" s="22">
        <f t="shared" si="23"/>
        <v>26005.5</v>
      </c>
      <c r="BP9" s="21">
        <v>7</v>
      </c>
      <c r="BQ9" s="24">
        <v>3.5</v>
      </c>
      <c r="BR9" s="25">
        <v>0.09</v>
      </c>
    </row>
    <row r="10" spans="1:70" ht="39.950000000000003" customHeight="1" x14ac:dyDescent="0.25">
      <c r="A10" s="64"/>
      <c r="B10" s="65"/>
      <c r="C10" s="51"/>
      <c r="D10" s="51"/>
      <c r="E10" s="51"/>
      <c r="F10" s="53"/>
      <c r="G10" s="51"/>
      <c r="H10" s="51"/>
      <c r="I10" s="51"/>
      <c r="J10" s="51"/>
      <c r="K10" s="58"/>
      <c r="L10" s="59"/>
      <c r="M10" s="60"/>
      <c r="N10" s="51"/>
      <c r="O10" s="51"/>
      <c r="P10" s="51"/>
      <c r="Q10" s="50"/>
      <c r="R10" s="73"/>
      <c r="S10" s="77"/>
      <c r="T10" s="67"/>
      <c r="U10" s="66"/>
      <c r="V10" s="69"/>
      <c r="W10" s="68"/>
      <c r="X10" s="80"/>
      <c r="Y10" s="18" t="s">
        <v>69</v>
      </c>
      <c r="Z10" s="19">
        <f t="shared" ca="1" si="27"/>
        <v>2845.0040190760783</v>
      </c>
      <c r="AA10" s="19">
        <f ca="1">COUNTIF(R1,"Ocak")*(AW1)
+COUNTIF(R1,"Şubat")*(AW2)
+COUNTIF(R1,"Mart")*(AW3)
+COUNTIF(R1,"Nisan")*(AW4)
+COUNTIF(R1,"Mayıs")*(AW5)
+COUNTIF(R1,"Haziran")*(AW6)
+COUNTIF(R1,"Temmuz")*(AW7)
+COUNTIF(R1,"Ağustos")*(AW8)
+COUNTIF(R1,"Eylül")*(AW9)
+COUNTIF(R1,"Ekim")*(AW10)
+COUNTIF(R1,"Kasım")*(AW11)
+COUNTIF(R1,"Aralık")*(AW12)
+COUNTIF(R1,"Yıllık Toplam")*(AW13)
+COUNTIF(R1,"Yıllık Ortalama")*(AW14)</f>
        <v>2845.0040190760783</v>
      </c>
      <c r="AB10" s="22" t="s">
        <v>0</v>
      </c>
      <c r="AC10" s="21" t="s">
        <v>0</v>
      </c>
      <c r="AD10" s="19">
        <v>0</v>
      </c>
      <c r="AE10" s="19">
        <v>0</v>
      </c>
      <c r="AF10" s="22">
        <f t="shared" si="1"/>
        <v>0</v>
      </c>
      <c r="AG10" s="22">
        <f t="shared" ca="1" si="2"/>
        <v>0</v>
      </c>
      <c r="AH10" s="22">
        <f t="shared" si="3"/>
        <v>0</v>
      </c>
      <c r="AI10" s="22">
        <f t="shared" ca="1" si="4"/>
        <v>0</v>
      </c>
      <c r="AJ10" s="22">
        <f t="shared" si="5"/>
        <v>0</v>
      </c>
      <c r="AK10" s="22">
        <f t="shared" ca="1" si="6"/>
        <v>4554</v>
      </c>
      <c r="AL10" s="22">
        <f t="shared" si="7"/>
        <v>4800</v>
      </c>
      <c r="AM10" s="22">
        <f t="shared" si="8"/>
        <v>4800</v>
      </c>
      <c r="AN10" s="22">
        <f t="shared" si="17"/>
        <v>0</v>
      </c>
      <c r="AO10" s="22">
        <f t="shared" si="18"/>
        <v>0</v>
      </c>
      <c r="AP10" s="22">
        <f t="shared" si="9"/>
        <v>0</v>
      </c>
      <c r="AQ10" s="22">
        <f t="shared" ca="1" si="10"/>
        <v>0</v>
      </c>
      <c r="AR10" s="23">
        <v>30</v>
      </c>
      <c r="AS10" s="22">
        <f t="shared" si="28"/>
        <v>4423.8599999999997</v>
      </c>
      <c r="AT10" s="22">
        <f t="shared" ca="1" si="11"/>
        <v>2711.4280325999998</v>
      </c>
      <c r="AU10" s="23">
        <v>30</v>
      </c>
      <c r="AV10" s="22">
        <f t="shared" si="26"/>
        <v>331.79</v>
      </c>
      <c r="AW10" s="22">
        <f t="shared" ca="1" si="12"/>
        <v>203.3574089</v>
      </c>
      <c r="AX10" s="22">
        <f>(0)</f>
        <v>0</v>
      </c>
      <c r="AY10" s="22">
        <f>(0)</f>
        <v>0</v>
      </c>
      <c r="AZ10" s="22">
        <f t="shared" si="25"/>
        <v>26005.5</v>
      </c>
      <c r="BA10" s="22">
        <f t="shared" si="25"/>
        <v>26005.5</v>
      </c>
      <c r="BB10" s="22">
        <f t="shared" si="15"/>
        <v>0</v>
      </c>
      <c r="BC10" s="22">
        <f t="shared" si="21"/>
        <v>0</v>
      </c>
      <c r="BD10" s="22">
        <f t="shared" si="22"/>
        <v>197.38174500000002</v>
      </c>
      <c r="BE10" s="22">
        <f t="shared" si="23"/>
        <v>26005.5</v>
      </c>
      <c r="BP10" s="21">
        <v>8</v>
      </c>
      <c r="BQ10" s="24">
        <v>4</v>
      </c>
      <c r="BR10" s="25">
        <v>0.1</v>
      </c>
    </row>
    <row r="11" spans="1:70" ht="39.950000000000003" customHeight="1" x14ac:dyDescent="0.25">
      <c r="A11" s="64"/>
      <c r="B11" s="65"/>
      <c r="C11" s="51"/>
      <c r="D11" s="51"/>
      <c r="E11" s="51"/>
      <c r="F11" s="53"/>
      <c r="G11" s="51"/>
      <c r="H11" s="51"/>
      <c r="I11" s="51"/>
      <c r="J11" s="51"/>
      <c r="K11" s="58"/>
      <c r="L11" s="59"/>
      <c r="M11" s="60"/>
      <c r="N11" s="51"/>
      <c r="O11" s="51"/>
      <c r="P11" s="51"/>
      <c r="Q11" s="50"/>
      <c r="R11" s="73"/>
      <c r="S11" s="77"/>
      <c r="T11" s="67"/>
      <c r="U11" s="66"/>
      <c r="V11" s="69"/>
      <c r="W11" s="68"/>
      <c r="X11" s="80"/>
      <c r="Y11" s="18" t="s">
        <v>70</v>
      </c>
      <c r="Z11" s="19">
        <f t="shared" ca="1" si="27"/>
        <v>0</v>
      </c>
      <c r="AA11" s="19">
        <f ca="1">COUNTIF(R1,"Ocak")*(AS29)
+COUNTIF(R1,"Şubat")*(AS30)
+COUNTIF(R1,"Mart")*(AS31)
+COUNTIF(R1,"Nisan")*(AS32)
+COUNTIF(R1,"Mayıs")*(AS33)
+COUNTIF(R1,"Haziran")*(AS34)
+COUNTIF(R1,"Temmuz")*(AS35)
+COUNTIF(R1,"Ağustos")*(AS36)
+COUNTIF(R1,"Eylül")*(AS37)
+COUNTIF(R1,"Ekim")*(AS38)
+COUNTIF(R1,"Kasım")*(AS39)
+COUNTIF(R1,"Aralık")*(AS40)
+COUNTIF(R1,"Yıllık Toplam")*(AS41)
+COUNTIF(R1,"Yıllık Ortalama")*(AS42)</f>
        <v>0</v>
      </c>
      <c r="AB11" s="22" t="s">
        <v>0</v>
      </c>
      <c r="AC11" s="21" t="s">
        <v>0</v>
      </c>
      <c r="AD11" s="19">
        <v>126</v>
      </c>
      <c r="AE11" s="19">
        <v>126</v>
      </c>
      <c r="AF11" s="22">
        <f t="shared" si="1"/>
        <v>0</v>
      </c>
      <c r="AG11" s="22">
        <f t="shared" ca="1" si="2"/>
        <v>0</v>
      </c>
      <c r="AH11" s="22">
        <f t="shared" si="3"/>
        <v>0</v>
      </c>
      <c r="AI11" s="22">
        <f t="shared" ca="1" si="4"/>
        <v>0</v>
      </c>
      <c r="AJ11" s="22">
        <f t="shared" si="5"/>
        <v>0</v>
      </c>
      <c r="AK11" s="22">
        <f t="shared" ca="1" si="6"/>
        <v>4554</v>
      </c>
      <c r="AL11" s="22">
        <f t="shared" si="7"/>
        <v>4800</v>
      </c>
      <c r="AM11" s="22">
        <f t="shared" si="8"/>
        <v>4800</v>
      </c>
      <c r="AN11" s="22">
        <f t="shared" si="17"/>
        <v>0</v>
      </c>
      <c r="AO11" s="22">
        <f t="shared" si="18"/>
        <v>0</v>
      </c>
      <c r="AP11" s="22">
        <f t="shared" si="9"/>
        <v>0</v>
      </c>
      <c r="AQ11" s="22">
        <f t="shared" ca="1" si="10"/>
        <v>0</v>
      </c>
      <c r="AR11" s="23">
        <v>30</v>
      </c>
      <c r="AS11" s="22">
        <f t="shared" si="28"/>
        <v>4423.8599999999997</v>
      </c>
      <c r="AT11" s="22">
        <f t="shared" ca="1" si="11"/>
        <v>2711.4280325999998</v>
      </c>
      <c r="AU11" s="23">
        <v>30</v>
      </c>
      <c r="AV11" s="22">
        <f t="shared" si="26"/>
        <v>331.79</v>
      </c>
      <c r="AW11" s="22">
        <f t="shared" ca="1" si="12"/>
        <v>292.9407089</v>
      </c>
      <c r="AX11" s="22">
        <f>(0)</f>
        <v>0</v>
      </c>
      <c r="AY11" s="22">
        <f>IF(AV11&lt;=$AE$13,AV11,$AE$13)</f>
        <v>331.79</v>
      </c>
      <c r="AZ11" s="22">
        <f t="shared" si="25"/>
        <v>26005.5</v>
      </c>
      <c r="BA11" s="22">
        <f t="shared" si="25"/>
        <v>26005.5</v>
      </c>
      <c r="BB11" s="22">
        <f t="shared" si="15"/>
        <v>0</v>
      </c>
      <c r="BC11" s="22">
        <f t="shared" si="21"/>
        <v>0</v>
      </c>
      <c r="BD11" s="22">
        <f t="shared" si="22"/>
        <v>197.38174500000002</v>
      </c>
      <c r="BE11" s="22">
        <f t="shared" si="23"/>
        <v>26005.5</v>
      </c>
      <c r="BP11" s="21">
        <v>9</v>
      </c>
      <c r="BQ11" s="24">
        <v>4.5</v>
      </c>
      <c r="BR11" s="25">
        <v>0.11</v>
      </c>
    </row>
    <row r="12" spans="1:70" ht="39.950000000000003" customHeight="1" x14ac:dyDescent="0.25">
      <c r="A12" s="64"/>
      <c r="B12" s="65"/>
      <c r="C12" s="51"/>
      <c r="D12" s="51"/>
      <c r="E12" s="51"/>
      <c r="F12" s="53"/>
      <c r="G12" s="51"/>
      <c r="H12" s="51"/>
      <c r="I12" s="51"/>
      <c r="J12" s="51"/>
      <c r="K12" s="58"/>
      <c r="L12" s="59"/>
      <c r="M12" s="60"/>
      <c r="N12" s="51"/>
      <c r="O12" s="51"/>
      <c r="P12" s="51"/>
      <c r="Q12" s="50"/>
      <c r="R12" s="73"/>
      <c r="S12" s="77"/>
      <c r="T12" s="67"/>
      <c r="U12" s="66"/>
      <c r="V12" s="69"/>
      <c r="W12" s="68"/>
      <c r="X12" s="80"/>
      <c r="Y12" s="18" t="s">
        <v>33</v>
      </c>
      <c r="Z12" s="19">
        <f t="shared" ref="Z12:Z21" ca="1" si="29">IF(AA12&gt;0,AA12,AA12*-1)</f>
        <v>0</v>
      </c>
      <c r="AA12" s="19">
        <f ca="1">COUNTIF(R1,"Ocak")*(AX29)
+COUNTIF(R1,"Şubat")*(AX30)
+COUNTIF(R1,"Mart")*(AX31)
+COUNTIF(R1,"Nisan")*(AX32)
+COUNTIF(R1,"Mayıs")*(AX33)
+COUNTIF(R1,"Haziran")*(AX34)
+COUNTIF(R1,"Temmuz")*(AX35)
+COUNTIF(R1,"Ağustos")*(AX36)
+COUNTIF(R1,"Eylül")*(AX37)
+COUNTIF(R1,"Ekim")*(AX38)
+COUNTIF(R1,"Kasım")*(AX39)
+COUNTIF(R1,"Aralık")*(AX40)
+COUNTIF(R1,"Yıllık Toplam")*(AX41)
+COUNTIF(R1,"Yıllık Ortalama")*(AX42)</f>
        <v>0</v>
      </c>
      <c r="AB12" s="22" t="s">
        <v>0</v>
      </c>
      <c r="AC12" s="21" t="s">
        <v>0</v>
      </c>
      <c r="AD12" s="19">
        <v>1000</v>
      </c>
      <c r="AE12" s="19">
        <v>1000</v>
      </c>
      <c r="AF12" s="22">
        <f t="shared" si="1"/>
        <v>0</v>
      </c>
      <c r="AG12" s="22">
        <f t="shared" ca="1" si="2"/>
        <v>0</v>
      </c>
      <c r="AH12" s="22">
        <f t="shared" si="3"/>
        <v>0</v>
      </c>
      <c r="AI12" s="22">
        <f t="shared" ca="1" si="4"/>
        <v>0</v>
      </c>
      <c r="AJ12" s="22">
        <f t="shared" si="5"/>
        <v>0</v>
      </c>
      <c r="AK12" s="22">
        <f t="shared" ca="1" si="6"/>
        <v>4554</v>
      </c>
      <c r="AL12" s="22">
        <f t="shared" si="7"/>
        <v>4800</v>
      </c>
      <c r="AM12" s="22">
        <f t="shared" si="8"/>
        <v>4800</v>
      </c>
      <c r="AN12" s="22">
        <f t="shared" si="17"/>
        <v>0</v>
      </c>
      <c r="AO12" s="22">
        <f t="shared" si="18"/>
        <v>0</v>
      </c>
      <c r="AP12" s="22">
        <f t="shared" si="9"/>
        <v>0</v>
      </c>
      <c r="AQ12" s="22">
        <f t="shared" ca="1" si="10"/>
        <v>0</v>
      </c>
      <c r="AR12" s="23">
        <v>30</v>
      </c>
      <c r="AS12" s="22">
        <f t="shared" si="28"/>
        <v>4423.8599999999997</v>
      </c>
      <c r="AT12" s="22">
        <f t="shared" ca="1" si="11"/>
        <v>2711.4280325999998</v>
      </c>
      <c r="AU12" s="23">
        <v>30</v>
      </c>
      <c r="AV12" s="22">
        <f t="shared" si="26"/>
        <v>331.79</v>
      </c>
      <c r="AW12" s="22">
        <f t="shared" ca="1" si="12"/>
        <v>292.9407089</v>
      </c>
      <c r="AX12" s="22">
        <f>(0)</f>
        <v>0</v>
      </c>
      <c r="AY12" s="22">
        <f>IF(AV12&lt;=$AE$13,AV12,$AE$13)</f>
        <v>331.79</v>
      </c>
      <c r="AZ12" s="22">
        <f t="shared" si="25"/>
        <v>26005.5</v>
      </c>
      <c r="BA12" s="22">
        <f t="shared" si="25"/>
        <v>26005.5</v>
      </c>
      <c r="BB12" s="22">
        <f t="shared" si="15"/>
        <v>0</v>
      </c>
      <c r="BC12" s="22">
        <f t="shared" si="21"/>
        <v>0</v>
      </c>
      <c r="BD12" s="22">
        <f t="shared" si="22"/>
        <v>197.38174500000002</v>
      </c>
      <c r="BE12" s="22">
        <f t="shared" si="23"/>
        <v>26005.5</v>
      </c>
      <c r="BP12" s="21">
        <v>10</v>
      </c>
      <c r="BQ12" s="24">
        <v>5</v>
      </c>
      <c r="BR12" s="25">
        <v>0.12</v>
      </c>
    </row>
    <row r="13" spans="1:70" ht="39.950000000000003" customHeight="1" x14ac:dyDescent="0.25">
      <c r="A13" s="64"/>
      <c r="B13" s="65"/>
      <c r="C13" s="51"/>
      <c r="D13" s="51"/>
      <c r="E13" s="51"/>
      <c r="F13" s="53"/>
      <c r="G13" s="51"/>
      <c r="H13" s="51"/>
      <c r="I13" s="51"/>
      <c r="J13" s="51"/>
      <c r="K13" s="58"/>
      <c r="L13" s="59"/>
      <c r="M13" s="60"/>
      <c r="N13" s="51"/>
      <c r="O13" s="51"/>
      <c r="P13" s="51"/>
      <c r="Q13" s="50"/>
      <c r="R13" s="73"/>
      <c r="S13" s="77"/>
      <c r="T13" s="67"/>
      <c r="U13" s="66"/>
      <c r="V13" s="69"/>
      <c r="W13" s="68"/>
      <c r="X13" s="80"/>
      <c r="Y13" s="18" t="s">
        <v>34</v>
      </c>
      <c r="Z13" s="19">
        <f t="shared" si="29"/>
        <v>23296.019999999997</v>
      </c>
      <c r="AA13" s="19">
        <f>COUNTIF(R1,"Ocak")*(AW15)*-1
+COUNTIF(R1,"Şubat")*(AW16)*-1
+COUNTIF(R1,"Mart")*(AW17)*-1
+COUNTIF(R1,"Nisan")*(AW18)*-1
+COUNTIF(R1,"Mayıs")*(AW19)*-1
+COUNTIF(R1,"Haziran")*(AW20)*-1
+COUNTIF(R1,"Temmuz")*(AW21)*-1
+COUNTIF(R1,"Ağustos")*(AW22)*-1
+COUNTIF(R1,"Eylül")*(AW23)*-1
+COUNTIF(R1,"Ekim")*(AW24)*-1
+COUNTIF(R1,"Kasım")*(AW25)*-1
+COUNTIF(R1,"Aralık")*(AW26)*-1
+COUNTIF(R1,"Yıllık Toplam")*(AW27)*-1
+COUNTIF(R1,"Yıllık Ortalama")*(AW28)*-1</f>
        <v>23296.019999999997</v>
      </c>
      <c r="AB13" s="22" t="s">
        <v>0</v>
      </c>
      <c r="AC13" s="21" t="s">
        <v>0</v>
      </c>
      <c r="AD13" s="19">
        <v>1000</v>
      </c>
      <c r="AE13" s="19">
        <v>1000</v>
      </c>
      <c r="AF13" s="22">
        <f t="shared" ref="AF13:AG13" si="30">(AF1+AF2+AF3+AF4+AF5+AF6+AF7+AF8+AF9+AF10+AF11+AF12)</f>
        <v>0</v>
      </c>
      <c r="AG13" s="22">
        <f t="shared" ca="1" si="30"/>
        <v>0</v>
      </c>
      <c r="AH13" s="22">
        <f t="shared" ref="AH13:AI13" si="31">(AH1+AH2+AH3+AH4+AH5+AH6+AH7+AH8+AH9+AH10+AH11+AH12)</f>
        <v>0</v>
      </c>
      <c r="AI13" s="22">
        <f t="shared" ca="1" si="31"/>
        <v>0</v>
      </c>
      <c r="AJ13" s="22">
        <f t="shared" ref="AJ13:AR13" si="32">(AJ1+AJ2+AJ3+AJ4+AJ5+AJ6+AJ7+AJ8+AJ9+AJ10+AJ11+AJ12)</f>
        <v>0</v>
      </c>
      <c r="AK13" s="22">
        <f t="shared" ca="1" si="32"/>
        <v>54648</v>
      </c>
      <c r="AL13" s="22">
        <f t="shared" si="32"/>
        <v>57600</v>
      </c>
      <c r="AM13" s="22">
        <f t="shared" si="32"/>
        <v>57600</v>
      </c>
      <c r="AN13" s="22">
        <f t="shared" si="32"/>
        <v>0</v>
      </c>
      <c r="AO13" s="22">
        <f t="shared" si="32"/>
        <v>0</v>
      </c>
      <c r="AP13" s="22">
        <f t="shared" si="32"/>
        <v>0</v>
      </c>
      <c r="AQ13" s="22">
        <f t="shared" ca="1" si="32"/>
        <v>0</v>
      </c>
      <c r="AR13" s="23">
        <f t="shared" si="32"/>
        <v>360</v>
      </c>
      <c r="AS13" s="22">
        <f t="shared" ref="AS13:AT13" si="33">(AS1+AS2+AS3+AS4+AS5+AS6+AS7+AS8+AS9+AS10+AS11+AS12)</f>
        <v>48723.48</v>
      </c>
      <c r="AT13" s="22">
        <f t="shared" ca="1" si="33"/>
        <v>31603.012911013</v>
      </c>
      <c r="AU13" s="23">
        <f>(AU1+AU2+AU3+AU4+AU5+AU6+AU7+AU8+AU9+AU10+AU11+AU12)</f>
        <v>360</v>
      </c>
      <c r="AV13" s="22">
        <f t="shared" ref="AV13:AY13" si="34">(AV1+AV2+AV3+AV4+AV5+AV6+AV7+AV8+AV9+AV10+AV11+AV12)</f>
        <v>3654.24</v>
      </c>
      <c r="AW13" s="22">
        <f t="shared" ca="1" si="34"/>
        <v>2845.0040190760783</v>
      </c>
      <c r="AX13" s="22">
        <f t="shared" si="34"/>
        <v>0</v>
      </c>
      <c r="AY13" s="22">
        <f t="shared" si="34"/>
        <v>2327.08</v>
      </c>
      <c r="AZ13" s="22">
        <f t="shared" ref="AZ13" si="35">(AZ1+AZ2+AZ3+AZ4+AZ5+AZ6+AZ7+AZ8+AZ9+AZ10+AZ11+AZ12)</f>
        <v>312066</v>
      </c>
      <c r="BA13" s="22">
        <f t="shared" ref="BA13:BB13" si="36">(BA1+BA2+BA3+BA4+BA5+BA6+BA7+BA8+BA9+BA10+BA11+BA12)</f>
        <v>312066</v>
      </c>
      <c r="BB13" s="22">
        <f t="shared" si="36"/>
        <v>0</v>
      </c>
      <c r="BC13" s="22">
        <f>(BC1+BC2+BC3+BC4+BC5+BC6+BC7+BC8+BC9+BC10+BC11+BC12)</f>
        <v>0</v>
      </c>
      <c r="BD13" s="22">
        <f>(BD1+BD2+BD3+BD4+BD5+BD6+BD7+BD8+BD9+BD10+BD11+BD12)</f>
        <v>2368.5809400000007</v>
      </c>
      <c r="BE13" s="22">
        <f>(BE1+BE2+BE3+BE4+BE5+BE6+BE7+BE8+BE9+BE10+BE11+BE12)</f>
        <v>312066</v>
      </c>
      <c r="BP13" s="21">
        <v>11</v>
      </c>
      <c r="BQ13" s="24">
        <v>5.5</v>
      </c>
      <c r="BR13" s="25">
        <v>0.13</v>
      </c>
    </row>
    <row r="14" spans="1:70" ht="39.950000000000003" customHeight="1" x14ac:dyDescent="0.25">
      <c r="A14" s="64"/>
      <c r="B14" s="65"/>
      <c r="C14" s="51"/>
      <c r="D14" s="51"/>
      <c r="E14" s="51"/>
      <c r="F14" s="54"/>
      <c r="G14" s="51"/>
      <c r="H14" s="51"/>
      <c r="I14" s="51"/>
      <c r="J14" s="51"/>
      <c r="K14" s="61"/>
      <c r="L14" s="62"/>
      <c r="M14" s="63"/>
      <c r="N14" s="51"/>
      <c r="O14" s="51"/>
      <c r="P14" s="51"/>
      <c r="Q14" s="50"/>
      <c r="R14" s="73"/>
      <c r="S14" s="77"/>
      <c r="T14" s="67"/>
      <c r="U14" s="66"/>
      <c r="V14" s="69"/>
      <c r="W14" s="68"/>
      <c r="X14" s="80"/>
      <c r="Y14" s="18" t="s">
        <v>29</v>
      </c>
      <c r="Z14" s="19">
        <f t="shared" ca="1" si="29"/>
        <v>0</v>
      </c>
      <c r="AA14" s="19">
        <f ca="1">COUNTIF(R1,"Ocak")*(AY15)*-1
+COUNTIF(R1,"Şubat")*(AY16)*-1
+COUNTIF(R1,"Mart")*(AY17)*-1
+COUNTIF(R1,"Nisan")*(AY18)*-1
+COUNTIF(R1,"Mayıs")*(AY19)*-1
+COUNTIF(R1,"Haziran")*(AY20)*-1
+COUNTIF(R1,"Temmuz")*(AY21)*-1
+COUNTIF(R1,"Ağustos")*(AY22)*-1
+COUNTIF(R1,"Eylül")*(AY23)*-1
+COUNTIF(R1,"Ekim")*(AY24)*-1
+COUNTIF(R1,"Kasım")*(AY25)*-1
+COUNTIF(R1,"Aralık")*(AY26)*-1
+COUNTIF(R1,"Yıllık Toplam")*(AY27)*-1
+COUNTIF(R1,"Yıllık Ortalama")*(AY28)*-1</f>
        <v>0</v>
      </c>
      <c r="AB14" s="26">
        <f>(23.65%)</f>
        <v>0.23649999999999999</v>
      </c>
      <c r="AC14" s="21" t="s">
        <v>0</v>
      </c>
      <c r="AD14" s="19">
        <v>158</v>
      </c>
      <c r="AE14" s="19">
        <v>158</v>
      </c>
      <c r="AF14" s="22">
        <f t="shared" ref="AF14:AG14" si="37">(AF13/12)</f>
        <v>0</v>
      </c>
      <c r="AG14" s="22">
        <f t="shared" ca="1" si="37"/>
        <v>0</v>
      </c>
      <c r="AH14" s="22">
        <f t="shared" ref="AH14:AI14" si="38">(AH13/12)</f>
        <v>0</v>
      </c>
      <c r="AI14" s="22">
        <f t="shared" ca="1" si="38"/>
        <v>0</v>
      </c>
      <c r="AJ14" s="22">
        <f t="shared" ref="AJ14:AQ14" si="39">(AJ13/12)</f>
        <v>0</v>
      </c>
      <c r="AK14" s="22">
        <f t="shared" ca="1" si="39"/>
        <v>4554</v>
      </c>
      <c r="AL14" s="22">
        <f t="shared" si="39"/>
        <v>4800</v>
      </c>
      <c r="AM14" s="22">
        <f t="shared" si="39"/>
        <v>4800</v>
      </c>
      <c r="AN14" s="22">
        <f t="shared" si="39"/>
        <v>0</v>
      </c>
      <c r="AO14" s="22">
        <f t="shared" si="39"/>
        <v>0</v>
      </c>
      <c r="AP14" s="22">
        <f t="shared" si="39"/>
        <v>0</v>
      </c>
      <c r="AQ14" s="22">
        <f t="shared" ca="1" si="39"/>
        <v>0</v>
      </c>
      <c r="AR14" s="27" t="s">
        <v>0</v>
      </c>
      <c r="AS14" s="22">
        <f t="shared" ref="AS14:AT14" si="40">(AS13/12)</f>
        <v>4060.2900000000004</v>
      </c>
      <c r="AT14" s="22">
        <f t="shared" ca="1" si="40"/>
        <v>2633.5844092510833</v>
      </c>
      <c r="AU14" s="27" t="s">
        <v>0</v>
      </c>
      <c r="AV14" s="22">
        <f t="shared" ref="AV14:AY14" si="41">(AV13/12)</f>
        <v>304.52</v>
      </c>
      <c r="AW14" s="22">
        <f t="shared" ca="1" si="41"/>
        <v>237.08366825633985</v>
      </c>
      <c r="AX14" s="22">
        <f t="shared" si="41"/>
        <v>0</v>
      </c>
      <c r="AY14" s="22">
        <f t="shared" si="41"/>
        <v>193.92333333333332</v>
      </c>
      <c r="AZ14" s="22">
        <f t="shared" ref="AZ14" si="42">(AZ13/12)</f>
        <v>26005.5</v>
      </c>
      <c r="BA14" s="22">
        <f t="shared" ref="BA14:BB14" si="43">(BA13/12)</f>
        <v>26005.5</v>
      </c>
      <c r="BB14" s="22">
        <f t="shared" si="43"/>
        <v>0</v>
      </c>
      <c r="BC14" s="22">
        <f>(BC13/12)</f>
        <v>0</v>
      </c>
      <c r="BD14" s="22">
        <f>(BD13/12)</f>
        <v>197.38174500000005</v>
      </c>
      <c r="BE14" s="22">
        <f>(BE13/12)</f>
        <v>26005.5</v>
      </c>
      <c r="BP14" s="21">
        <v>12</v>
      </c>
      <c r="BQ14" s="24">
        <v>6</v>
      </c>
      <c r="BR14" s="25">
        <v>0.14000000000000001</v>
      </c>
    </row>
    <row r="15" spans="1:70" ht="39.950000000000003" customHeight="1" x14ac:dyDescent="0.25">
      <c r="A15" s="3">
        <f t="shared" ref="A15:A26" ca="1" si="44">(BJ45)</f>
        <v>0.15</v>
      </c>
      <c r="B15" s="5" t="s">
        <v>8</v>
      </c>
      <c r="C15" s="14">
        <v>0</v>
      </c>
      <c r="D15" s="15">
        <v>0</v>
      </c>
      <c r="E15" s="15">
        <v>0</v>
      </c>
      <c r="F15" s="15">
        <v>0</v>
      </c>
      <c r="G15" s="15">
        <v>0</v>
      </c>
      <c r="H15" s="14">
        <v>20</v>
      </c>
      <c r="I15" s="14">
        <v>26</v>
      </c>
      <c r="J15" s="14">
        <v>0</v>
      </c>
      <c r="K15" s="16" t="s">
        <v>1</v>
      </c>
      <c r="L15" s="16" t="s">
        <v>1</v>
      </c>
      <c r="M15" s="16" t="s">
        <v>1</v>
      </c>
      <c r="N15" s="17">
        <v>0</v>
      </c>
      <c r="O15" s="6">
        <f t="shared" ref="O15:O26" ca="1" si="45">(AU45+AW15+AZ15+AX45+BB45+BC45+BL45-P15)</f>
        <v>46221.933287433523</v>
      </c>
      <c r="P15" s="6">
        <f t="shared" ref="P15:P26" ca="1" si="46">(AG1+AI1+AF15+AH15+AK1+BA15)</f>
        <v>4554</v>
      </c>
      <c r="Q15" s="7">
        <f ca="1">(O15+P15)</f>
        <v>50775.933287433523</v>
      </c>
      <c r="R15" s="73"/>
      <c r="S15" s="77"/>
      <c r="T15" s="67"/>
      <c r="U15" s="66"/>
      <c r="V15" s="69"/>
      <c r="W15" s="68"/>
      <c r="X15" s="80"/>
      <c r="Y15" s="18" t="s">
        <v>30</v>
      </c>
      <c r="Z15" s="19">
        <f t="shared" ca="1" si="29"/>
        <v>4592.488650463727</v>
      </c>
      <c r="AA15" s="22">
        <f ca="1">COUNTIF(R1,"Ocak")*(AX45)*-1
+COUNTIF(R1,"Şubat")*(AX46)*-1
+COUNTIF(R1,"Mart")*(AX47)*-1
+COUNTIF(R1,"Nisan")*(AX48)*-1
+COUNTIF(R1,"Mayıs")*(AX49)*-1
+COUNTIF(R1,"Haziran")*(AX50)*-1
+COUNTIF(R1,"Temmuz")*(AX51)*-1
+COUNTIF(R1,"Ağustos")*(AX52)*-1
+COUNTIF(R1,"Eylül")*(AX53)*-1
+COUNTIF(R1,"Ekim")*(AX54)*-1
+COUNTIF(R1,"Kasım")*(AX55)*-1
+COUNTIF(R1,"Aralık")*(AX56)*-1
+COUNTIF(R1,"Yıllık Toplam")*(AX57)*-1
+COUNTIF(R1,"Yıllık Ortalama")*(AX58)*-1</f>
        <v>4592.488650463727</v>
      </c>
      <c r="AB15" s="22" t="s">
        <v>0</v>
      </c>
      <c r="AC15" s="21" t="s">
        <v>0</v>
      </c>
      <c r="AD15" s="19">
        <v>240</v>
      </c>
      <c r="AE15" s="19">
        <v>240</v>
      </c>
      <c r="AF15" s="22">
        <f t="shared" ref="AF15:AF26" ca="1" si="47">(AJ1*BO45)</f>
        <v>0</v>
      </c>
      <c r="AG15" s="22">
        <f t="shared" ref="AG15:AG26" si="48">(AO15/7.5*0.15*G15)</f>
        <v>0</v>
      </c>
      <c r="AH15" s="22">
        <f t="shared" ref="AH15:AH26" ca="1" si="49">(AG15*BO45)</f>
        <v>0</v>
      </c>
      <c r="AI15" s="22">
        <f t="shared" ref="AI15:AI26" si="50">(240*H15)</f>
        <v>4800</v>
      </c>
      <c r="AJ15" s="28">
        <v>45658</v>
      </c>
      <c r="AK15" s="29">
        <f t="shared" ref="AK15:AK26" si="51">EOMONTH(AJ15,0)</f>
        <v>45688</v>
      </c>
      <c r="AL15" s="30">
        <f>DAY(AK15)</f>
        <v>31</v>
      </c>
      <c r="AM15" s="30">
        <f>NETWORKDAYS.INTL(AJ15,AK15,11)</f>
        <v>27</v>
      </c>
      <c r="AN15" s="30">
        <f>(AL15-AM15)</f>
        <v>4</v>
      </c>
      <c r="AO15" s="19">
        <f t="shared" ref="AO15:AO20" si="52">COUNTIF($A$1,"Temizlik Sorumlusu")*($AC$1)
+COUNTIF($A$1,"Temizlik Görevlisi")*($AC$2)</f>
        <v>1767.5</v>
      </c>
      <c r="AP15" s="19">
        <f t="shared" ref="AP15:AP26" ca="1" si="53">(AO15*BO45)</f>
        <v>1263.603425</v>
      </c>
      <c r="AQ15" s="22">
        <f t="shared" ref="AQ15:AQ26" si="54">(AL1)</f>
        <v>4800</v>
      </c>
      <c r="AR15" s="22">
        <f t="shared" ref="AR15:AR26" ca="1" si="55">(AS15/BO45)</f>
        <v>2965.4082332041794</v>
      </c>
      <c r="AS15" s="22">
        <f t="shared" ref="AS15:AS26" si="56">(2120/26*I15)</f>
        <v>2120</v>
      </c>
      <c r="AT15" s="23">
        <v>0</v>
      </c>
      <c r="AU15" s="22">
        <f t="shared" ref="AU15:AU26" si="57">(AO15*AT15)</f>
        <v>0</v>
      </c>
      <c r="AV15" s="22">
        <f t="shared" ref="AV15:AV26" ca="1" si="58">(AU15*BO45)</f>
        <v>0</v>
      </c>
      <c r="AW15" s="22">
        <f t="shared" ref="AW15:AW26" si="59">COUNTIF(AY29,"Var")*(AO15*-1)</f>
        <v>-1767.5</v>
      </c>
      <c r="AX15" s="22">
        <f>(AW15*-1)</f>
        <v>1767.5</v>
      </c>
      <c r="AY15" s="31">
        <f t="shared" ref="AY15:AY26" ca="1" si="60">(AZ15+BA15)</f>
        <v>0</v>
      </c>
      <c r="AZ15" s="31">
        <f t="shared" ref="AZ15:AZ26" ca="1" si="61">(BA45*N15+BA15)*-1</f>
        <v>0</v>
      </c>
      <c r="BA15" s="31">
        <f t="shared" ref="BA15:BA26" si="62">(AF1+AH1+AJ1+AG15+AI15-AL29)*(N15*-1)</f>
        <v>0</v>
      </c>
      <c r="BB15" s="22">
        <f t="shared" ref="BB15:BB26" ca="1" si="63">(AU45)</f>
        <v>66531.878233204174</v>
      </c>
      <c r="BC15" s="22">
        <f ca="1">(BB15*0.205)</f>
        <v>13639.035037806854</v>
      </c>
      <c r="BD15" s="22">
        <f ca="1">(BB15*0.01)</f>
        <v>665.31878233204179</v>
      </c>
      <c r="BE15" s="22">
        <f ca="1">(BB15*0.05*-1)</f>
        <v>-3326.593911660209</v>
      </c>
      <c r="BF15" s="22">
        <f ca="1">(BB15+BC15+BD15+BE15)</f>
        <v>77509.638141682866</v>
      </c>
      <c r="BP15" s="21">
        <v>13</v>
      </c>
      <c r="BQ15" s="24">
        <v>6.5</v>
      </c>
      <c r="BR15" s="25">
        <v>0.15</v>
      </c>
    </row>
    <row r="16" spans="1:70" ht="39.950000000000003" customHeight="1" x14ac:dyDescent="0.25">
      <c r="A16" s="3">
        <f t="shared" ca="1" si="44"/>
        <v>0.15</v>
      </c>
      <c r="B16" s="5" t="s">
        <v>9</v>
      </c>
      <c r="C16" s="14">
        <v>0</v>
      </c>
      <c r="D16" s="15">
        <v>0</v>
      </c>
      <c r="E16" s="15">
        <v>0</v>
      </c>
      <c r="F16" s="15">
        <v>0</v>
      </c>
      <c r="G16" s="15">
        <v>0</v>
      </c>
      <c r="H16" s="14">
        <v>20</v>
      </c>
      <c r="I16" s="14">
        <v>26</v>
      </c>
      <c r="J16" s="14">
        <v>0</v>
      </c>
      <c r="K16" s="16" t="s">
        <v>1</v>
      </c>
      <c r="L16" s="16" t="s">
        <v>1</v>
      </c>
      <c r="M16" s="16" t="s">
        <v>1</v>
      </c>
      <c r="N16" s="17">
        <v>0</v>
      </c>
      <c r="O16" s="6">
        <f t="shared" ca="1" si="45"/>
        <v>42431.124262433535</v>
      </c>
      <c r="P16" s="6">
        <f t="shared" ca="1" si="46"/>
        <v>4554</v>
      </c>
      <c r="Q16" s="7">
        <f t="shared" ref="Q16:Q26" ca="1" si="64">(O16+P16)</f>
        <v>46985.124262433535</v>
      </c>
      <c r="R16" s="73"/>
      <c r="S16" s="77"/>
      <c r="T16" s="67"/>
      <c r="U16" s="66"/>
      <c r="V16" s="69"/>
      <c r="W16" s="68"/>
      <c r="X16" s="80"/>
      <c r="Y16" s="18" t="s">
        <v>3</v>
      </c>
      <c r="Z16" s="19">
        <f t="shared" ca="1" si="29"/>
        <v>131154.37558167614</v>
      </c>
      <c r="AA16" s="22">
        <f ca="1">COUNTIF(R1,"Ocak")*(BB45)*-1
+COUNTIF(R1,"Şubat")*(BB46)*-1
+COUNTIF(R1,"Mart")*(BB47)*-1
+COUNTIF(R1,"Nisan")*(BB48)*-1
+COUNTIF(R1,"Mayıs")*(BB49)*-1
+COUNTIF(R1,"Haziran")*(BB50)*-1
+COUNTIF(R1,"Temmuz")*(BB51)*-1
+COUNTIF(R1,"Ağustos")*(BB52)*-1
+COUNTIF(R1,"Eylül")*(BB53)*-1
+COUNTIF(R1,"Ekim")*(BB54)*-1
+COUNTIF(R1,"Kasım")*(BB55)*-1
+COUNTIF(R1,"Aralık")*(BB56)*-1
+COUNTIF(R1,"Yıllık Toplam")*(BB57)*-1
+COUNTIF(R1,"Yıllık Ortalama")*(BB58)*-1</f>
        <v>131154.37558167614</v>
      </c>
      <c r="AF16" s="22">
        <f t="shared" ca="1" si="47"/>
        <v>0</v>
      </c>
      <c r="AG16" s="22">
        <f t="shared" si="48"/>
        <v>0</v>
      </c>
      <c r="AH16" s="22">
        <f t="shared" ca="1" si="49"/>
        <v>0</v>
      </c>
      <c r="AI16" s="22">
        <f t="shared" si="50"/>
        <v>4800</v>
      </c>
      <c r="AJ16" s="29">
        <f>(AK15+1)</f>
        <v>45689</v>
      </c>
      <c r="AK16" s="29">
        <f t="shared" si="51"/>
        <v>45716</v>
      </c>
      <c r="AL16" s="30">
        <f t="shared" ref="AL16:AL26" si="65">DAY(AK16)</f>
        <v>28</v>
      </c>
      <c r="AM16" s="30">
        <f t="shared" ref="AM16:AM26" si="66">NETWORKDAYS.INTL(AJ16,AK16,11)</f>
        <v>24</v>
      </c>
      <c r="AN16" s="30">
        <f t="shared" ref="AN16:AN26" si="67">(AL16-AM16)</f>
        <v>4</v>
      </c>
      <c r="AO16" s="19">
        <f t="shared" si="52"/>
        <v>1767.5</v>
      </c>
      <c r="AP16" s="19">
        <f t="shared" ca="1" si="53"/>
        <v>1263.603425</v>
      </c>
      <c r="AQ16" s="22">
        <f t="shared" si="54"/>
        <v>4800</v>
      </c>
      <c r="AR16" s="22">
        <f t="shared" ca="1" si="55"/>
        <v>2965.4082332041794</v>
      </c>
      <c r="AS16" s="22">
        <f t="shared" si="56"/>
        <v>2120</v>
      </c>
      <c r="AT16" s="23">
        <v>0</v>
      </c>
      <c r="AU16" s="22">
        <f t="shared" si="57"/>
        <v>0</v>
      </c>
      <c r="AV16" s="22">
        <f t="shared" ca="1" si="58"/>
        <v>0</v>
      </c>
      <c r="AW16" s="22">
        <f t="shared" si="59"/>
        <v>-1767.5</v>
      </c>
      <c r="AX16" s="22">
        <f t="shared" ref="AX16:AX26" si="68">(AW16*-1)</f>
        <v>1767.5</v>
      </c>
      <c r="AY16" s="31">
        <f t="shared" ca="1" si="60"/>
        <v>0</v>
      </c>
      <c r="AZ16" s="31">
        <f t="shared" ca="1" si="61"/>
        <v>0</v>
      </c>
      <c r="BA16" s="31">
        <f t="shared" si="62"/>
        <v>0</v>
      </c>
      <c r="BB16" s="22">
        <f t="shared" ca="1" si="63"/>
        <v>61229.378233204181</v>
      </c>
      <c r="BC16" s="22">
        <f t="shared" ref="BC16:BC26" ca="1" si="69">(BB16*0.205)</f>
        <v>12552.022537806857</v>
      </c>
      <c r="BD16" s="22">
        <f t="shared" ref="BD16:BD26" ca="1" si="70">(BB16*0.01)</f>
        <v>612.29378233204181</v>
      </c>
      <c r="BE16" s="22">
        <f t="shared" ref="BE16:BE26" ca="1" si="71">(BB16*0.05*-1)</f>
        <v>-3061.4689116602094</v>
      </c>
      <c r="BF16" s="22">
        <f t="shared" ref="BF16:BF26" ca="1" si="72">(BB16+BC16+BD16+BE16)</f>
        <v>71332.225641682875</v>
      </c>
      <c r="BP16" s="21">
        <v>14</v>
      </c>
      <c r="BQ16" s="24">
        <v>7</v>
      </c>
      <c r="BR16" s="25">
        <v>0.16</v>
      </c>
    </row>
    <row r="17" spans="1:70" ht="39.950000000000003" customHeight="1" x14ac:dyDescent="0.25">
      <c r="A17" s="3">
        <f t="shared" ca="1" si="44"/>
        <v>0.15728258368417339</v>
      </c>
      <c r="B17" s="5" t="s">
        <v>10</v>
      </c>
      <c r="C17" s="14">
        <v>0</v>
      </c>
      <c r="D17" s="15">
        <v>0</v>
      </c>
      <c r="E17" s="15">
        <v>0</v>
      </c>
      <c r="F17" s="15">
        <v>0</v>
      </c>
      <c r="G17" s="15">
        <v>0</v>
      </c>
      <c r="H17" s="14">
        <v>20</v>
      </c>
      <c r="I17" s="14">
        <v>26</v>
      </c>
      <c r="J17" s="14">
        <v>0</v>
      </c>
      <c r="K17" s="16" t="s">
        <v>1</v>
      </c>
      <c r="L17" s="16" t="s">
        <v>1</v>
      </c>
      <c r="M17" s="16" t="s">
        <v>1</v>
      </c>
      <c r="N17" s="17">
        <v>0</v>
      </c>
      <c r="O17" s="6">
        <f t="shared" ca="1" si="45"/>
        <v>64664.767563221481</v>
      </c>
      <c r="P17" s="6">
        <f t="shared" ca="1" si="46"/>
        <v>4554</v>
      </c>
      <c r="Q17" s="7">
        <f t="shared" ca="1" si="64"/>
        <v>69218.767563221481</v>
      </c>
      <c r="R17" s="73"/>
      <c r="S17" s="77"/>
      <c r="T17" s="67"/>
      <c r="U17" s="66"/>
      <c r="V17" s="69"/>
      <c r="W17" s="68"/>
      <c r="X17" s="80"/>
      <c r="Y17" s="18" t="s">
        <v>4</v>
      </c>
      <c r="Z17" s="19">
        <f t="shared" ca="1" si="29"/>
        <v>9368.1696844054368</v>
      </c>
      <c r="AA17" s="22">
        <f ca="1">COUNTIF(R1,"Ocak")*(BC45)*-1
+COUNTIF(R1,"Şubat")*(BC46)*-1
+COUNTIF(R1,"Mart")*(BC47)*-1
+COUNTIF(R1,"Nisan")*(BC48)*-1
+COUNTIF(R1,"Mayıs")*(BC49)*-1
+COUNTIF(R1,"Haziran")*(BC50)*-1
+COUNTIF(R1,"Temmuz")*(BC51)*-1
+COUNTIF(R1,"Ağustos")*(BC52)*-1
+COUNTIF(R1,"Eylül")*(BC53)*-1
+COUNTIF(R1,"Ekim")*(BC54)*-1
+COUNTIF(R1,"Kasım")*(BC55)*-1
+COUNTIF(R1,"Aralık")*(BC56)*-1
+COUNTIF(R1,"Yıllık Toplam")*(BC57)*-1
+COUNTIF(R1,"Yıllık Ortalama")*(BC58)*-1</f>
        <v>9368.1696844054368</v>
      </c>
      <c r="AB17" s="32">
        <f>(2273)</f>
        <v>2273</v>
      </c>
      <c r="AC17" s="21" t="s">
        <v>0</v>
      </c>
      <c r="AD17" s="22">
        <f>($AB$30*$AB$17)</f>
        <v>2301.539788</v>
      </c>
      <c r="AE17" s="22">
        <f>($AC$30*$AB$17)</f>
        <v>2659.8896029999996</v>
      </c>
      <c r="AF17" s="22">
        <f t="shared" ca="1" si="47"/>
        <v>0</v>
      </c>
      <c r="AG17" s="22">
        <f t="shared" si="48"/>
        <v>0</v>
      </c>
      <c r="AH17" s="22">
        <f t="shared" ca="1" si="49"/>
        <v>0</v>
      </c>
      <c r="AI17" s="22">
        <f t="shared" si="50"/>
        <v>4800</v>
      </c>
      <c r="AJ17" s="29">
        <f t="shared" ref="AJ17:AJ26" si="73">(AK16+1)</f>
        <v>45717</v>
      </c>
      <c r="AK17" s="29">
        <f t="shared" si="51"/>
        <v>45747</v>
      </c>
      <c r="AL17" s="30">
        <f t="shared" si="65"/>
        <v>31</v>
      </c>
      <c r="AM17" s="30">
        <f t="shared" si="66"/>
        <v>26</v>
      </c>
      <c r="AN17" s="30">
        <f t="shared" si="67"/>
        <v>5</v>
      </c>
      <c r="AO17" s="19">
        <f t="shared" si="52"/>
        <v>1767.5</v>
      </c>
      <c r="AP17" s="19">
        <f t="shared" ca="1" si="53"/>
        <v>1252.66225333749</v>
      </c>
      <c r="AQ17" s="22">
        <f t="shared" si="54"/>
        <v>4800</v>
      </c>
      <c r="AR17" s="22">
        <f t="shared" ca="1" si="55"/>
        <v>2991.3091018880273</v>
      </c>
      <c r="AS17" s="22">
        <f t="shared" si="56"/>
        <v>2120</v>
      </c>
      <c r="AT17" s="23">
        <v>15</v>
      </c>
      <c r="AU17" s="22">
        <f t="shared" si="57"/>
        <v>26512.5</v>
      </c>
      <c r="AV17" s="22">
        <f t="shared" ca="1" si="58"/>
        <v>18789.93380006235</v>
      </c>
      <c r="AW17" s="22">
        <f t="shared" si="59"/>
        <v>-1767.5</v>
      </c>
      <c r="AX17" s="22">
        <f t="shared" si="68"/>
        <v>1767.5</v>
      </c>
      <c r="AY17" s="31">
        <f t="shared" ca="1" si="60"/>
        <v>0</v>
      </c>
      <c r="AZ17" s="31">
        <f t="shared" ca="1" si="61"/>
        <v>0</v>
      </c>
      <c r="BA17" s="31">
        <f t="shared" si="62"/>
        <v>0</v>
      </c>
      <c r="BB17" s="22">
        <f t="shared" ca="1" si="63"/>
        <v>93070.279101888038</v>
      </c>
      <c r="BC17" s="22">
        <f t="shared" ca="1" si="69"/>
        <v>19079.407215887048</v>
      </c>
      <c r="BD17" s="22">
        <f t="shared" ca="1" si="70"/>
        <v>930.70279101888036</v>
      </c>
      <c r="BE17" s="22">
        <f t="shared" ca="1" si="71"/>
        <v>-4653.5139550944023</v>
      </c>
      <c r="BF17" s="22">
        <f t="shared" ca="1" si="72"/>
        <v>108426.87515369956</v>
      </c>
      <c r="BP17" s="21">
        <v>15</v>
      </c>
      <c r="BQ17" s="24">
        <v>7.5</v>
      </c>
      <c r="BR17" s="25">
        <v>0.17</v>
      </c>
    </row>
    <row r="18" spans="1:70" ht="39.950000000000003" customHeight="1" x14ac:dyDescent="0.25">
      <c r="A18" s="3">
        <f t="shared" ca="1" si="44"/>
        <v>0.2</v>
      </c>
      <c r="B18" s="5" t="s">
        <v>11</v>
      </c>
      <c r="C18" s="14">
        <v>0</v>
      </c>
      <c r="D18" s="15">
        <v>0</v>
      </c>
      <c r="E18" s="15">
        <v>0</v>
      </c>
      <c r="F18" s="15">
        <v>0</v>
      </c>
      <c r="G18" s="15">
        <v>0</v>
      </c>
      <c r="H18" s="14">
        <v>20</v>
      </c>
      <c r="I18" s="14">
        <v>26</v>
      </c>
      <c r="J18" s="14">
        <v>0</v>
      </c>
      <c r="K18" s="16" t="s">
        <v>1</v>
      </c>
      <c r="L18" s="16" t="s">
        <v>1</v>
      </c>
      <c r="M18" s="16" t="s">
        <v>1</v>
      </c>
      <c r="N18" s="17">
        <v>0</v>
      </c>
      <c r="O18" s="6">
        <f t="shared" ca="1" si="45"/>
        <v>42650.406573370579</v>
      </c>
      <c r="P18" s="6">
        <f t="shared" ca="1" si="46"/>
        <v>4554</v>
      </c>
      <c r="Q18" s="7">
        <f t="shared" ca="1" si="64"/>
        <v>47204.406573370579</v>
      </c>
      <c r="R18" s="73"/>
      <c r="S18" s="77"/>
      <c r="T18" s="67"/>
      <c r="U18" s="66"/>
      <c r="V18" s="69"/>
      <c r="W18" s="68"/>
      <c r="X18" s="80"/>
      <c r="Y18" s="18" t="s">
        <v>31</v>
      </c>
      <c r="Z18" s="19">
        <f t="shared" ca="1" si="29"/>
        <v>126616.42</v>
      </c>
      <c r="AA18" s="22">
        <f ca="1">COUNTIF(R1,"Ocak")*(BL45)*-1
+COUNTIF(R1,"Şubat")*(BL46)*-1
+COUNTIF(R1,"Mart")*(BL47)*-1
+COUNTIF(R1,"Nisan")*(BL48)*-1
+COUNTIF(R1,"Mayıs")*(BL49)*-1
+COUNTIF(R1,"Haziran")*(BL50)*-1
+COUNTIF(R1,"Temmuz")*(BL51)*-1
+COUNTIF(R1,"Ağustos")*(BL52)*-1
+COUNTIF(R1,"Eylül")*(BL53)*-1
+COUNTIF(R1,"Ekim")*(BL54)*-1
+COUNTIF(R1,"Kasım")*(BL55)*-1
+COUNTIF(R1,"Aralık")*(BL56)*-1
+COUNTIF(R1,"Yıllık Toplam")*(BL57)*-1
+COUNTIF(R1,"Yıllık Ortalama")*(BL58)*-1</f>
        <v>126616.42</v>
      </c>
      <c r="AB18" s="32">
        <f>(250)</f>
        <v>250</v>
      </c>
      <c r="AC18" s="21" t="s">
        <v>0</v>
      </c>
      <c r="AD18" s="22">
        <f>($AB$30*$AB$18*2)</f>
        <v>506.27800000000002</v>
      </c>
      <c r="AE18" s="22">
        <f>($AC$30*$AB$18*2)</f>
        <v>585.10549999999989</v>
      </c>
      <c r="AF18" s="22">
        <f t="shared" ca="1" si="47"/>
        <v>0</v>
      </c>
      <c r="AG18" s="22">
        <f t="shared" si="48"/>
        <v>0</v>
      </c>
      <c r="AH18" s="22">
        <f t="shared" ca="1" si="49"/>
        <v>0</v>
      </c>
      <c r="AI18" s="22">
        <f t="shared" si="50"/>
        <v>4800</v>
      </c>
      <c r="AJ18" s="29">
        <f t="shared" si="73"/>
        <v>45748</v>
      </c>
      <c r="AK18" s="29">
        <f t="shared" si="51"/>
        <v>45777</v>
      </c>
      <c r="AL18" s="30">
        <f t="shared" si="65"/>
        <v>30</v>
      </c>
      <c r="AM18" s="30">
        <f t="shared" si="66"/>
        <v>26</v>
      </c>
      <c r="AN18" s="30">
        <f t="shared" si="67"/>
        <v>4</v>
      </c>
      <c r="AO18" s="19">
        <f t="shared" si="52"/>
        <v>1767.5</v>
      </c>
      <c r="AP18" s="19">
        <f t="shared" ca="1" si="53"/>
        <v>1188.4846749999999</v>
      </c>
      <c r="AQ18" s="22">
        <f t="shared" si="54"/>
        <v>4800</v>
      </c>
      <c r="AR18" s="22">
        <f t="shared" ca="1" si="55"/>
        <v>3152.8382980621946</v>
      </c>
      <c r="AS18" s="22">
        <f t="shared" si="56"/>
        <v>2120</v>
      </c>
      <c r="AT18" s="23">
        <v>0</v>
      </c>
      <c r="AU18" s="22">
        <f t="shared" si="57"/>
        <v>0</v>
      </c>
      <c r="AV18" s="22">
        <f t="shared" ca="1" si="58"/>
        <v>0</v>
      </c>
      <c r="AW18" s="22">
        <f t="shared" si="59"/>
        <v>-1767.5</v>
      </c>
      <c r="AX18" s="22">
        <f t="shared" si="68"/>
        <v>1767.5</v>
      </c>
      <c r="AY18" s="31">
        <f t="shared" ca="1" si="60"/>
        <v>0</v>
      </c>
      <c r="AZ18" s="31">
        <f t="shared" ca="1" si="61"/>
        <v>0</v>
      </c>
      <c r="BA18" s="31">
        <f t="shared" si="62"/>
        <v>0</v>
      </c>
      <c r="BB18" s="22">
        <f t="shared" ca="1" si="63"/>
        <v>64951.808298062198</v>
      </c>
      <c r="BC18" s="22">
        <f t="shared" ca="1" si="69"/>
        <v>13315.120701102749</v>
      </c>
      <c r="BD18" s="22">
        <f t="shared" ca="1" si="70"/>
        <v>649.51808298062201</v>
      </c>
      <c r="BE18" s="22">
        <f t="shared" ca="1" si="71"/>
        <v>-3247.5904149031103</v>
      </c>
      <c r="BF18" s="22">
        <f t="shared" ca="1" si="72"/>
        <v>75668.856667242449</v>
      </c>
      <c r="BP18" s="21">
        <v>16</v>
      </c>
      <c r="BQ18" s="24">
        <v>8</v>
      </c>
      <c r="BR18" s="25">
        <v>0.18</v>
      </c>
    </row>
    <row r="19" spans="1:70" ht="39.950000000000003" customHeight="1" x14ac:dyDescent="0.25">
      <c r="A19" s="3">
        <f t="shared" ca="1" si="44"/>
        <v>0.2</v>
      </c>
      <c r="B19" s="5" t="s">
        <v>12</v>
      </c>
      <c r="C19" s="14">
        <v>0</v>
      </c>
      <c r="D19" s="15">
        <v>0</v>
      </c>
      <c r="E19" s="15">
        <v>0</v>
      </c>
      <c r="F19" s="15">
        <v>0</v>
      </c>
      <c r="G19" s="15">
        <v>0</v>
      </c>
      <c r="H19" s="14">
        <v>20</v>
      </c>
      <c r="I19" s="14">
        <v>26</v>
      </c>
      <c r="J19" s="14">
        <v>0</v>
      </c>
      <c r="K19" s="16" t="s">
        <v>1</v>
      </c>
      <c r="L19" s="16" t="s">
        <v>1</v>
      </c>
      <c r="M19" s="16" t="s">
        <v>1</v>
      </c>
      <c r="N19" s="17">
        <v>0</v>
      </c>
      <c r="O19" s="6">
        <f t="shared" ca="1" si="45"/>
        <v>43838.896248370569</v>
      </c>
      <c r="P19" s="6">
        <f t="shared" ca="1" si="46"/>
        <v>4554</v>
      </c>
      <c r="Q19" s="7">
        <f t="shared" ca="1" si="64"/>
        <v>48392.896248370569</v>
      </c>
      <c r="R19" s="73"/>
      <c r="S19" s="77"/>
      <c r="T19" s="67"/>
      <c r="U19" s="66"/>
      <c r="V19" s="69"/>
      <c r="W19" s="68"/>
      <c r="X19" s="80"/>
      <c r="Y19" s="18" t="s">
        <v>62</v>
      </c>
      <c r="Z19" s="19">
        <f t="shared" ca="1" si="29"/>
        <v>1135568.5682332332</v>
      </c>
      <c r="AA19" s="22">
        <f ca="1">COUNTIF(R1,"Ocak")*(BF15)
+COUNTIF(R1,"Şubat")*(BF16)
+COUNTIF(R1,"Mart")*(BF17)
+COUNTIF(R1,"Nisan")*(BF18)
+COUNTIF(R1,"Mayıs")*(BF19)
+COUNTIF(R1,"Haziran")*(BF20)
+COUNTIF(R1,"Temmuz")*(BF21)
+COUNTIF(R1,"Ağustos")*(BF22)
+COUNTIF(R1,"Eylül")*(BF23)
+COUNTIF(R1,"Ekim")*(BF24)
+COUNTIF(R1,"Kasım")*(BF25)
+COUNTIF(R1,"Aralık")*(BF26)
+COUNTIF(R1,"Yıllık Toplam")*(BF27)
+COUNTIF(R1,"Yıllık Ortalama")*(BF28)</f>
        <v>1135568.5682332332</v>
      </c>
      <c r="AB19" s="32">
        <f>(AB18)</f>
        <v>250</v>
      </c>
      <c r="AC19" s="21" t="s">
        <v>0</v>
      </c>
      <c r="AD19" s="22">
        <f>($AB$30*$AB$19)</f>
        <v>253.13900000000001</v>
      </c>
      <c r="AE19" s="22">
        <f>($AC$30*$AB$19)</f>
        <v>292.55274999999995</v>
      </c>
      <c r="AF19" s="22">
        <f t="shared" ca="1" si="47"/>
        <v>0</v>
      </c>
      <c r="AG19" s="22">
        <f t="shared" si="48"/>
        <v>0</v>
      </c>
      <c r="AH19" s="22">
        <f t="shared" ca="1" si="49"/>
        <v>0</v>
      </c>
      <c r="AI19" s="22">
        <f t="shared" si="50"/>
        <v>4800</v>
      </c>
      <c r="AJ19" s="29">
        <f t="shared" si="73"/>
        <v>45778</v>
      </c>
      <c r="AK19" s="29">
        <f t="shared" si="51"/>
        <v>45808</v>
      </c>
      <c r="AL19" s="30">
        <f t="shared" si="65"/>
        <v>31</v>
      </c>
      <c r="AM19" s="30">
        <f t="shared" si="66"/>
        <v>27</v>
      </c>
      <c r="AN19" s="30">
        <f t="shared" si="67"/>
        <v>4</v>
      </c>
      <c r="AO19" s="19">
        <f t="shared" si="52"/>
        <v>1767.5</v>
      </c>
      <c r="AP19" s="19">
        <f t="shared" ca="1" si="53"/>
        <v>1188.4846749999999</v>
      </c>
      <c r="AQ19" s="22">
        <f t="shared" si="54"/>
        <v>4800</v>
      </c>
      <c r="AR19" s="22">
        <f t="shared" ca="1" si="55"/>
        <v>3152.8382980621946</v>
      </c>
      <c r="AS19" s="22">
        <f t="shared" si="56"/>
        <v>2120</v>
      </c>
      <c r="AT19" s="23">
        <v>0</v>
      </c>
      <c r="AU19" s="22">
        <f t="shared" si="57"/>
        <v>0</v>
      </c>
      <c r="AV19" s="22">
        <f t="shared" ca="1" si="58"/>
        <v>0</v>
      </c>
      <c r="AW19" s="22">
        <f t="shared" si="59"/>
        <v>-1767.5</v>
      </c>
      <c r="AX19" s="22">
        <f t="shared" si="68"/>
        <v>1767.5</v>
      </c>
      <c r="AY19" s="31">
        <f t="shared" ca="1" si="60"/>
        <v>0</v>
      </c>
      <c r="AZ19" s="31">
        <f t="shared" ca="1" si="61"/>
        <v>0</v>
      </c>
      <c r="BA19" s="31">
        <f t="shared" si="62"/>
        <v>0</v>
      </c>
      <c r="BB19" s="22">
        <f t="shared" ca="1" si="63"/>
        <v>66719.308298062198</v>
      </c>
      <c r="BC19" s="22">
        <f t="shared" ca="1" si="69"/>
        <v>13677.458201102751</v>
      </c>
      <c r="BD19" s="22">
        <f t="shared" ca="1" si="70"/>
        <v>667.19308298062197</v>
      </c>
      <c r="BE19" s="22">
        <f t="shared" ca="1" si="71"/>
        <v>-3335.9654149031103</v>
      </c>
      <c r="BF19" s="22">
        <f t="shared" ca="1" si="72"/>
        <v>77727.994167242461</v>
      </c>
      <c r="BP19" s="21">
        <v>17</v>
      </c>
      <c r="BQ19" s="24">
        <v>8.5</v>
      </c>
      <c r="BR19" s="25">
        <v>0.19</v>
      </c>
    </row>
    <row r="20" spans="1:70" ht="39.950000000000003" customHeight="1" x14ac:dyDescent="0.25">
      <c r="A20" s="3">
        <f t="shared" ca="1" si="44"/>
        <v>0.20899768505230976</v>
      </c>
      <c r="B20" s="5" t="s">
        <v>13</v>
      </c>
      <c r="C20" s="14">
        <v>0</v>
      </c>
      <c r="D20" s="15">
        <v>0</v>
      </c>
      <c r="E20" s="15">
        <v>0</v>
      </c>
      <c r="F20" s="15">
        <v>0</v>
      </c>
      <c r="G20" s="15">
        <v>0</v>
      </c>
      <c r="H20" s="14">
        <v>20</v>
      </c>
      <c r="I20" s="14">
        <v>26</v>
      </c>
      <c r="J20" s="14">
        <v>0</v>
      </c>
      <c r="K20" s="16" t="s">
        <v>1</v>
      </c>
      <c r="L20" s="16" t="s">
        <v>1</v>
      </c>
      <c r="M20" s="16" t="s">
        <v>1</v>
      </c>
      <c r="N20" s="17">
        <v>0</v>
      </c>
      <c r="O20" s="6">
        <f t="shared" ca="1" si="45"/>
        <v>59859.588560829565</v>
      </c>
      <c r="P20" s="6">
        <f t="shared" ca="1" si="46"/>
        <v>4554</v>
      </c>
      <c r="Q20" s="7">
        <f t="shared" ca="1" si="64"/>
        <v>64413.588560829565</v>
      </c>
      <c r="R20" s="73"/>
      <c r="S20" s="77"/>
      <c r="T20" s="67"/>
      <c r="U20" s="66"/>
      <c r="V20" s="69"/>
      <c r="W20" s="68"/>
      <c r="X20" s="80"/>
      <c r="Y20" s="33" t="s">
        <v>38</v>
      </c>
      <c r="Z20" s="19">
        <f t="shared" ca="1" si="29"/>
        <v>679709.49452399835</v>
      </c>
      <c r="AA20" s="19">
        <f ca="1">COUNTIF(R1,"Ocak")*Q15
+COUNTIF(R1,"Şubat")*Q16
+COUNTIF(R1,"Mart")*Q17
+COUNTIF(R1,"Nisan")*Q18
+COUNTIF(R1,"Mayıs")*Q19
+COUNTIF(R1,"Haziran")*Q20
+COUNTIF(R1,"Temmuz")*Q21
+COUNTIF(R1,"Ağustos")*Q22
+COUNTIF(R1,"Eylül")*Q23
+COUNTIF(R1,"Ekim")*Q24
+COUNTIF(R1,"Kasım")*Q25
+COUNTIF(R1,"Aralık")*Q26
+COUNTIF(R1,"Yıllık Toplam")*(Q27)*-1
+COUNTIF(R1,"Yıllık Ortalama")*(Q28)*-1</f>
        <v>-679709.49452399835</v>
      </c>
      <c r="AB20" s="34">
        <f>(1.5)</f>
        <v>1.5</v>
      </c>
      <c r="AC20" s="21" t="s">
        <v>0</v>
      </c>
      <c r="AD20" s="22">
        <f>($AD$18*$AB$20)</f>
        <v>759.41700000000003</v>
      </c>
      <c r="AE20" s="22">
        <f>($AE$18*$AB$20)</f>
        <v>877.65824999999984</v>
      </c>
      <c r="AF20" s="22">
        <f t="shared" ca="1" si="47"/>
        <v>0</v>
      </c>
      <c r="AG20" s="22">
        <f t="shared" si="48"/>
        <v>0</v>
      </c>
      <c r="AH20" s="22">
        <f t="shared" ca="1" si="49"/>
        <v>0</v>
      </c>
      <c r="AI20" s="22">
        <f t="shared" si="50"/>
        <v>4800</v>
      </c>
      <c r="AJ20" s="29">
        <f t="shared" si="73"/>
        <v>45809</v>
      </c>
      <c r="AK20" s="29">
        <f t="shared" si="51"/>
        <v>45838</v>
      </c>
      <c r="AL20" s="30">
        <f t="shared" si="65"/>
        <v>30</v>
      </c>
      <c r="AM20" s="30">
        <f t="shared" si="66"/>
        <v>25</v>
      </c>
      <c r="AN20" s="30">
        <f t="shared" si="67"/>
        <v>5</v>
      </c>
      <c r="AO20" s="19">
        <f t="shared" si="52"/>
        <v>1767.5</v>
      </c>
      <c r="AP20" s="19">
        <f t="shared" ca="1" si="53"/>
        <v>1174.9667779195363</v>
      </c>
      <c r="AQ20" s="22">
        <f t="shared" si="54"/>
        <v>4800</v>
      </c>
      <c r="AR20" s="22">
        <f t="shared" ca="1" si="55"/>
        <v>3189.1114458868624</v>
      </c>
      <c r="AS20" s="22">
        <f t="shared" si="56"/>
        <v>2120</v>
      </c>
      <c r="AT20" s="23">
        <v>15</v>
      </c>
      <c r="AU20" s="22">
        <f t="shared" si="57"/>
        <v>26512.5</v>
      </c>
      <c r="AV20" s="22">
        <f t="shared" ca="1" si="58"/>
        <v>17624.501668793044</v>
      </c>
      <c r="AW20" s="22">
        <f t="shared" si="59"/>
        <v>-1767.5</v>
      </c>
      <c r="AX20" s="22">
        <f t="shared" si="68"/>
        <v>1767.5</v>
      </c>
      <c r="AY20" s="31">
        <f t="shared" ca="1" si="60"/>
        <v>0</v>
      </c>
      <c r="AZ20" s="31">
        <f t="shared" ca="1" si="61"/>
        <v>0</v>
      </c>
      <c r="BA20" s="31">
        <f t="shared" si="62"/>
        <v>0</v>
      </c>
      <c r="BB20" s="22">
        <f t="shared" ca="1" si="63"/>
        <v>91500.58144588687</v>
      </c>
      <c r="BC20" s="22">
        <f t="shared" ca="1" si="69"/>
        <v>18757.619196406806</v>
      </c>
      <c r="BD20" s="22">
        <f t="shared" ca="1" si="70"/>
        <v>915.00581445886871</v>
      </c>
      <c r="BE20" s="22">
        <f t="shared" ca="1" si="71"/>
        <v>-4575.0290722943437</v>
      </c>
      <c r="BF20" s="22">
        <f t="shared" ca="1" si="72"/>
        <v>106598.17738445819</v>
      </c>
      <c r="BP20" s="21">
        <v>18</v>
      </c>
      <c r="BQ20" s="24">
        <v>9</v>
      </c>
      <c r="BR20" s="25">
        <v>0.2</v>
      </c>
    </row>
    <row r="21" spans="1:70" ht="39.950000000000003" customHeight="1" x14ac:dyDescent="0.25">
      <c r="A21" s="3">
        <f t="shared" ca="1" si="44"/>
        <v>0.27</v>
      </c>
      <c r="B21" s="5" t="s">
        <v>14</v>
      </c>
      <c r="C21" s="14">
        <v>0</v>
      </c>
      <c r="D21" s="15">
        <v>0</v>
      </c>
      <c r="E21" s="15">
        <v>0</v>
      </c>
      <c r="F21" s="15">
        <v>0</v>
      </c>
      <c r="G21" s="15">
        <v>0</v>
      </c>
      <c r="H21" s="14">
        <v>20</v>
      </c>
      <c r="I21" s="14">
        <v>26</v>
      </c>
      <c r="J21" s="14">
        <v>0</v>
      </c>
      <c r="K21" s="16" t="s">
        <v>1</v>
      </c>
      <c r="L21" s="16" t="s">
        <v>1</v>
      </c>
      <c r="M21" s="16" t="s">
        <v>1</v>
      </c>
      <c r="N21" s="17">
        <v>0</v>
      </c>
      <c r="O21" s="6">
        <f t="shared" ca="1" si="45"/>
        <v>47258.889659456523</v>
      </c>
      <c r="P21" s="6">
        <f t="shared" ca="1" si="46"/>
        <v>4554</v>
      </c>
      <c r="Q21" s="7">
        <f t="shared" ca="1" si="64"/>
        <v>51812.889659456523</v>
      </c>
      <c r="R21" s="73"/>
      <c r="S21" s="77"/>
      <c r="T21" s="67"/>
      <c r="U21" s="66"/>
      <c r="V21" s="69"/>
      <c r="W21" s="68"/>
      <c r="X21" s="80"/>
      <c r="Y21" s="33" t="s">
        <v>39</v>
      </c>
      <c r="Z21" s="19">
        <f t="shared" ca="1" si="29"/>
        <v>295027.47391654528</v>
      </c>
      <c r="AA21" s="19">
        <f ca="1">COUNTIF(R1,"Ocak")*(AU45-Q15)
+COUNTIF(R1,"Şubat")*(AU46-Q16)
+COUNTIF(R1,"Mart")*(AU47-Q17)
+COUNTIF(R1,"Nisan")*(AU48-Q18)
+COUNTIF(R1,"Mayıs")*(AU49-Q19)
+COUNTIF(R1,"Haziran")*(AU50-Q20)
+COUNTIF(R1,"Temmuz")*(AU51-Q21)
+COUNTIF(R1,"Ağustos")*(AU52-Q22)
+COUNTIF(R1,"Eylül")*(AU53-Q23)
+COUNTIF(R1,"Ekim")*(AU54-Q24)
+COUNTIF(R1,"Kasım")*(AU55-Q25)
+COUNTIF(R1,"Aralık")*(AU56-Q26)
+COUNTIF(R1,"Yıllık Toplam")*(AU57-Q27)*-1
+COUNTIF(R1,"Yıllık Ortalama")*(AU58-Q28)*-1</f>
        <v>-295027.47391654528</v>
      </c>
      <c r="AB21" s="21" t="s">
        <v>0</v>
      </c>
      <c r="AC21" s="21" t="s">
        <v>0</v>
      </c>
      <c r="AD21" s="22">
        <f>($AD$20/2)</f>
        <v>379.70850000000002</v>
      </c>
      <c r="AE21" s="22">
        <f>($AE$20/2)</f>
        <v>438.82912499999992</v>
      </c>
      <c r="AF21" s="22">
        <f t="shared" ca="1" si="47"/>
        <v>0</v>
      </c>
      <c r="AG21" s="22">
        <f t="shared" si="48"/>
        <v>0</v>
      </c>
      <c r="AH21" s="22">
        <f t="shared" ca="1" si="49"/>
        <v>0</v>
      </c>
      <c r="AI21" s="22">
        <f t="shared" si="50"/>
        <v>4800</v>
      </c>
      <c r="AJ21" s="29">
        <f t="shared" si="73"/>
        <v>45839</v>
      </c>
      <c r="AK21" s="29">
        <f t="shared" si="51"/>
        <v>45869</v>
      </c>
      <c r="AL21" s="30">
        <f t="shared" si="65"/>
        <v>31</v>
      </c>
      <c r="AM21" s="30">
        <f t="shared" si="66"/>
        <v>27</v>
      </c>
      <c r="AN21" s="30">
        <f t="shared" si="67"/>
        <v>4</v>
      </c>
      <c r="AO21" s="19">
        <f t="shared" ref="AO21:AO26" si="74">COUNTIF($A$1,"Temizlik Sorumlusu")*($AD$1)
+COUNTIF($A$1,"Temizlik Görevlisi")*($AD$2)</f>
        <v>2115.17</v>
      </c>
      <c r="AP21" s="19">
        <f t="shared" ca="1" si="53"/>
        <v>1296.4088446999999</v>
      </c>
      <c r="AQ21" s="22">
        <f t="shared" si="54"/>
        <v>4800</v>
      </c>
      <c r="AR21" s="22">
        <f t="shared" ca="1" si="55"/>
        <v>3458.9091383726814</v>
      </c>
      <c r="AS21" s="22">
        <f t="shared" si="56"/>
        <v>2120</v>
      </c>
      <c r="AT21" s="23">
        <v>0</v>
      </c>
      <c r="AU21" s="22">
        <f t="shared" si="57"/>
        <v>0</v>
      </c>
      <c r="AV21" s="22">
        <f t="shared" ca="1" si="58"/>
        <v>0</v>
      </c>
      <c r="AW21" s="22">
        <f t="shared" si="59"/>
        <v>-2115.17</v>
      </c>
      <c r="AX21" s="22">
        <f t="shared" si="68"/>
        <v>2115.17</v>
      </c>
      <c r="AY21" s="31">
        <f t="shared" ca="1" si="60"/>
        <v>0</v>
      </c>
      <c r="AZ21" s="31">
        <f t="shared" ca="1" si="61"/>
        <v>0</v>
      </c>
      <c r="BA21" s="31">
        <f t="shared" si="62"/>
        <v>0</v>
      </c>
      <c r="BB21" s="22">
        <f t="shared" ca="1" si="63"/>
        <v>78584.829138372676</v>
      </c>
      <c r="BC21" s="22">
        <f t="shared" ca="1" si="69"/>
        <v>16109.889973366398</v>
      </c>
      <c r="BD21" s="22">
        <f t="shared" ca="1" si="70"/>
        <v>785.84829138372675</v>
      </c>
      <c r="BE21" s="22">
        <f t="shared" ca="1" si="71"/>
        <v>-3929.241456918634</v>
      </c>
      <c r="BF21" s="22">
        <f t="shared" ca="1" si="72"/>
        <v>91551.325946204161</v>
      </c>
      <c r="BP21" s="21">
        <v>19</v>
      </c>
      <c r="BQ21" s="24">
        <v>9.5</v>
      </c>
      <c r="BR21" s="25">
        <v>0.21</v>
      </c>
    </row>
    <row r="22" spans="1:70" ht="39.950000000000003" customHeight="1" x14ac:dyDescent="0.25">
      <c r="A22" s="3">
        <f t="shared" ca="1" si="44"/>
        <v>0.27</v>
      </c>
      <c r="B22" s="5" t="s">
        <v>15</v>
      </c>
      <c r="C22" s="14">
        <v>0</v>
      </c>
      <c r="D22" s="15">
        <v>0</v>
      </c>
      <c r="E22" s="15">
        <v>0</v>
      </c>
      <c r="F22" s="15">
        <v>0</v>
      </c>
      <c r="G22" s="15">
        <v>0</v>
      </c>
      <c r="H22" s="14">
        <v>20</v>
      </c>
      <c r="I22" s="14">
        <v>26</v>
      </c>
      <c r="J22" s="14">
        <v>0</v>
      </c>
      <c r="K22" s="16" t="s">
        <v>1</v>
      </c>
      <c r="L22" s="16" t="s">
        <v>1</v>
      </c>
      <c r="M22" s="16" t="s">
        <v>1</v>
      </c>
      <c r="N22" s="17">
        <v>0</v>
      </c>
      <c r="O22" s="6">
        <f t="shared" ca="1" si="45"/>
        <v>48200.759659456526</v>
      </c>
      <c r="P22" s="6">
        <f t="shared" ca="1" si="46"/>
        <v>4554</v>
      </c>
      <c r="Q22" s="7">
        <f t="shared" ca="1" si="64"/>
        <v>52754.759659456526</v>
      </c>
      <c r="R22" s="73"/>
      <c r="S22" s="77"/>
      <c r="T22" s="67"/>
      <c r="U22" s="66"/>
      <c r="V22" s="69"/>
      <c r="W22" s="68"/>
      <c r="X22" s="80"/>
      <c r="Y22" s="35"/>
      <c r="Z22" s="36" t="s">
        <v>21</v>
      </c>
      <c r="AA22" s="36" t="s">
        <v>63</v>
      </c>
      <c r="AF22" s="22">
        <f t="shared" ca="1" si="47"/>
        <v>0</v>
      </c>
      <c r="AG22" s="22">
        <f t="shared" si="48"/>
        <v>0</v>
      </c>
      <c r="AH22" s="22">
        <f t="shared" ca="1" si="49"/>
        <v>0</v>
      </c>
      <c r="AI22" s="22">
        <f t="shared" si="50"/>
        <v>4800</v>
      </c>
      <c r="AJ22" s="29">
        <f t="shared" si="73"/>
        <v>45870</v>
      </c>
      <c r="AK22" s="29">
        <f t="shared" si="51"/>
        <v>45900</v>
      </c>
      <c r="AL22" s="30">
        <f t="shared" si="65"/>
        <v>31</v>
      </c>
      <c r="AM22" s="30">
        <f t="shared" si="66"/>
        <v>26</v>
      </c>
      <c r="AN22" s="30">
        <f t="shared" si="67"/>
        <v>5</v>
      </c>
      <c r="AO22" s="19">
        <f t="shared" si="74"/>
        <v>2115.17</v>
      </c>
      <c r="AP22" s="19">
        <f t="shared" ca="1" si="53"/>
        <v>1296.4088446999999</v>
      </c>
      <c r="AQ22" s="22">
        <f t="shared" si="54"/>
        <v>4800</v>
      </c>
      <c r="AR22" s="22">
        <f t="shared" ca="1" si="55"/>
        <v>3458.9091383726814</v>
      </c>
      <c r="AS22" s="22">
        <f t="shared" si="56"/>
        <v>2120</v>
      </c>
      <c r="AT22" s="23">
        <v>0</v>
      </c>
      <c r="AU22" s="22">
        <f t="shared" si="57"/>
        <v>0</v>
      </c>
      <c r="AV22" s="22">
        <f t="shared" ca="1" si="58"/>
        <v>0</v>
      </c>
      <c r="AW22" s="22">
        <f t="shared" si="59"/>
        <v>-2115.17</v>
      </c>
      <c r="AX22" s="22">
        <f t="shared" si="68"/>
        <v>2115.17</v>
      </c>
      <c r="AY22" s="31">
        <f t="shared" ca="1" si="60"/>
        <v>0</v>
      </c>
      <c r="AZ22" s="31">
        <f t="shared" ca="1" si="61"/>
        <v>0</v>
      </c>
      <c r="BA22" s="31">
        <f t="shared" si="62"/>
        <v>0</v>
      </c>
      <c r="BB22" s="22">
        <f t="shared" ca="1" si="63"/>
        <v>78584.829138372676</v>
      </c>
      <c r="BC22" s="22">
        <f t="shared" ca="1" si="69"/>
        <v>16109.889973366398</v>
      </c>
      <c r="BD22" s="22">
        <f t="shared" ca="1" si="70"/>
        <v>785.84829138372675</v>
      </c>
      <c r="BE22" s="22">
        <f t="shared" ca="1" si="71"/>
        <v>-3929.241456918634</v>
      </c>
      <c r="BF22" s="22">
        <f t="shared" ca="1" si="72"/>
        <v>91551.325946204161</v>
      </c>
      <c r="BP22" s="21">
        <v>20</v>
      </c>
      <c r="BQ22" s="24">
        <v>10</v>
      </c>
      <c r="BR22" s="25">
        <v>0.22</v>
      </c>
    </row>
    <row r="23" spans="1:70" ht="39.950000000000003" customHeight="1" x14ac:dyDescent="0.25">
      <c r="A23" s="3">
        <f t="shared" ca="1" si="44"/>
        <v>0.27</v>
      </c>
      <c r="B23" s="5" t="s">
        <v>16</v>
      </c>
      <c r="C23" s="14">
        <v>0</v>
      </c>
      <c r="D23" s="15">
        <v>0</v>
      </c>
      <c r="E23" s="15">
        <v>0</v>
      </c>
      <c r="F23" s="15">
        <v>0</v>
      </c>
      <c r="G23" s="15">
        <v>0</v>
      </c>
      <c r="H23" s="14">
        <v>20</v>
      </c>
      <c r="I23" s="14">
        <v>26</v>
      </c>
      <c r="J23" s="14">
        <v>0</v>
      </c>
      <c r="K23" s="16" t="s">
        <v>1</v>
      </c>
      <c r="L23" s="16" t="s">
        <v>1</v>
      </c>
      <c r="M23" s="16" t="s">
        <v>1</v>
      </c>
      <c r="N23" s="17">
        <v>0</v>
      </c>
      <c r="O23" s="6">
        <f t="shared" ca="1" si="45"/>
        <v>66513.854695256523</v>
      </c>
      <c r="P23" s="6">
        <f t="shared" ca="1" si="46"/>
        <v>4554</v>
      </c>
      <c r="Q23" s="7">
        <f t="shared" ca="1" si="64"/>
        <v>71067.854695256523</v>
      </c>
      <c r="R23" s="73"/>
      <c r="S23" s="77"/>
      <c r="T23" s="67"/>
      <c r="U23" s="66"/>
      <c r="V23" s="69"/>
      <c r="W23" s="68"/>
      <c r="X23" s="80"/>
      <c r="Y23" s="35"/>
      <c r="Z23" s="37" t="s">
        <v>20</v>
      </c>
      <c r="AA23" s="38" t="s">
        <v>92</v>
      </c>
      <c r="AB23" s="21">
        <f>(1500)</f>
        <v>1500</v>
      </c>
      <c r="AC23" s="21" t="s">
        <v>0</v>
      </c>
      <c r="AD23" s="22">
        <f>($AB$30*$AB$23)</f>
        <v>1518.8340000000001</v>
      </c>
      <c r="AE23" s="22">
        <f>($AC$30*$AB$23)</f>
        <v>1755.3164999999999</v>
      </c>
      <c r="AF23" s="22">
        <f t="shared" ca="1" si="47"/>
        <v>0</v>
      </c>
      <c r="AG23" s="22">
        <f t="shared" si="48"/>
        <v>0</v>
      </c>
      <c r="AH23" s="22">
        <f t="shared" ca="1" si="49"/>
        <v>0</v>
      </c>
      <c r="AI23" s="22">
        <f t="shared" si="50"/>
        <v>4800</v>
      </c>
      <c r="AJ23" s="29">
        <f t="shared" si="73"/>
        <v>45901</v>
      </c>
      <c r="AK23" s="29">
        <f t="shared" si="51"/>
        <v>45930</v>
      </c>
      <c r="AL23" s="30">
        <f t="shared" si="65"/>
        <v>30</v>
      </c>
      <c r="AM23" s="30">
        <f t="shared" si="66"/>
        <v>26</v>
      </c>
      <c r="AN23" s="30">
        <f t="shared" si="67"/>
        <v>4</v>
      </c>
      <c r="AO23" s="19">
        <f t="shared" si="74"/>
        <v>2115.17</v>
      </c>
      <c r="AP23" s="19">
        <f t="shared" ca="1" si="53"/>
        <v>1296.4088446999999</v>
      </c>
      <c r="AQ23" s="22">
        <f t="shared" si="54"/>
        <v>4800</v>
      </c>
      <c r="AR23" s="22">
        <f t="shared" ca="1" si="55"/>
        <v>3458.9091383726814</v>
      </c>
      <c r="AS23" s="22">
        <f t="shared" si="56"/>
        <v>2120</v>
      </c>
      <c r="AT23" s="23">
        <v>15</v>
      </c>
      <c r="AU23" s="22">
        <f t="shared" si="57"/>
        <v>31727.550000000003</v>
      </c>
      <c r="AV23" s="22">
        <f t="shared" ca="1" si="58"/>
        <v>19446.132670499999</v>
      </c>
      <c r="AW23" s="22">
        <f t="shared" si="59"/>
        <v>-2115.17</v>
      </c>
      <c r="AX23" s="22">
        <f t="shared" si="68"/>
        <v>2115.17</v>
      </c>
      <c r="AY23" s="31">
        <f t="shared" ca="1" si="60"/>
        <v>0</v>
      </c>
      <c r="AZ23" s="31">
        <f t="shared" ca="1" si="61"/>
        <v>0</v>
      </c>
      <c r="BA23" s="31">
        <f t="shared" si="62"/>
        <v>0</v>
      </c>
      <c r="BB23" s="22">
        <f t="shared" ca="1" si="63"/>
        <v>108197.20913837268</v>
      </c>
      <c r="BC23" s="22">
        <f t="shared" ca="1" si="69"/>
        <v>22180.4278733664</v>
      </c>
      <c r="BD23" s="22">
        <f t="shared" ca="1" si="70"/>
        <v>1081.9720913837268</v>
      </c>
      <c r="BE23" s="22">
        <f t="shared" ca="1" si="71"/>
        <v>-5409.8604569186346</v>
      </c>
      <c r="BF23" s="22">
        <f t="shared" ca="1" si="72"/>
        <v>126049.74864620419</v>
      </c>
      <c r="BP23" s="21">
        <v>21</v>
      </c>
      <c r="BQ23" s="24">
        <v>10.5</v>
      </c>
      <c r="BR23" s="25">
        <v>0.23</v>
      </c>
    </row>
    <row r="24" spans="1:70" ht="39.950000000000003" customHeight="1" x14ac:dyDescent="0.25">
      <c r="A24" s="3">
        <f t="shared" ca="1" si="44"/>
        <v>0.27</v>
      </c>
      <c r="B24" s="5" t="s">
        <v>17</v>
      </c>
      <c r="C24" s="14">
        <v>0</v>
      </c>
      <c r="D24" s="15">
        <v>0</v>
      </c>
      <c r="E24" s="15">
        <v>0</v>
      </c>
      <c r="F24" s="15">
        <v>0</v>
      </c>
      <c r="G24" s="15">
        <v>0</v>
      </c>
      <c r="H24" s="14">
        <v>20</v>
      </c>
      <c r="I24" s="14">
        <v>26</v>
      </c>
      <c r="J24" s="14">
        <v>0</v>
      </c>
      <c r="K24" s="16" t="s">
        <v>1</v>
      </c>
      <c r="L24" s="16" t="s">
        <v>1</v>
      </c>
      <c r="M24" s="16" t="s">
        <v>1</v>
      </c>
      <c r="N24" s="17">
        <v>0</v>
      </c>
      <c r="O24" s="6">
        <f t="shared" ca="1" si="45"/>
        <v>48364.129659456521</v>
      </c>
      <c r="P24" s="6">
        <f t="shared" ca="1" si="46"/>
        <v>4554</v>
      </c>
      <c r="Q24" s="7">
        <f t="shared" ca="1" si="64"/>
        <v>52918.129659456521</v>
      </c>
      <c r="R24" s="73"/>
      <c r="S24" s="77"/>
      <c r="T24" s="67"/>
      <c r="U24" s="66"/>
      <c r="V24" s="69"/>
      <c r="W24" s="68"/>
      <c r="X24" s="80"/>
      <c r="Y24" s="35"/>
      <c r="Z24" s="37" t="s">
        <v>22</v>
      </c>
      <c r="AA24" s="39" t="s">
        <v>44</v>
      </c>
      <c r="AB24" s="21">
        <f>(8000)</f>
        <v>8000</v>
      </c>
      <c r="AC24" s="21" t="s">
        <v>0</v>
      </c>
      <c r="AD24" s="22">
        <f>($AB$30*$AB$24)</f>
        <v>8100.4480000000003</v>
      </c>
      <c r="AE24" s="22">
        <f>($AC$30*$AB$24)</f>
        <v>9361.6879999999983</v>
      </c>
      <c r="AF24" s="22">
        <f t="shared" ca="1" si="47"/>
        <v>0</v>
      </c>
      <c r="AG24" s="22">
        <f t="shared" si="48"/>
        <v>0</v>
      </c>
      <c r="AH24" s="22">
        <f t="shared" ca="1" si="49"/>
        <v>0</v>
      </c>
      <c r="AI24" s="22">
        <f t="shared" si="50"/>
        <v>4800</v>
      </c>
      <c r="AJ24" s="29">
        <f t="shared" si="73"/>
        <v>45931</v>
      </c>
      <c r="AK24" s="29">
        <f t="shared" si="51"/>
        <v>45961</v>
      </c>
      <c r="AL24" s="30">
        <f t="shared" si="65"/>
        <v>31</v>
      </c>
      <c r="AM24" s="30">
        <f t="shared" si="66"/>
        <v>27</v>
      </c>
      <c r="AN24" s="30">
        <f t="shared" si="67"/>
        <v>4</v>
      </c>
      <c r="AO24" s="19">
        <f t="shared" si="74"/>
        <v>2115.17</v>
      </c>
      <c r="AP24" s="19">
        <f t="shared" ca="1" si="53"/>
        <v>1296.4088446999999</v>
      </c>
      <c r="AQ24" s="22">
        <f t="shared" si="54"/>
        <v>4800</v>
      </c>
      <c r="AR24" s="22">
        <f t="shared" ca="1" si="55"/>
        <v>3458.9091383726814</v>
      </c>
      <c r="AS24" s="22">
        <f t="shared" si="56"/>
        <v>2120</v>
      </c>
      <c r="AT24" s="23">
        <v>0</v>
      </c>
      <c r="AU24" s="22">
        <f t="shared" si="57"/>
        <v>0</v>
      </c>
      <c r="AV24" s="22">
        <f t="shared" ca="1" si="58"/>
        <v>0</v>
      </c>
      <c r="AW24" s="22">
        <f t="shared" si="59"/>
        <v>-2115.17</v>
      </c>
      <c r="AX24" s="22">
        <f t="shared" si="68"/>
        <v>2115.17</v>
      </c>
      <c r="AY24" s="31">
        <f t="shared" ca="1" si="60"/>
        <v>0</v>
      </c>
      <c r="AZ24" s="31">
        <f t="shared" ca="1" si="61"/>
        <v>0</v>
      </c>
      <c r="BA24" s="31">
        <f t="shared" si="62"/>
        <v>0</v>
      </c>
      <c r="BB24" s="22">
        <f t="shared" ca="1" si="63"/>
        <v>78584.829138372676</v>
      </c>
      <c r="BC24" s="22">
        <f t="shared" ca="1" si="69"/>
        <v>16109.889973366398</v>
      </c>
      <c r="BD24" s="22">
        <f t="shared" ca="1" si="70"/>
        <v>785.84829138372675</v>
      </c>
      <c r="BE24" s="22">
        <f t="shared" ca="1" si="71"/>
        <v>-3929.241456918634</v>
      </c>
      <c r="BF24" s="22">
        <f t="shared" ca="1" si="72"/>
        <v>91551.325946204161</v>
      </c>
      <c r="BP24" s="21">
        <v>22</v>
      </c>
      <c r="BQ24" s="24">
        <v>11</v>
      </c>
      <c r="BR24" s="25">
        <v>0.24</v>
      </c>
    </row>
    <row r="25" spans="1:70" ht="39.950000000000003" customHeight="1" x14ac:dyDescent="0.25">
      <c r="A25" s="3">
        <f t="shared" ca="1" si="44"/>
        <v>0.27</v>
      </c>
      <c r="B25" s="5" t="s">
        <v>18</v>
      </c>
      <c r="C25" s="14">
        <v>0</v>
      </c>
      <c r="D25" s="15">
        <v>0</v>
      </c>
      <c r="E25" s="15">
        <v>0</v>
      </c>
      <c r="F25" s="15">
        <v>0</v>
      </c>
      <c r="G25" s="15">
        <v>0</v>
      </c>
      <c r="H25" s="14">
        <v>20</v>
      </c>
      <c r="I25" s="14">
        <v>26</v>
      </c>
      <c r="J25" s="14">
        <v>0</v>
      </c>
      <c r="K25" s="16" t="s">
        <v>1</v>
      </c>
      <c r="L25" s="16" t="s">
        <v>1</v>
      </c>
      <c r="M25" s="16" t="s">
        <v>1</v>
      </c>
      <c r="N25" s="17">
        <v>0</v>
      </c>
      <c r="O25" s="6">
        <f t="shared" ca="1" si="45"/>
        <v>47157.299299756523</v>
      </c>
      <c r="P25" s="6">
        <f t="shared" ca="1" si="46"/>
        <v>4554</v>
      </c>
      <c r="Q25" s="7">
        <f t="shared" ca="1" si="64"/>
        <v>51711.299299756523</v>
      </c>
      <c r="R25" s="73"/>
      <c r="S25" s="77"/>
      <c r="T25" s="67"/>
      <c r="U25" s="66"/>
      <c r="V25" s="69"/>
      <c r="W25" s="68"/>
      <c r="X25" s="80"/>
      <c r="Y25" s="35"/>
      <c r="Z25" s="37" t="s">
        <v>40</v>
      </c>
      <c r="AA25" s="19" t="s">
        <v>73</v>
      </c>
      <c r="AB25" s="21">
        <f>(500)</f>
        <v>500</v>
      </c>
      <c r="AC25" s="21" t="s">
        <v>0</v>
      </c>
      <c r="AD25" s="22">
        <f>($AB$30*$AB$25)</f>
        <v>506.27800000000002</v>
      </c>
      <c r="AE25" s="22">
        <f>($AC$30*$AB$25)</f>
        <v>585.10549999999989</v>
      </c>
      <c r="AF25" s="22">
        <f t="shared" ca="1" si="47"/>
        <v>0</v>
      </c>
      <c r="AG25" s="22">
        <f t="shared" si="48"/>
        <v>0</v>
      </c>
      <c r="AH25" s="22">
        <f t="shared" ca="1" si="49"/>
        <v>0</v>
      </c>
      <c r="AI25" s="22">
        <f t="shared" si="50"/>
        <v>4800</v>
      </c>
      <c r="AJ25" s="29">
        <f t="shared" si="73"/>
        <v>45962</v>
      </c>
      <c r="AK25" s="29">
        <f t="shared" si="51"/>
        <v>45991</v>
      </c>
      <c r="AL25" s="30">
        <f t="shared" si="65"/>
        <v>30</v>
      </c>
      <c r="AM25" s="30">
        <f t="shared" si="66"/>
        <v>25</v>
      </c>
      <c r="AN25" s="30">
        <f t="shared" si="67"/>
        <v>5</v>
      </c>
      <c r="AO25" s="19">
        <f t="shared" si="74"/>
        <v>2115.17</v>
      </c>
      <c r="AP25" s="19">
        <f t="shared" ca="1" si="53"/>
        <v>1296.4088446999999</v>
      </c>
      <c r="AQ25" s="22">
        <f t="shared" si="54"/>
        <v>4800</v>
      </c>
      <c r="AR25" s="22">
        <f t="shared" ca="1" si="55"/>
        <v>3458.9091383726814</v>
      </c>
      <c r="AS25" s="22">
        <f t="shared" si="56"/>
        <v>2120</v>
      </c>
      <c r="AT25" s="23">
        <v>0</v>
      </c>
      <c r="AU25" s="22">
        <f t="shared" si="57"/>
        <v>0</v>
      </c>
      <c r="AV25" s="22">
        <f t="shared" ca="1" si="58"/>
        <v>0</v>
      </c>
      <c r="AW25" s="22">
        <f t="shared" si="59"/>
        <v>-2115.17</v>
      </c>
      <c r="AX25" s="22">
        <f t="shared" si="68"/>
        <v>2115.17</v>
      </c>
      <c r="AY25" s="31">
        <f t="shared" ca="1" si="60"/>
        <v>0</v>
      </c>
      <c r="AZ25" s="31">
        <f t="shared" ca="1" si="61"/>
        <v>0</v>
      </c>
      <c r="BA25" s="31">
        <f t="shared" si="62"/>
        <v>0</v>
      </c>
      <c r="BB25" s="22">
        <f t="shared" ca="1" si="63"/>
        <v>76469.659138372677</v>
      </c>
      <c r="BC25" s="22">
        <f t="shared" ca="1" si="69"/>
        <v>15676.280123366398</v>
      </c>
      <c r="BD25" s="22">
        <f t="shared" ca="1" si="70"/>
        <v>764.69659138372674</v>
      </c>
      <c r="BE25" s="22">
        <f t="shared" ca="1" si="71"/>
        <v>-3823.482956918634</v>
      </c>
      <c r="BF25" s="22">
        <f t="shared" ca="1" si="72"/>
        <v>89087.152896204163</v>
      </c>
      <c r="BP25" s="21">
        <v>23</v>
      </c>
      <c r="BQ25" s="24">
        <v>11.5</v>
      </c>
      <c r="BR25" s="25">
        <v>0.25</v>
      </c>
    </row>
    <row r="26" spans="1:70" ht="39.950000000000003" customHeight="1" x14ac:dyDescent="0.25">
      <c r="A26" s="3">
        <f t="shared" ca="1" si="44"/>
        <v>0.27</v>
      </c>
      <c r="B26" s="5" t="s">
        <v>19</v>
      </c>
      <c r="C26" s="14">
        <v>0</v>
      </c>
      <c r="D26" s="15">
        <v>0</v>
      </c>
      <c r="E26" s="15">
        <v>0</v>
      </c>
      <c r="F26" s="15">
        <v>0</v>
      </c>
      <c r="G26" s="15">
        <v>0</v>
      </c>
      <c r="H26" s="14">
        <v>20</v>
      </c>
      <c r="I26" s="14">
        <v>26</v>
      </c>
      <c r="J26" s="14">
        <v>0</v>
      </c>
      <c r="K26" s="16" t="s">
        <v>1</v>
      </c>
      <c r="L26" s="16" t="s">
        <v>1</v>
      </c>
      <c r="M26" s="16" t="s">
        <v>1</v>
      </c>
      <c r="N26" s="17">
        <v>0</v>
      </c>
      <c r="O26" s="6">
        <f t="shared" ca="1" si="45"/>
        <v>67899.845054956531</v>
      </c>
      <c r="P26" s="6">
        <f t="shared" ca="1" si="46"/>
        <v>4554</v>
      </c>
      <c r="Q26" s="7">
        <f t="shared" ca="1" si="64"/>
        <v>72453.845054956531</v>
      </c>
      <c r="R26" s="73"/>
      <c r="S26" s="77"/>
      <c r="T26" s="67"/>
      <c r="U26" s="66"/>
      <c r="V26" s="69"/>
      <c r="W26" s="68"/>
      <c r="X26" s="80"/>
      <c r="Y26" s="35"/>
      <c r="Z26" s="37" t="s">
        <v>26</v>
      </c>
      <c r="AA26" s="39" t="s">
        <v>45</v>
      </c>
      <c r="AB26" s="21">
        <f>(1000)</f>
        <v>1000</v>
      </c>
      <c r="AC26" s="21" t="s">
        <v>0</v>
      </c>
      <c r="AD26" s="22">
        <f>($AB$31*$AB$26)</f>
        <v>15848.414999999999</v>
      </c>
      <c r="AE26" s="22">
        <f>($AC$31*$AB$26)</f>
        <v>18316.013999999999</v>
      </c>
      <c r="AF26" s="22">
        <f t="shared" ca="1" si="47"/>
        <v>0</v>
      </c>
      <c r="AG26" s="22">
        <f t="shared" si="48"/>
        <v>0</v>
      </c>
      <c r="AH26" s="22">
        <f t="shared" ca="1" si="49"/>
        <v>0</v>
      </c>
      <c r="AI26" s="22">
        <f t="shared" si="50"/>
        <v>4800</v>
      </c>
      <c r="AJ26" s="29">
        <f t="shared" si="73"/>
        <v>45992</v>
      </c>
      <c r="AK26" s="29">
        <f t="shared" si="51"/>
        <v>46022</v>
      </c>
      <c r="AL26" s="30">
        <f t="shared" si="65"/>
        <v>31</v>
      </c>
      <c r="AM26" s="30">
        <f t="shared" si="66"/>
        <v>27</v>
      </c>
      <c r="AN26" s="30">
        <f t="shared" si="67"/>
        <v>4</v>
      </c>
      <c r="AO26" s="19">
        <f t="shared" si="74"/>
        <v>2115.17</v>
      </c>
      <c r="AP26" s="19">
        <f t="shared" ca="1" si="53"/>
        <v>1296.4088446999999</v>
      </c>
      <c r="AQ26" s="22">
        <f t="shared" si="54"/>
        <v>4800</v>
      </c>
      <c r="AR26" s="22">
        <f t="shared" ca="1" si="55"/>
        <v>3458.9091383726814</v>
      </c>
      <c r="AS26" s="22">
        <f t="shared" si="56"/>
        <v>2120</v>
      </c>
      <c r="AT26" s="23">
        <v>15</v>
      </c>
      <c r="AU26" s="22">
        <f t="shared" si="57"/>
        <v>31727.550000000003</v>
      </c>
      <c r="AV26" s="22">
        <f t="shared" ca="1" si="58"/>
        <v>19446.132670499999</v>
      </c>
      <c r="AW26" s="22">
        <f t="shared" si="59"/>
        <v>-2115.17</v>
      </c>
      <c r="AX26" s="22">
        <f t="shared" si="68"/>
        <v>2115.17</v>
      </c>
      <c r="AY26" s="31">
        <f t="shared" ca="1" si="60"/>
        <v>0</v>
      </c>
      <c r="AZ26" s="31">
        <f t="shared" ca="1" si="61"/>
        <v>0</v>
      </c>
      <c r="BA26" s="31">
        <f t="shared" si="62"/>
        <v>0</v>
      </c>
      <c r="BB26" s="22">
        <f t="shared" ca="1" si="63"/>
        <v>110312.37913837268</v>
      </c>
      <c r="BC26" s="22">
        <f t="shared" ca="1" si="69"/>
        <v>22614.037723366397</v>
      </c>
      <c r="BD26" s="22">
        <f t="shared" ca="1" si="70"/>
        <v>1103.1237913837267</v>
      </c>
      <c r="BE26" s="22">
        <f t="shared" ca="1" si="71"/>
        <v>-5515.6189569186345</v>
      </c>
      <c r="BF26" s="22">
        <f t="shared" ca="1" si="72"/>
        <v>128513.92169620415</v>
      </c>
      <c r="BP26" s="21">
        <v>24</v>
      </c>
      <c r="BQ26" s="24">
        <v>12</v>
      </c>
      <c r="BR26" s="25">
        <v>0.26</v>
      </c>
    </row>
    <row r="27" spans="1:70" ht="39.950000000000003" customHeight="1" x14ac:dyDescent="0.25">
      <c r="A27" s="9" t="s">
        <v>0</v>
      </c>
      <c r="B27" s="10" t="s">
        <v>81</v>
      </c>
      <c r="C27" s="4" t="s">
        <v>0</v>
      </c>
      <c r="D27" s="8">
        <f t="shared" ref="D27:I27" si="75">(D15+D16+D17+D18+D19+D20+D21+D22+D23+D24+D25+D26)</f>
        <v>0</v>
      </c>
      <c r="E27" s="8">
        <f t="shared" si="75"/>
        <v>0</v>
      </c>
      <c r="F27" s="8">
        <f t="shared" si="75"/>
        <v>0</v>
      </c>
      <c r="G27" s="8">
        <f t="shared" si="75"/>
        <v>0</v>
      </c>
      <c r="H27" s="11">
        <f t="shared" si="75"/>
        <v>240</v>
      </c>
      <c r="I27" s="11">
        <f t="shared" si="75"/>
        <v>312</v>
      </c>
      <c r="J27" s="4" t="s">
        <v>0</v>
      </c>
      <c r="K27" s="4" t="s">
        <v>0</v>
      </c>
      <c r="L27" s="4" t="s">
        <v>0</v>
      </c>
      <c r="M27" s="4" t="s">
        <v>0</v>
      </c>
      <c r="N27" s="2" t="s">
        <v>0</v>
      </c>
      <c r="O27" s="12">
        <f t="shared" ref="O27" ca="1" si="76">(O15+O16+O17+O18+O19+O20+O21+O22+O23+O24+O25+O26)</f>
        <v>625061.49452399835</v>
      </c>
      <c r="P27" s="12">
        <f t="shared" ref="P27" ca="1" si="77">(P15+P16+P17+P18+P19+P20+P21+P22+P23+P24+P25+P26)</f>
        <v>54648</v>
      </c>
      <c r="Q27" s="13">
        <f t="shared" ref="Q27" ca="1" si="78">(Q15+Q16+Q17+Q18+Q19+Q20+Q21+Q22+Q23+Q24+Q25+Q26)</f>
        <v>679709.49452399835</v>
      </c>
      <c r="R27" s="73"/>
      <c r="S27" s="77"/>
      <c r="T27" s="67"/>
      <c r="U27" s="66"/>
      <c r="V27" s="69"/>
      <c r="W27" s="68"/>
      <c r="X27" s="80"/>
      <c r="Y27" s="40"/>
      <c r="Z27" s="37" t="s">
        <v>24</v>
      </c>
      <c r="AA27" s="38" t="s">
        <v>93</v>
      </c>
      <c r="AB27" s="21">
        <f>($AB$23+$AB$24)</f>
        <v>9500</v>
      </c>
      <c r="AC27" s="21">
        <f>(2.15)</f>
        <v>2.15</v>
      </c>
      <c r="AD27" s="22">
        <f>($AB$30*$AB$27*$AC$27)</f>
        <v>20681.456299999998</v>
      </c>
      <c r="AE27" s="22">
        <f>($AC$30*$AB$27*$AC$27)</f>
        <v>23901.559674999997</v>
      </c>
      <c r="AF27" s="22">
        <f ca="1">(AF15+AF16+AF17+AF18+AF19+AF20+AF21+AF22+AF23+AF24+AF25+AF26)</f>
        <v>0</v>
      </c>
      <c r="AG27" s="22">
        <f t="shared" ref="AG27:AH27" si="79">(AG15+AG16+AG17+AG18+AG19+AG20+AG21+AG22+AG23+AG24+AG25+AG26)</f>
        <v>0</v>
      </c>
      <c r="AH27" s="22">
        <f t="shared" ca="1" si="79"/>
        <v>0</v>
      </c>
      <c r="AI27" s="22">
        <f>(AI15+AI16+AI17+AI18+AI19+AI20+AI21+AI22+AI23+AI24+AI25+AI26)</f>
        <v>57600</v>
      </c>
      <c r="AJ27" s="27" t="s">
        <v>0</v>
      </c>
      <c r="AK27" s="27" t="s">
        <v>0</v>
      </c>
      <c r="AL27" s="23">
        <f>(AL15+AL16+AL17+AL18+AL19+AL20+AL21+AL22+AL23+AL24+AL25+AL26)</f>
        <v>365</v>
      </c>
      <c r="AM27" s="23">
        <f>(AM15+AM16+AM17+AM18+AM19+AM20+AM21+AM22+AM23+AM24+AM25+AM26)</f>
        <v>313</v>
      </c>
      <c r="AN27" s="23">
        <f>(AN15+AN16+AN17+AN18+AN19+AN20+AN21+AN22+AN23+AN24+AN25+AN26)</f>
        <v>52</v>
      </c>
      <c r="AO27" s="22">
        <f>(AO15+AO16+AO17+AO18+AO19+AO20+AO21+AO22+AO23+AO24+AO25+AO26)</f>
        <v>23296.019999999997</v>
      </c>
      <c r="AP27" s="22">
        <f t="shared" ref="AP27" ca="1" si="80">(AP15+AP16+AP17+AP18+AP19+AP20+AP21+AP22+AP23+AP24+AP25+AP26)</f>
        <v>15110.258299457022</v>
      </c>
      <c r="AQ27" s="22">
        <f t="shared" ref="AQ27" si="81">(AQ15+AQ16+AQ17+AQ18+AQ19+AQ20+AQ21+AQ22+AQ23+AQ24+AQ25+AQ26)</f>
        <v>57600</v>
      </c>
      <c r="AR27" s="22">
        <f t="shared" ref="AR27:AS27" ca="1" si="82">(AR15+AR16+AR17+AR18+AR19+AR20+AR21+AR22+AR23+AR24+AR25+AR26)</f>
        <v>39170.368440543723</v>
      </c>
      <c r="AS27" s="22">
        <f t="shared" si="82"/>
        <v>25440</v>
      </c>
      <c r="AT27" s="27" t="s">
        <v>0</v>
      </c>
      <c r="AU27" s="22">
        <f t="shared" ref="AU27:AV27" si="83">(AU15+AU16+AU17+AU18+AU19+AU20+AU21+AU22+AU23+AU24+AU25+AU26)</f>
        <v>116480.1</v>
      </c>
      <c r="AV27" s="22">
        <f t="shared" ca="1" si="83"/>
        <v>75306.700809855392</v>
      </c>
      <c r="AW27" s="22">
        <f t="shared" ref="AW27:AX27" si="84">(AW15+AW16+AW17+AW18+AW19+AW20+AW21+AW22+AW23+AW24+AW25+AW26)</f>
        <v>-23296.019999999997</v>
      </c>
      <c r="AX27" s="22">
        <f t="shared" si="84"/>
        <v>23296.019999999997</v>
      </c>
      <c r="AY27" s="22">
        <f ca="1">(AY15+AY16+AY17+AY18+AY19+AY20+AY21+AY22+AY23+AY24+AY25+AY26)</f>
        <v>0</v>
      </c>
      <c r="AZ27" s="22">
        <f t="shared" ref="AZ27:BA27" ca="1" si="85">(AZ15+AZ16+AZ17+AZ18+AZ19+AZ20+AZ21+AZ22+AZ23+AZ24+AZ25+AZ26)</f>
        <v>0</v>
      </c>
      <c r="BA27" s="22">
        <f t="shared" si="85"/>
        <v>0</v>
      </c>
      <c r="BB27" s="22">
        <f t="shared" ref="BB27" ca="1" si="86">(BB15+BB16+BB17+BB18+BB19+BB20+BB21+BB22+BB23+BB24+BB25+BB26)</f>
        <v>974736.96844054363</v>
      </c>
      <c r="BC27" s="22">
        <f t="shared" ref="BC27" ca="1" si="87">(BC15+BC16+BC17+BC18+BC19+BC20+BC21+BC22+BC23+BC24+BC25+BC26)</f>
        <v>199821.07853031147</v>
      </c>
      <c r="BD27" s="22">
        <f t="shared" ref="BD27" ca="1" si="88">(BD15+BD16+BD17+BD18+BD19+BD20+BD21+BD22+BD23+BD24+BD25+BD26)</f>
        <v>9747.3696844054375</v>
      </c>
      <c r="BE27" s="22">
        <f t="shared" ref="BE27" ca="1" si="89">(BE15+BE16+BE17+BE18+BE19+BE20+BE21+BE22+BE23+BE24+BE25+BE26)</f>
        <v>-48736.848422027186</v>
      </c>
      <c r="BF27" s="22">
        <f t="shared" ref="BF27" ca="1" si="90">(BF15+BF16+BF17+BF18+BF19+BF20+BF21+BF22+BF23+BF24+BF25+BF26)</f>
        <v>1135568.5682332332</v>
      </c>
      <c r="BP27" s="21">
        <v>25</v>
      </c>
      <c r="BQ27" s="24">
        <v>12.5</v>
      </c>
      <c r="BR27" s="25">
        <v>0.27</v>
      </c>
    </row>
    <row r="28" spans="1:70" ht="39.950000000000003" customHeight="1" x14ac:dyDescent="0.25">
      <c r="A28" s="3">
        <f ca="1">(BJ58)</f>
        <v>0.2238566890613736</v>
      </c>
      <c r="B28" s="10" t="s">
        <v>82</v>
      </c>
      <c r="C28" s="4" t="s">
        <v>0</v>
      </c>
      <c r="D28" s="11" t="s">
        <v>0</v>
      </c>
      <c r="E28" s="11" t="s">
        <v>0</v>
      </c>
      <c r="F28" s="4" t="s">
        <v>0</v>
      </c>
      <c r="G28" s="4" t="s">
        <v>0</v>
      </c>
      <c r="H28" s="4" t="s">
        <v>0</v>
      </c>
      <c r="I28" s="4" t="s">
        <v>0</v>
      </c>
      <c r="J28" s="4" t="s">
        <v>0</v>
      </c>
      <c r="K28" s="4" t="s">
        <v>0</v>
      </c>
      <c r="L28" s="4" t="s">
        <v>0</v>
      </c>
      <c r="M28" s="4" t="s">
        <v>0</v>
      </c>
      <c r="N28" s="4" t="s">
        <v>0</v>
      </c>
      <c r="O28" s="12">
        <f ca="1">(O27/12)</f>
        <v>52088.457876999862</v>
      </c>
      <c r="P28" s="12">
        <f ca="1">(P27/12)</f>
        <v>4554</v>
      </c>
      <c r="Q28" s="13">
        <f ca="1">(Q27/12)</f>
        <v>56642.457876999862</v>
      </c>
      <c r="R28" s="73"/>
      <c r="S28" s="77"/>
      <c r="T28" s="67"/>
      <c r="U28" s="74"/>
      <c r="V28" s="75"/>
      <c r="W28" s="76"/>
      <c r="X28" s="81"/>
      <c r="Y28" s="40"/>
      <c r="Z28" s="37" t="s">
        <v>25</v>
      </c>
      <c r="AA28" s="38" t="s">
        <v>94</v>
      </c>
      <c r="AB28" s="21" t="s">
        <v>0</v>
      </c>
      <c r="AC28" s="21" t="s">
        <v>0</v>
      </c>
      <c r="AD28" s="22">
        <f>($AD$23+$AD$24+$AD$25+$AD$26+$AD$27)</f>
        <v>46655.431299999997</v>
      </c>
      <c r="AE28" s="22">
        <f>($AE$23+$AE$24+$AE$25+$AE$26+$AE$27)</f>
        <v>53919.683674999993</v>
      </c>
      <c r="AF28" s="22">
        <f ca="1">(AF27/12)</f>
        <v>0</v>
      </c>
      <c r="AG28" s="22">
        <f t="shared" ref="AG28:AH28" si="91">(AG27/12)</f>
        <v>0</v>
      </c>
      <c r="AH28" s="22">
        <f t="shared" ca="1" si="91"/>
        <v>0</v>
      </c>
      <c r="AI28" s="22">
        <f>(AI27/12)</f>
        <v>4800</v>
      </c>
      <c r="AJ28" s="27" t="s">
        <v>0</v>
      </c>
      <c r="AK28" s="27" t="s">
        <v>0</v>
      </c>
      <c r="AL28" s="27" t="s">
        <v>0</v>
      </c>
      <c r="AM28" s="27" t="s">
        <v>0</v>
      </c>
      <c r="AN28" s="27" t="s">
        <v>0</v>
      </c>
      <c r="AO28" s="22">
        <f>(AO27/12)</f>
        <v>1941.3349999999998</v>
      </c>
      <c r="AP28" s="22">
        <f t="shared" ref="AP28" ca="1" si="92">(AP27/12)</f>
        <v>1259.1881916214186</v>
      </c>
      <c r="AQ28" s="22">
        <f t="shared" ref="AQ28" si="93">(AQ27/12)</f>
        <v>4800</v>
      </c>
      <c r="AR28" s="22">
        <f t="shared" ref="AR28:AS28" ca="1" si="94">(AR27/12)</f>
        <v>3264.1973700453104</v>
      </c>
      <c r="AS28" s="22">
        <f t="shared" si="94"/>
        <v>2120</v>
      </c>
      <c r="AT28" s="27" t="s">
        <v>0</v>
      </c>
      <c r="AU28" s="22">
        <f t="shared" ref="AU28:AV28" si="95">(AU27/12)</f>
        <v>9706.6750000000011</v>
      </c>
      <c r="AV28" s="22">
        <f t="shared" ca="1" si="95"/>
        <v>6275.5584008212827</v>
      </c>
      <c r="AW28" s="22">
        <f t="shared" ref="AW28:AX28" si="96">(AW27/12)</f>
        <v>-1941.3349999999998</v>
      </c>
      <c r="AX28" s="22">
        <f t="shared" si="96"/>
        <v>1941.3349999999998</v>
      </c>
      <c r="AY28" s="22">
        <f ca="1">(AY27/12)</f>
        <v>0</v>
      </c>
      <c r="AZ28" s="22">
        <f t="shared" ref="AZ28:BA28" ca="1" si="97">(AZ27/12)</f>
        <v>0</v>
      </c>
      <c r="BA28" s="22">
        <f t="shared" si="97"/>
        <v>0</v>
      </c>
      <c r="BB28" s="22">
        <f t="shared" ref="BB28" ca="1" si="98">(BB27/12)</f>
        <v>81228.08070337864</v>
      </c>
      <c r="BC28" s="22">
        <f t="shared" ref="BC28" ca="1" si="99">(BC27/12)</f>
        <v>16651.756544192624</v>
      </c>
      <c r="BD28" s="22">
        <f t="shared" ref="BD28" ca="1" si="100">(BD27/12)</f>
        <v>812.28080703378646</v>
      </c>
      <c r="BE28" s="22">
        <f t="shared" ref="BE28" ca="1" si="101">(BE27/12)</f>
        <v>-4061.4040351689323</v>
      </c>
      <c r="BF28" s="22">
        <f t="shared" ref="BF28" ca="1" si="102">(BF27/12)</f>
        <v>94630.714019436098</v>
      </c>
      <c r="BP28" s="21">
        <v>26</v>
      </c>
      <c r="BQ28" s="24">
        <v>13</v>
      </c>
      <c r="BR28" s="25">
        <v>0.28000000000000003</v>
      </c>
    </row>
    <row r="29" spans="1:70" ht="39.950000000000003" hidden="1" customHeight="1" x14ac:dyDescent="0.25">
      <c r="Z29" s="37" t="s">
        <v>41</v>
      </c>
      <c r="AA29" s="39" t="s">
        <v>74</v>
      </c>
      <c r="AF29" s="19">
        <f t="shared" ref="AF29:AF34" si="103">COUNTIF($A$1,"Temizlik Sorumlusu")*($AC$1)
+COUNTIF($A$1,"Temizlik Görevlisi")*($AC$2)</f>
        <v>1767.5</v>
      </c>
      <c r="AG29" s="22">
        <f t="shared" ref="AG29:AG40" ca="1" si="104">(AF29*BO45+BD1/30*-1+AQ44/30)</f>
        <v>1367.5473668333334</v>
      </c>
      <c r="AH29" s="41">
        <f t="shared" ref="AH29:AH40" si="105">(AO15*AL15)</f>
        <v>54792.5</v>
      </c>
      <c r="AI29" s="22">
        <f t="shared" ref="AI29:AI40" ca="1" si="106">(AH29*BO45)</f>
        <v>39171.706174999999</v>
      </c>
      <c r="AJ29" s="22">
        <f t="shared" ref="AJ29:AJ40" si="107">(20*C15)</f>
        <v>0</v>
      </c>
      <c r="AK29" s="22">
        <f t="shared" ref="AK29:AK40" ca="1" si="108">(AJ29*BO45)</f>
        <v>0</v>
      </c>
      <c r="AL29" s="22">
        <f t="shared" ref="AL29:AL34" si="109">($AD$14*H15)</f>
        <v>3160</v>
      </c>
      <c r="AM29" s="22">
        <f t="shared" ref="AM29:AM40" si="110">IF(AQ15-AL29&lt;=0,0,AQ15-AL29)</f>
        <v>1640</v>
      </c>
      <c r="AN29" s="22">
        <f>(AM29*0.14*-1)</f>
        <v>-229.60000000000002</v>
      </c>
      <c r="AO29" s="22">
        <f>(AM29*0.01*-1)</f>
        <v>-16.399999999999999</v>
      </c>
      <c r="AP29" s="22">
        <f t="shared" ref="AP29:AP40" si="111">(AL1+AN29+AO29)</f>
        <v>4554</v>
      </c>
      <c r="AQ29" s="22">
        <f t="shared" ref="AQ29:AQ34" si="112">IF($AD$15*H15&gt;=AI15,AI15,$AD$15*H15)</f>
        <v>4800</v>
      </c>
      <c r="AR29" s="22">
        <f t="shared" ref="AR29:AR34" si="113">(231.05*J15)</f>
        <v>0</v>
      </c>
      <c r="AS29" s="22">
        <f t="shared" ref="AS29:AS40" ca="1" si="114">AR29-(AR29*0.00759)-((AR29-AT29)*0.14)-((AR29-AT29)*0.01)-((AR29-(AR29-AT29)*0.14-(AR29-AT29)*0.01)-AU29)*BJ45</f>
        <v>0</v>
      </c>
      <c r="AT29" s="22">
        <f t="shared" ref="AT29:AT34" si="115">IF(AR29&lt;=$AD$5*2,AR29,$AD$5*2)</f>
        <v>0</v>
      </c>
      <c r="AU29" s="22">
        <f t="shared" ref="AU29:AU34" si="116">IF(AR29&lt;=$AD$5*2,AR29,$AD$5*2)</f>
        <v>0</v>
      </c>
      <c r="AV29" s="31">
        <f t="shared" ref="AV29:AV34" si="117">COUNTIF(K15,"Yok")*(0)
+COUNTIF(K15,"Bayram Yardımı (Kurban)")*($AD$41)
+COUNTIF(K15,"Bayram Yardımı (Ramazan)")*($AD$42)
+COUNTIF(K15,"Cenaze Yardımı (Anne-Baba)")*($AD$43)
+COUNTIF(K15,"Cenaze Yardımı (Eş-Çocuk)")*($AD$44)
+COUNTIF(K15,"Cenaze Yardımı (İşçi-İş Kazası Sonucu)")*($AD$45)
+COUNTIF(K15,"Cenaze Yardımı (İşçi-Tabii Sebepler Sonucu)")*($AD$46)
+COUNTIF(K15,"Doğal Afet Yardımı")*($AD$47)
+COUNTIF(K15,"Eğitim Yardımı (Çocuk-İlköğretim)")*($AD$48)
+COUNTIF(K15,"Eğitim Yardımı (Çocuk-Ortaöğretim)")*($AD$49)
+COUNTIF(K15,"Eğitim Yardımı (Çocuk-Lise)")*($AD$50)
+COUNTIF(K15,"Eğitim Yardımı (Çocuk-Yükseköğretim)")*($AD$51)
+COUNTIF(K15,"Eğitim Yardımı (İşçi-Lise)")*($AD$52)
+COUNTIF(K15,"Eğitim Yardımı (İşçi-Yükseköğretim)")*($AD$53)
+COUNTIF(K15,"Evlilik Yardımı")*($AD$54)
+COUNTIF(L15,"Yok")*(0)
+COUNTIF(L15,"Bayram Yardımı (Kurban)")*($AD$41)
+COUNTIF(L15,"Bayram Yardımı (Ramazan)")*($AD$42)
+COUNTIF(L15,"Cenaze Yardımı (Anne-Baba)")*($AD$43)
+COUNTIF(L15,"Cenaze Yardımı (Eş-Çocuk)")*($AD$44)
+COUNTIF(L15,"Cenaze Yardımı (İşçi-İş Kazası Sonucu)")*($AD$45)
+COUNTIF(L15,"Cenaze Yardımı (İşçi-Tabii Sebepler Sonucu)")*($AD$46)
+COUNTIF(L15,"Doğal Afet Yardımı")*($AD$47)
+COUNTIF(L15,"Eğitim Yardımı (Çocuk-İlköğretim)")*($AD$48)
+COUNTIF(L15,"Eğitim Yardımı (Çocuk-Ortaöğretim)")*($AD$49)
+COUNTIF(L15,"Eğitim Yardımı (Çocuk-Lise)")*($AD$50)
+COUNTIF(L15,"Eğitim Yardımı (Çocuk-Yükseköğretim)")*($AD$51)
+COUNTIF(L15,"Eğitim Yardımı (İşçi-Lise)")*($AD$52)
+COUNTIF(L15,"Eğitim Yardımı (İşçi-Yükseköğretim)")*($AD$53)
+COUNTIF(L15,"Evlilik Yardımı")*($AD$54)
+COUNTIF(M15,"Yok")*(0)
+COUNTIF(M15,"Bayram Yardımı (Kurban)")*($AD$41)
+COUNTIF(M15,"Bayram Yardımı (Ramazan)")*($AD$42)
+COUNTIF(M15,"Cenaze Yardımı (Anne-Baba)")*($AD$43)
+COUNTIF(M15,"Cenaze Yardımı (Eş-Çocuk)")*($AD$44)
+COUNTIF(M15,"Cenaze Yardımı (İşçi-İş Kazası Sonucu)")*($AD$45)
+COUNTIF(M15,"Cenaze Yardımı (İşçi-Tabii Sebepler Sonucu)")*($AD$46)
+COUNTIF(M15,"Doğal Afet Yardımı")*($AD$47)
+COUNTIF(M15,"Eğitim Yardımı (Çocuk-İlköğretim)")*($AD$48)
+COUNTIF(M15,"Eğitim Yardımı (Çocuk-Ortaöğretim)")*($AD$49)
+COUNTIF(M15,"Eğitim Yardımı (Çocuk-Lise)")*($AD$50)
+COUNTIF(M15,"Eğitim Yardımı (Çocuk-Yükseköğretim)")*($AD$51)
+COUNTIF(M15,"Eğitim Yardımı (İşçi-Lise)")*($AD$52)
+COUNTIF(M15,"Eğitim Yardımı (İşçi-Yükseköğretim)")*($AD$53)
+COUNTIF(M15,"Evlilik Yardımı")*($AD$54)</f>
        <v>0</v>
      </c>
      <c r="AW29" s="31">
        <f t="shared" ref="AW29:AW34" si="118">COUNTIF(K15,"Yok")*(0)
+COUNTIF(K15,"Bayram Yardımı (Kurban)")*(0)
+COUNTIF(K15,"Bayram Yardımı (Ramazan)")*(0)
+COUNTIF(K15,"Cenaze Yardımı (Anne-Baba)")*($AD$43)
+COUNTIF(K15,"Cenaze Yardımı (Eş-Çocuk)")*($AD$44)
+COUNTIF(K15,"Cenaze Yardımı (İşçi-İş Kazası Sonucu)")*($AD$45)
+COUNTIF(K15,"Cenaze Yardımı (İşçi-Tabii Sebepler Sonucu)")*($AD$46)
+COUNTIF(K15,"Doğal Afet Yardımı")*($AD$47)
+COUNTIF(K15,"Eğitim Yardımı (Çocuk-İlköğretim)")*(0)
+COUNTIF(K15,"Eğitim Yardımı (Çocuk-Ortaöğretim)")*(0)
+COUNTIF(K15,"Eğitim Yardımı (Çocuk-Lise)")*(0)
+COUNTIF(K15,"Eğitim Yardımı (Çocuk-Yükseköğretim)")*(0)
+COUNTIF(K15,"Eğitim Yardımı (İşçi-Lise)")*(0)
+COUNTIF(K15,"Eğitim Yardımı (İşçi-Yükseköğretim)")*(0)
+COUNTIF(K15,"Evlilik Yardımı")*($AD$54)
+COUNTIF(L15,"Yok")*(0)
+COUNTIF(L15,"Bayram Yardımı (Kurban)")*(0)
+COUNTIF(L15,"Bayram Yardımı (Ramazan)")*(0)
+COUNTIF(L15,"Cenaze Yardımı (Anne-Baba)")*($AD$43)
+COUNTIF(L15,"Cenaze Yardımı (Eş-Çocuk)")*($AD$44)
+COUNTIF(L15,"Cenaze Yardımı (İşçi-İş Kazası Sonucu)")*($AD$45)
+COUNTIF(L15,"Cenaze Yardımı (İşçi-Tabii Sebepler Sonucu)")*($AD$46)
+COUNTIF(L15,"Doğal Afet Yardımı")*($AD$47)
+COUNTIF(L15,"Eğitim Yardımı (Çocuk-İlköğretim)")*(0)
+COUNTIF(L15,"Eğitim Yardımı (Çocuk-Ortaöğretim)")*(0)
+COUNTIF(L15,"Eğitim Yardımı (Çocuk-Lise)")*(0)
+COUNTIF(L15,"Eğitim Yardımı (Çocuk-Yükseköğretim)")*(0)
+COUNTIF(L15,"Eğitim Yardımı (İşçi-Lise)")*(0)
+COUNTIF(L15,"Eğitim Yardımı (İşçi-Yükseköğretim)")*(0)
+COUNTIF(L15,"Evlilik Yardımı")*($AD$54)
+COUNTIF(M15,"Yok")*(0)
+COUNTIF(M15,"Bayram Yardımı (Kurban)")*(0)
+COUNTIF(M15,"Bayram Yardımı (Ramazan)")*(0)
+COUNTIF(M15,"Cenaze Yardımı (Anne-Baba)")*($AD$43)
+COUNTIF(M15,"Cenaze Yardımı (Eş-Çocuk)")*($AD$44)
+COUNTIF(M15,"Cenaze Yardımı (İşçi-İş Kazası Sonucu)")*($AD$45)
+COUNTIF(M15,"Cenaze Yardımı (İşçi-Tabii Sebepler Sonucu)")*($AD$46)
+COUNTIF(M15,"Doğal Afet Yardımı")*($AD$47)
+COUNTIF(M15,"Eğitim Yardımı (Çocuk-İlköğretim)")*(0)
+COUNTIF(M15,"Eğitim Yardımı (Çocuk-Ortaöğretim)")*(0)
+COUNTIF(M15,"Eğitim Yardımı (Çocuk-Lise)")*(0)
+COUNTIF(M15,"Eğitim Yardımı (Çocuk-Yükseköğretim)")*(0)
+COUNTIF(M15,"Eğitim Yardımı (İşçi-Lise)")*(0)
+COUNTIF(M15,"Eğitim Yardımı (İşçi-Yükseköğretim)")*(0)
+COUNTIF(M15,"Evlilik Yardımı")*($AD$54)</f>
        <v>0</v>
      </c>
      <c r="AX29" s="31">
        <f t="shared" ref="AX29:AX34" ca="1" si="119">COUNTIF(K15,"Yok")*(0)
+COUNTIF(K15,"Bayram Yardımı (Kurban)")*($AD$41*BO45)
+COUNTIF(K15,"Bayram Yardımı (Ramazan)")*($AD$42*BO45)
+COUNTIF(K15,"Cenaze Yardımı (Anne-Baba)")*($AD$43-$AD$43*0.00759)
+COUNTIF(K15,"Cenaze Yardımı (Eş-Çocuk)")*($AD$44-$AD$44*0.00759)
+COUNTIF(K15,"Cenaze Yardımı (İşçi-İş Kazası Sonucu)")*($AD$45-$AD$45*0.00759)
+COUNTIF(K15,"Cenaze Yardımı (İşçi-Tabii Sebepler Sonucu)")*($AD$46-$AD$46*0.00759)
+COUNTIF(K15,"Doğal Afet Yardımı")*($AD$47-$AD$47*0.00759)
+COUNTIF(K15,"Eğitim Yardımı (Çocuk-İlköğretim)")*($AD$48*BO45)
+COUNTIF(K15,"Eğitim Yardımı (Çocuk-Ortaöğretim)")*($AD$49*BO45)
+COUNTIF(K15,"Eğitim Yardımı (Çocuk-Lise)")*($AD$50*BO45)
+COUNTIF(K15,"Eğitim Yardımı (Çocuk-Yükseköğretim)")*($AD$51*BO45)
+COUNTIF(K15,"Eğitim Yardımı (İşçi-Lise)")*($AD$52*BO45)
+COUNTIF(K15,"Eğitim Yardımı (İşçi-Yükseköğretim)")*($AD$53*BO45)
+COUNTIF(K15,"Evlilik Yardımı")*($AD$54-$AD$54*0.00759)
+COUNTIF(L15,"Yok")*(0)
+COUNTIF(L15,"Bayram Yardımı (Kurban)")*($AD$41*BO45)
+COUNTIF(L15,"Bayram Yardımı (Ramazan)")*($AD$42*BO45)
+COUNTIF(L15,"Cenaze Yardımı (Anne-Baba)")*($AD$43-$AD$43*0.00759)
+COUNTIF(L15,"Cenaze Yardımı (Eş-Çocuk)")*($AD$44-$AD$44*0.00759)
+COUNTIF(L15,"Cenaze Yardımı (İşçi-İş Kazası Sonucu)")*($AD$45-$AD$45*0.00759)
+COUNTIF(L15,"Cenaze Yardımı (İşçi-Tabii Sebepler Sonucu)")*($AD$46-$AD$46*0.00759)
+COUNTIF(L15,"Doğal Afet Yardımı")*($AD$47-$AD$47*0.00759)
+COUNTIF(L15,"Eğitim Yardımı (Çocuk-İlköğretim)")*($AD$48*BO45)
+COUNTIF(L15,"Eğitim Yardımı (Çocuk-Ortaöğretim)")*($AD$49*BO45)
+COUNTIF(L15,"Eğitim Yardımı (Çocuk-Lise)")*($AD$50*BO45)
+COUNTIF(L15,"Eğitim Yardımı (Çocuk-Yükseköğretim)")*($AD$51*BO45)
+COUNTIF(L15,"Eğitim Yardımı (İşçi-Lise)")*($AD$52*BO45)
+COUNTIF(L15,"Eğitim Yardımı (İşçi-Yükseköğretim)")*($AD$53*BO45)
+COUNTIF(L15,"Evlilik Yardımı")*($AD$54-$AD$54*0.00759)
+COUNTIF(M15,"Yok")*(0)
+COUNTIF(M15,"Bayram Yardımı (Kurban)")*($AD$41*BO45)
+COUNTIF(M15,"Bayram Yardımı (Ramazan)")*($AD$42*BO45)
+COUNTIF(M15,"Cenaze Yardımı (Anne-Baba)")*($AD$43-$AD$43*0.00759)
+COUNTIF(M15,"Cenaze Yardımı (Eş-Çocuk)")*($AD$44-$AD$44*0.00759)
+COUNTIF(M15,"Cenaze Yardımı (İşçi-İş Kazası Sonucu)")*($AD$45-$AD$45*0.00759)
+COUNTIF(M15,"Cenaze Yardımı (İşçi-Tabii Sebepler Sonucu)")*($AD$46-$AD$46*0.00759)
+COUNTIF(M15,"Doğal Afet Yardımı")*($AD$47-$AD$47*0.00759)
+COUNTIF(M15,"Eğitim Yardımı (Çocuk-İlköğretim)")*($AD$48*BO45)
+COUNTIF(M15,"Eğitim Yardımı (Çocuk-Ortaöğretim)")*($AD$49*BO45)
+COUNTIF(M15,"Eğitim Yardımı (Çocuk-Lise)")*($AD$50*BO45)
+COUNTIF(M15,"Eğitim Yardımı (Çocuk-Yükseköğretim)")*($AD$51*BO45)
+COUNTIF(M15,"Eğitim Yardımı (İşçi-Lise)")*($AD$52*BO45)
+COUNTIF(M15,"Eğitim Yardımı (İşçi-Yükseköğretim)")*($AD$53*BO45)
+COUNTIF(M15,"Evlilik Yardımı")*($AD$54-$AD$54*0.00759)</f>
        <v>0</v>
      </c>
      <c r="AY29" s="34" t="s">
        <v>7</v>
      </c>
      <c r="AZ29" s="22">
        <f>(0)</f>
        <v>0</v>
      </c>
      <c r="BA29" s="22">
        <f t="shared" ref="BA29:BA40" si="120">(BE1-AZ29)</f>
        <v>26005.5</v>
      </c>
      <c r="BB29" s="22">
        <f>(BA29*0.14*-1)</f>
        <v>-3640.7700000000004</v>
      </c>
      <c r="BC29" s="22">
        <f>(BA29*0.01*-1)</f>
        <v>-260.05500000000001</v>
      </c>
      <c r="BD29" s="42">
        <v>0.15</v>
      </c>
      <c r="BE29" s="19">
        <v>0</v>
      </c>
      <c r="BF29" s="19">
        <v>158000</v>
      </c>
      <c r="BG29" s="22">
        <v>0</v>
      </c>
      <c r="BP29" s="21">
        <v>27</v>
      </c>
      <c r="BQ29" s="24">
        <v>13.5</v>
      </c>
      <c r="BR29" s="25">
        <v>0.28999999999999998</v>
      </c>
    </row>
    <row r="30" spans="1:70" ht="39.950000000000003" hidden="1" customHeight="1" x14ac:dyDescent="0.25">
      <c r="Z30" s="37" t="s">
        <v>36</v>
      </c>
      <c r="AA30" s="38" t="s">
        <v>95</v>
      </c>
      <c r="AB30" s="43">
        <v>1.012556</v>
      </c>
      <c r="AC30" s="43">
        <v>1.1702109999999999</v>
      </c>
      <c r="AD30" s="18" t="s">
        <v>0</v>
      </c>
      <c r="AE30" s="33" t="s">
        <v>0</v>
      </c>
      <c r="AF30" s="19">
        <f t="shared" si="103"/>
        <v>1767.5</v>
      </c>
      <c r="AG30" s="22">
        <f t="shared" ca="1" si="104"/>
        <v>1367.5473668333334</v>
      </c>
      <c r="AH30" s="41">
        <f t="shared" si="105"/>
        <v>49490</v>
      </c>
      <c r="AI30" s="22">
        <f t="shared" ca="1" si="106"/>
        <v>35380.895900000003</v>
      </c>
      <c r="AJ30" s="22">
        <f t="shared" si="107"/>
        <v>0</v>
      </c>
      <c r="AK30" s="22">
        <f t="shared" ca="1" si="108"/>
        <v>0</v>
      </c>
      <c r="AL30" s="22">
        <f t="shared" si="109"/>
        <v>3160</v>
      </c>
      <c r="AM30" s="22">
        <f t="shared" si="110"/>
        <v>1640</v>
      </c>
      <c r="AN30" s="22">
        <f t="shared" ref="AN30:AN40" si="121">(AM30*0.14*-1)</f>
        <v>-229.60000000000002</v>
      </c>
      <c r="AO30" s="22">
        <f t="shared" ref="AO30:AO40" si="122">(AM30*0.01*-1)</f>
        <v>-16.399999999999999</v>
      </c>
      <c r="AP30" s="22">
        <f t="shared" si="111"/>
        <v>4554</v>
      </c>
      <c r="AQ30" s="22">
        <f t="shared" si="112"/>
        <v>4800</v>
      </c>
      <c r="AR30" s="22">
        <f t="shared" si="113"/>
        <v>0</v>
      </c>
      <c r="AS30" s="22">
        <f t="shared" ca="1" si="114"/>
        <v>0</v>
      </c>
      <c r="AT30" s="22">
        <f t="shared" si="115"/>
        <v>0</v>
      </c>
      <c r="AU30" s="22">
        <f t="shared" si="116"/>
        <v>0</v>
      </c>
      <c r="AV30" s="31">
        <f t="shared" si="117"/>
        <v>0</v>
      </c>
      <c r="AW30" s="31">
        <f t="shared" si="118"/>
        <v>0</v>
      </c>
      <c r="AX30" s="31">
        <f t="shared" ca="1" si="119"/>
        <v>0</v>
      </c>
      <c r="AY30" s="34" t="s">
        <v>7</v>
      </c>
      <c r="AZ30" s="22">
        <f>(0)</f>
        <v>0</v>
      </c>
      <c r="BA30" s="22">
        <f t="shared" si="120"/>
        <v>26005.5</v>
      </c>
      <c r="BB30" s="22">
        <f t="shared" ref="BB30:BB40" si="123">(BA30*0.14*-1)</f>
        <v>-3640.7700000000004</v>
      </c>
      <c r="BC30" s="22">
        <f t="shared" ref="BC30:BC40" si="124">(BA30*0.01*-1)</f>
        <v>-260.05500000000001</v>
      </c>
      <c r="BD30" s="42">
        <v>0.2</v>
      </c>
      <c r="BE30" s="22">
        <f>$BF$29</f>
        <v>158000</v>
      </c>
      <c r="BF30" s="19">
        <v>330000</v>
      </c>
      <c r="BG30" s="22">
        <f>(BF29-BE29)*BD29+BG29</f>
        <v>23700</v>
      </c>
      <c r="BP30" s="21">
        <v>28</v>
      </c>
      <c r="BQ30" s="24">
        <v>14</v>
      </c>
      <c r="BR30" s="25">
        <v>0.3</v>
      </c>
    </row>
    <row r="31" spans="1:70" ht="39.950000000000003" hidden="1" customHeight="1" x14ac:dyDescent="0.25">
      <c r="Z31" s="37" t="s">
        <v>42</v>
      </c>
      <c r="AA31" s="39" t="s">
        <v>75</v>
      </c>
      <c r="AB31" s="43">
        <v>15.848414999999999</v>
      </c>
      <c r="AC31" s="43">
        <v>18.316013999999999</v>
      </c>
      <c r="AD31" s="18" t="s">
        <v>0</v>
      </c>
      <c r="AE31" s="33" t="s">
        <v>0</v>
      </c>
      <c r="AF31" s="19">
        <f t="shared" si="103"/>
        <v>1767.5</v>
      </c>
      <c r="AG31" s="22">
        <f t="shared" ca="1" si="104"/>
        <v>1356.6061951708234</v>
      </c>
      <c r="AH31" s="41">
        <f t="shared" si="105"/>
        <v>54792.5</v>
      </c>
      <c r="AI31" s="22">
        <f t="shared" ca="1" si="106"/>
        <v>38832.529853462191</v>
      </c>
      <c r="AJ31" s="22">
        <f t="shared" si="107"/>
        <v>0</v>
      </c>
      <c r="AK31" s="22">
        <f t="shared" ca="1" si="108"/>
        <v>0</v>
      </c>
      <c r="AL31" s="22">
        <f t="shared" si="109"/>
        <v>3160</v>
      </c>
      <c r="AM31" s="22">
        <f t="shared" si="110"/>
        <v>1640</v>
      </c>
      <c r="AN31" s="22">
        <f t="shared" si="121"/>
        <v>-229.60000000000002</v>
      </c>
      <c r="AO31" s="22">
        <f t="shared" si="122"/>
        <v>-16.399999999999999</v>
      </c>
      <c r="AP31" s="22">
        <f t="shared" si="111"/>
        <v>4554</v>
      </c>
      <c r="AQ31" s="22">
        <f t="shared" si="112"/>
        <v>4800</v>
      </c>
      <c r="AR31" s="22">
        <f t="shared" si="113"/>
        <v>0</v>
      </c>
      <c r="AS31" s="22">
        <f t="shared" ca="1" si="114"/>
        <v>0</v>
      </c>
      <c r="AT31" s="22">
        <f t="shared" si="115"/>
        <v>0</v>
      </c>
      <c r="AU31" s="22">
        <f t="shared" si="116"/>
        <v>0</v>
      </c>
      <c r="AV31" s="31">
        <f t="shared" si="117"/>
        <v>0</v>
      </c>
      <c r="AW31" s="31">
        <f t="shared" si="118"/>
        <v>0</v>
      </c>
      <c r="AX31" s="31">
        <f t="shared" ca="1" si="119"/>
        <v>0</v>
      </c>
      <c r="AY31" s="34" t="s">
        <v>7</v>
      </c>
      <c r="AZ31" s="22">
        <f>(0)</f>
        <v>0</v>
      </c>
      <c r="BA31" s="22">
        <f t="shared" si="120"/>
        <v>26005.5</v>
      </c>
      <c r="BB31" s="22">
        <f t="shared" si="123"/>
        <v>-3640.7700000000004</v>
      </c>
      <c r="BC31" s="22">
        <f t="shared" si="124"/>
        <v>-260.05500000000001</v>
      </c>
      <c r="BD31" s="42">
        <v>0.27</v>
      </c>
      <c r="BE31" s="22">
        <f>$BF$30</f>
        <v>330000</v>
      </c>
      <c r="BF31" s="19">
        <v>1200000</v>
      </c>
      <c r="BG31" s="22">
        <f>(BF30-BE30)*BD30+BG30</f>
        <v>58100</v>
      </c>
      <c r="BP31" s="21">
        <v>29</v>
      </c>
      <c r="BQ31" s="24">
        <v>14.5</v>
      </c>
      <c r="BR31" s="25">
        <v>0.31</v>
      </c>
    </row>
    <row r="32" spans="1:70" ht="39.950000000000003" hidden="1" customHeight="1" x14ac:dyDescent="0.25">
      <c r="Z32" s="37" t="s">
        <v>23</v>
      </c>
      <c r="AA32" s="38" t="s">
        <v>96</v>
      </c>
      <c r="AB32" s="43">
        <v>0.32111499999999998</v>
      </c>
      <c r="AC32" s="43">
        <v>0.37111300000000003</v>
      </c>
      <c r="AD32" s="18" t="s">
        <v>0</v>
      </c>
      <c r="AE32" s="33" t="s">
        <v>0</v>
      </c>
      <c r="AF32" s="19">
        <f t="shared" si="103"/>
        <v>1767.5</v>
      </c>
      <c r="AG32" s="22">
        <f t="shared" ca="1" si="104"/>
        <v>1292.4286168333333</v>
      </c>
      <c r="AH32" s="41">
        <f t="shared" si="105"/>
        <v>53025</v>
      </c>
      <c r="AI32" s="22">
        <f t="shared" ca="1" si="106"/>
        <v>35654.540249999998</v>
      </c>
      <c r="AJ32" s="22">
        <f t="shared" si="107"/>
        <v>0</v>
      </c>
      <c r="AK32" s="22">
        <f t="shared" ca="1" si="108"/>
        <v>0</v>
      </c>
      <c r="AL32" s="22">
        <f t="shared" si="109"/>
        <v>3160</v>
      </c>
      <c r="AM32" s="22">
        <f t="shared" si="110"/>
        <v>1640</v>
      </c>
      <c r="AN32" s="22">
        <f t="shared" si="121"/>
        <v>-229.60000000000002</v>
      </c>
      <c r="AO32" s="22">
        <f t="shared" si="122"/>
        <v>-16.399999999999999</v>
      </c>
      <c r="AP32" s="22">
        <f t="shared" si="111"/>
        <v>4554</v>
      </c>
      <c r="AQ32" s="22">
        <f t="shared" si="112"/>
        <v>4800</v>
      </c>
      <c r="AR32" s="22">
        <f t="shared" si="113"/>
        <v>0</v>
      </c>
      <c r="AS32" s="22">
        <f t="shared" ca="1" si="114"/>
        <v>0</v>
      </c>
      <c r="AT32" s="22">
        <f t="shared" si="115"/>
        <v>0</v>
      </c>
      <c r="AU32" s="22">
        <f t="shared" si="116"/>
        <v>0</v>
      </c>
      <c r="AV32" s="31">
        <f t="shared" si="117"/>
        <v>0</v>
      </c>
      <c r="AW32" s="31">
        <f t="shared" si="118"/>
        <v>0</v>
      </c>
      <c r="AX32" s="31">
        <f t="shared" ca="1" si="119"/>
        <v>0</v>
      </c>
      <c r="AY32" s="34" t="s">
        <v>7</v>
      </c>
      <c r="AZ32" s="22">
        <f>(0)</f>
        <v>0</v>
      </c>
      <c r="BA32" s="22">
        <f t="shared" si="120"/>
        <v>26005.5</v>
      </c>
      <c r="BB32" s="22">
        <f t="shared" si="123"/>
        <v>-3640.7700000000004</v>
      </c>
      <c r="BC32" s="22">
        <f t="shared" si="124"/>
        <v>-260.05500000000001</v>
      </c>
      <c r="BD32" s="42">
        <v>0.35</v>
      </c>
      <c r="BE32" s="22">
        <f>$BF$31</f>
        <v>1200000</v>
      </c>
      <c r="BF32" s="19">
        <v>4300000</v>
      </c>
      <c r="BG32" s="22">
        <f>(BF31-BE31)*BD31+BG31</f>
        <v>293000</v>
      </c>
      <c r="BP32" s="21">
        <v>30</v>
      </c>
      <c r="BQ32" s="24">
        <v>15</v>
      </c>
      <c r="BR32" s="25">
        <v>0.32</v>
      </c>
    </row>
    <row r="33" spans="26:70" ht="39.950000000000003" hidden="1" customHeight="1" x14ac:dyDescent="0.25">
      <c r="Z33" s="37" t="s">
        <v>35</v>
      </c>
      <c r="AA33" s="38" t="s">
        <v>76</v>
      </c>
      <c r="AF33" s="19">
        <f t="shared" si="103"/>
        <v>1767.5</v>
      </c>
      <c r="AG33" s="22">
        <f t="shared" ca="1" si="104"/>
        <v>1292.4286168333333</v>
      </c>
      <c r="AH33" s="41">
        <f t="shared" si="105"/>
        <v>54792.5</v>
      </c>
      <c r="AI33" s="22">
        <f t="shared" ca="1" si="106"/>
        <v>36843.024924999998</v>
      </c>
      <c r="AJ33" s="22">
        <f t="shared" si="107"/>
        <v>0</v>
      </c>
      <c r="AK33" s="22">
        <f t="shared" ca="1" si="108"/>
        <v>0</v>
      </c>
      <c r="AL33" s="22">
        <f t="shared" si="109"/>
        <v>3160</v>
      </c>
      <c r="AM33" s="22">
        <f t="shared" si="110"/>
        <v>1640</v>
      </c>
      <c r="AN33" s="22">
        <f t="shared" si="121"/>
        <v>-229.60000000000002</v>
      </c>
      <c r="AO33" s="22">
        <f t="shared" si="122"/>
        <v>-16.399999999999999</v>
      </c>
      <c r="AP33" s="22">
        <f t="shared" si="111"/>
        <v>4554</v>
      </c>
      <c r="AQ33" s="22">
        <f t="shared" si="112"/>
        <v>4800</v>
      </c>
      <c r="AR33" s="22">
        <f t="shared" si="113"/>
        <v>0</v>
      </c>
      <c r="AS33" s="22">
        <f t="shared" ca="1" si="114"/>
        <v>0</v>
      </c>
      <c r="AT33" s="22">
        <f t="shared" si="115"/>
        <v>0</v>
      </c>
      <c r="AU33" s="22">
        <f t="shared" si="116"/>
        <v>0</v>
      </c>
      <c r="AV33" s="31">
        <f t="shared" si="117"/>
        <v>0</v>
      </c>
      <c r="AW33" s="31">
        <f t="shared" si="118"/>
        <v>0</v>
      </c>
      <c r="AX33" s="31">
        <f t="shared" ca="1" si="119"/>
        <v>0</v>
      </c>
      <c r="AY33" s="34" t="s">
        <v>7</v>
      </c>
      <c r="AZ33" s="22">
        <f>(0)</f>
        <v>0</v>
      </c>
      <c r="BA33" s="22">
        <f t="shared" si="120"/>
        <v>26005.5</v>
      </c>
      <c r="BB33" s="22">
        <f t="shared" si="123"/>
        <v>-3640.7700000000004</v>
      </c>
      <c r="BC33" s="22">
        <f t="shared" si="124"/>
        <v>-260.05500000000001</v>
      </c>
      <c r="BD33" s="42">
        <v>0.4</v>
      </c>
      <c r="BE33" s="44">
        <f>$BF$32</f>
        <v>4300000</v>
      </c>
      <c r="BF33" s="22">
        <v>999999999</v>
      </c>
      <c r="BG33" s="22">
        <f>(BF32-BE32)*BD32+BG32</f>
        <v>1378000</v>
      </c>
      <c r="BP33" s="21">
        <v>31</v>
      </c>
      <c r="BQ33" s="24">
        <v>15.5</v>
      </c>
      <c r="BR33" s="25">
        <v>0.33</v>
      </c>
    </row>
    <row r="34" spans="26:70" ht="39.950000000000003" hidden="1" customHeight="1" x14ac:dyDescent="0.25">
      <c r="Z34" s="45" t="s">
        <v>37</v>
      </c>
      <c r="AA34" s="39" t="s">
        <v>77</v>
      </c>
      <c r="AB34" s="46">
        <f>($AB$35*2)</f>
        <v>19000</v>
      </c>
      <c r="AC34" s="18" t="s">
        <v>0</v>
      </c>
      <c r="AD34" s="19">
        <f>($AB$30*$AB$34)</f>
        <v>19238.563999999998</v>
      </c>
      <c r="AE34" s="19">
        <f>($AC$30*$AB$34)</f>
        <v>22234.008999999998</v>
      </c>
      <c r="AF34" s="19">
        <f t="shared" si="103"/>
        <v>1767.5</v>
      </c>
      <c r="AG34" s="22">
        <f t="shared" ca="1" si="104"/>
        <v>1278.9107197528697</v>
      </c>
      <c r="AH34" s="41">
        <f t="shared" si="105"/>
        <v>53025</v>
      </c>
      <c r="AI34" s="22">
        <f t="shared" ca="1" si="106"/>
        <v>35249.003337586088</v>
      </c>
      <c r="AJ34" s="22">
        <f t="shared" si="107"/>
        <v>0</v>
      </c>
      <c r="AK34" s="22">
        <f t="shared" ca="1" si="108"/>
        <v>0</v>
      </c>
      <c r="AL34" s="22">
        <f t="shared" si="109"/>
        <v>3160</v>
      </c>
      <c r="AM34" s="22">
        <f t="shared" si="110"/>
        <v>1640</v>
      </c>
      <c r="AN34" s="22">
        <f t="shared" si="121"/>
        <v>-229.60000000000002</v>
      </c>
      <c r="AO34" s="22">
        <f t="shared" si="122"/>
        <v>-16.399999999999999</v>
      </c>
      <c r="AP34" s="22">
        <f t="shared" si="111"/>
        <v>4554</v>
      </c>
      <c r="AQ34" s="22">
        <f t="shared" si="112"/>
        <v>4800</v>
      </c>
      <c r="AR34" s="22">
        <f t="shared" si="113"/>
        <v>0</v>
      </c>
      <c r="AS34" s="22">
        <f t="shared" ca="1" si="114"/>
        <v>0</v>
      </c>
      <c r="AT34" s="22">
        <f t="shared" si="115"/>
        <v>0</v>
      </c>
      <c r="AU34" s="22">
        <f t="shared" si="116"/>
        <v>0</v>
      </c>
      <c r="AV34" s="31">
        <f t="shared" si="117"/>
        <v>0</v>
      </c>
      <c r="AW34" s="31">
        <f t="shared" si="118"/>
        <v>0</v>
      </c>
      <c r="AX34" s="31">
        <f t="shared" ca="1" si="119"/>
        <v>0</v>
      </c>
      <c r="AY34" s="34" t="s">
        <v>7</v>
      </c>
      <c r="AZ34" s="22">
        <f>(0)</f>
        <v>0</v>
      </c>
      <c r="BA34" s="22">
        <f t="shared" si="120"/>
        <v>26005.5</v>
      </c>
      <c r="BB34" s="22">
        <f t="shared" si="123"/>
        <v>-3640.7700000000004</v>
      </c>
      <c r="BC34" s="22">
        <f t="shared" si="124"/>
        <v>-260.05500000000001</v>
      </c>
      <c r="BD34" s="22" t="s">
        <v>0</v>
      </c>
      <c r="BE34" s="22" t="s">
        <v>0</v>
      </c>
      <c r="BF34" s="22" t="s">
        <v>0</v>
      </c>
      <c r="BG34" s="22" t="s">
        <v>0</v>
      </c>
      <c r="BP34" s="21">
        <v>32</v>
      </c>
      <c r="BQ34" s="24">
        <v>16</v>
      </c>
      <c r="BR34" s="25">
        <v>0.34</v>
      </c>
    </row>
    <row r="35" spans="26:70" ht="39.950000000000003" hidden="1" customHeight="1" x14ac:dyDescent="0.25">
      <c r="Z35" s="37" t="s">
        <v>43</v>
      </c>
      <c r="AA35" s="38" t="s">
        <v>46</v>
      </c>
      <c r="AB35" s="46">
        <f>(9500)</f>
        <v>9500</v>
      </c>
      <c r="AC35" s="18" t="s">
        <v>0</v>
      </c>
      <c r="AD35" s="19">
        <f>($AB$30*$AB$35)</f>
        <v>9619.2819999999992</v>
      </c>
      <c r="AE35" s="19">
        <f>($AC$30*$AB$35)</f>
        <v>11117.004499999999</v>
      </c>
      <c r="AF35" s="19">
        <f t="shared" ref="AF35:AF40" si="125">COUNTIF($A$1,"Temizlik Sorumlusu")*($AD$1)
+COUNTIF($A$1,"Temizlik Görevlisi")*($AD$2)</f>
        <v>2115.17</v>
      </c>
      <c r="AG35" s="22">
        <f t="shared" ca="1" si="104"/>
        <v>1400.3527865333333</v>
      </c>
      <c r="AH35" s="41">
        <f t="shared" si="105"/>
        <v>65570.27</v>
      </c>
      <c r="AI35" s="22">
        <f t="shared" ca="1" si="106"/>
        <v>40188.674185700002</v>
      </c>
      <c r="AJ35" s="22">
        <f t="shared" si="107"/>
        <v>0</v>
      </c>
      <c r="AK35" s="22">
        <f t="shared" ca="1" si="108"/>
        <v>0</v>
      </c>
      <c r="AL35" s="22">
        <f t="shared" ref="AL35:AL40" si="126">($AE$14*H21)</f>
        <v>3160</v>
      </c>
      <c r="AM35" s="22">
        <f t="shared" si="110"/>
        <v>1640</v>
      </c>
      <c r="AN35" s="22">
        <f t="shared" si="121"/>
        <v>-229.60000000000002</v>
      </c>
      <c r="AO35" s="22">
        <f t="shared" si="122"/>
        <v>-16.399999999999999</v>
      </c>
      <c r="AP35" s="22">
        <f t="shared" si="111"/>
        <v>4554</v>
      </c>
      <c r="AQ35" s="22">
        <f t="shared" ref="AQ35:AQ40" si="127">IF($AE$15*H21&gt;=AI21,AI21,$AE$15*H21)</f>
        <v>4800</v>
      </c>
      <c r="AR35" s="22">
        <f t="shared" ref="AR35:AR40" si="128">(276.5*J21)</f>
        <v>0</v>
      </c>
      <c r="AS35" s="22">
        <f t="shared" ca="1" si="114"/>
        <v>0</v>
      </c>
      <c r="AT35" s="22">
        <f t="shared" ref="AT35:AT40" si="129">IF(AR35&lt;=$AE$5*2,AR35,$AE$5*2)</f>
        <v>0</v>
      </c>
      <c r="AU35" s="22">
        <f t="shared" ref="AU35:AU40" si="130">IF(AR35&lt;=$AE$5*2,AR35,$AE$5*2)</f>
        <v>0</v>
      </c>
      <c r="AV35" s="31">
        <f t="shared" ref="AV35:AV40" si="131">COUNTIF(K21,"Yok")*(0)
+COUNTIF(K21,"Bayram Yardımı (Kurban)")*($AE$41)
+COUNTIF(K21,"Bayram Yardımı (Ramazan)")*($AE$42)
+COUNTIF(K21,"Cenaze Yardımı (Anne-Baba)")*($AE$43)
+COUNTIF(K21,"Cenaze Yardımı (Eş-Çocuk)")*($AE$44)
+COUNTIF(K21,"Cenaze Yardımı (İşçi-İş Kazası Sonucu)")*($AE$45)
+COUNTIF(K21,"Cenaze Yardımı (İşçi-Tabii Sebepler Sonucu)")*($AE$46)
+COUNTIF(K21,"Doğal Afet Yardımı")*($AE$47)
+COUNTIF(K21,"Eğitim Yardımı (Çocuk-İlköğretim)")*($AE$48)
+COUNTIF(K21,"Eğitim Yardımı (Çocuk-Ortaöğretim)")*($AE$49)
+COUNTIF(K21,"Eğitim Yardımı (Çocuk-Lise)")*($AE$50)
+COUNTIF(K21,"Eğitim Yardımı (Çocuk-Yükseköğretim)")*($AE$51)
+COUNTIF(K21,"Eğitim Yardımı (İşçi-Lise)")*($AE$52)
+COUNTIF(K21,"Eğitim Yardımı (İşçi-Yükseköğretim)")*($AE$53)
+COUNTIF(K21,"Evlilik Yardımı")*($AE$54)
+COUNTIF(L21,"Yok")*(0)
+COUNTIF(L21,"Bayram Yardımı (Kurban)")*($AE$41)
+COUNTIF(L21,"Bayram Yardımı (Ramazan)")*($AE$42)
+COUNTIF(L21,"Cenaze Yardımı (Anne-Baba)")*($AE$43)
+COUNTIF(L21,"Cenaze Yardımı (Eş-Çocuk)")*($AE$44)
+COUNTIF(L21,"Cenaze Yardımı (İşçi-İş Kazası Sonucu)")*($AE$45)
+COUNTIF(L21,"Cenaze Yardımı (İşçi-Tabii Sebepler Sonucu)")*($AE$46)
+COUNTIF(L21,"Doğal Afet Yardımı")*($AE$47)
+COUNTIF(L21,"Eğitim Yardımı (Çocuk-İlköğretim)")*($AE$48)
+COUNTIF(L21,"Eğitim Yardımı (Çocuk-Ortaöğretim)")*($AE$49)
+COUNTIF(L21,"Eğitim Yardımı (Çocuk-Lise)")*($AE$50)
+COUNTIF(L21,"Eğitim Yardımı (Çocuk-Yükseköğretim)")*($AE$51)
+COUNTIF(L21,"Eğitim Yardımı (İşçi-Lise)")*($AE$52)
+COUNTIF(L21,"Eğitim Yardımı (İşçi-Yükseköğretim)")*($AE$53)
+COUNTIF(L21,"Evlilik Yardımı")*($AE$54)
+COUNTIF(M21,"Yok")*(0)
+COUNTIF(M21,"Bayram Yardımı (Kurban)")*($AE$41)
+COUNTIF(M21,"Bayram Yardımı (Ramazan)")*($AE$42)
+COUNTIF(M21,"Cenaze Yardımı (Anne-Baba)")*($AE$43)
+COUNTIF(M21,"Cenaze Yardımı (Eş-Çocuk)")*($AE$44)
+COUNTIF(M21,"Cenaze Yardımı (İşçi-İş Kazası Sonucu)")*($AE$45)
+COUNTIF(M21,"Cenaze Yardımı (İşçi-Tabii Sebepler Sonucu)")*($AE$46)
+COUNTIF(M21,"Doğal Afet Yardımı")*($AE$47)
+COUNTIF(M21,"Eğitim Yardımı (Çocuk-İlköğretim)")*($AE$48)
+COUNTIF(M21,"Eğitim Yardımı (Çocuk-Ortaöğretim)")*($AE$49)
+COUNTIF(M21,"Eğitim Yardımı (Çocuk-Lise)")*($AE$50)
+COUNTIF(M21,"Eğitim Yardımı (Çocuk-Yükseköğretim)")*($AE$51)
+COUNTIF(M21,"Eğitim Yardımı (İşçi-Lise)")*($AE$52)
+COUNTIF(M21,"Eğitim Yardımı (İşçi-Yükseköğretim)")*($AE$53)
+COUNTIF(M21,"Evlilik Yardımı")*($AE$54)</f>
        <v>0</v>
      </c>
      <c r="AW35" s="31">
        <f t="shared" ref="AW35:AW40" si="132">COUNTIF(K21,"Yok")*(0)
+COUNTIF(K21,"Bayram Yardımı (Kurban)")*(0)
+COUNTIF(K21,"Bayram Yardımı (Ramazan)")*(0)
+COUNTIF(K21,"Cenaze Yardımı (Anne-Baba)")*($AE$43)
+COUNTIF(K21,"Cenaze Yardımı (Eş-Çocuk)")*($AE$44)
+COUNTIF(K21,"Cenaze Yardımı (İşçi-İş Kazası Sonucu)")*($AE$45)
+COUNTIF(K21,"Cenaze Yardımı (İşçi-Tabii Sebepler Sonucu)")*($AE$46)
+COUNTIF(K21,"Doğal Afet Yardımı")*($AE$47)
+COUNTIF(K21,"Eğitim Yardımı (Çocuk-İlköğretim)")*(0)
+COUNTIF(K21,"Eğitim Yardımı (Çocuk-Ortaöğretim)")*(0)
+COUNTIF(K21,"Eğitim Yardımı (Çocuk-Lise)")*(0)
+COUNTIF(K21,"Eğitim Yardımı (Çocuk-Yükseköğretim)")*(0)
+COUNTIF(K21,"Eğitim Yardımı (İşçi-Lise)")*(0)
+COUNTIF(K21,"Eğitim Yardımı (İşçi-Yükseköğretim)")*(0)
+COUNTIF(K21,"Evlilik Yardımı")*($AE$54)
+COUNTIF(L21,"Yok")*(0)
+COUNTIF(L21,"Bayram Yardımı (Kurban)")*(0)
+COUNTIF(L21,"Bayram Yardımı (Ramazan)")*(0)
+COUNTIF(L21,"Cenaze Yardımı (Anne-Baba)")*($AE$43)
+COUNTIF(L21,"Cenaze Yardımı (Eş-Çocuk)")*($AE$44)
+COUNTIF(L21,"Cenaze Yardımı (İşçi-İş Kazası Sonucu)")*($AE$45)
+COUNTIF(L21,"Cenaze Yardımı (İşçi-Tabii Sebepler Sonucu)")*($AE$46)
+COUNTIF(L21,"Doğal Afet Yardımı")*($AE$47)
+COUNTIF(L21,"Eğitim Yardımı (Çocuk-İlköğretim)")*(0)
+COUNTIF(L21,"Eğitim Yardımı (Çocuk-Ortaöğretim)")*(0)
+COUNTIF(L21,"Eğitim Yardımı (Çocuk-Lise)")*(0)
+COUNTIF(L21,"Eğitim Yardımı (Çocuk-Yükseköğretim)")*(0)
+COUNTIF(L21,"Eğitim Yardımı (İşçi-Lise)")*(0)
+COUNTIF(L21,"Eğitim Yardımı (İşçi-Yükseköğretim)")*(0)
+COUNTIF(L21,"Evlilik Yardımı")*($AE$54)
+COUNTIF(M21,"Yok")*(0)
+COUNTIF(M21,"Bayram Yardımı (Kurban)")*(0)
+COUNTIF(M21,"Bayram Yardımı (Ramazan)")*(0)
+COUNTIF(M21,"Cenaze Yardımı (Anne-Baba)")*($AE$43)
+COUNTIF(M21,"Cenaze Yardımı (Eş-Çocuk)")*($AE$44)
+COUNTIF(M21,"Cenaze Yardımı (İşçi-İş Kazası Sonucu)")*($AE$45)
+COUNTIF(M21,"Cenaze Yardımı (İşçi-Tabii Sebepler Sonucu)")*($AE$46)
+COUNTIF(M21,"Doğal Afet Yardımı")*($AE$47)
+COUNTIF(M21,"Eğitim Yardımı (Çocuk-İlköğretim)")*(0)
+COUNTIF(M21,"Eğitim Yardımı (Çocuk-Ortaöğretim)")*(0)
+COUNTIF(M21,"Eğitim Yardımı (Çocuk-Lise)")*(0)
+COUNTIF(M21,"Eğitim Yardımı (Çocuk-Yükseköğretim)")*(0)
+COUNTIF(M21,"Eğitim Yardımı (İşçi-Lise)")*(0)
+COUNTIF(M21,"Eğitim Yardımı (İşçi-Yükseköğretim)")*(0)
+COUNTIF(M21,"Evlilik Yardımı")*($AE$54)</f>
        <v>0</v>
      </c>
      <c r="AX35" s="31">
        <f t="shared" ref="AX35:AX40" ca="1" si="133">COUNTIF(K21,"Yok")*(0)
+COUNTIF(K21,"Bayram Yardımı (Kurban)")*($AE$41*BO51)
+COUNTIF(K21,"Bayram Yardımı (Ramazan)")*($AE$42*BO51)
+COUNTIF(K21,"Cenaze Yardımı (Anne-Baba)")*($AE$43-$AE$43*0.00759)
+COUNTIF(K21,"Cenaze Yardımı (Eş-Çocuk)")*($AE$44-$AE$44*0.00759)
+COUNTIF(K21,"Cenaze Yardımı (İşçi-İş Kazası Sonucu)")*($AE$45-$AE$45*0.00759)
+COUNTIF(K21,"Cenaze Yardımı (İşçi-Tabii Sebepler Sonucu)")*($AE$46-$AE$46*0.00759)
+COUNTIF(K21,"Doğal Afet Yardımı")*($AE$47-$AE$47*0.00759)
+COUNTIF(K21,"Eğitim Yardımı (Çocuk-İlköğretim)")*($AE$48*BO51)
+COUNTIF(K21,"Eğitim Yardımı (Çocuk-Ortaöğretim)")*($AE$49*BO51)
+COUNTIF(K21,"Eğitim Yardımı (Çocuk-Lise)")*($AE$50*BO51)
+COUNTIF(K21,"Eğitim Yardımı (Çocuk-Yükseköğretim)")*($AE$51*BO51)
+COUNTIF(K21,"Eğitim Yardımı (İşçi-Lise)")*($AE$52*BO51)
+COUNTIF(K21,"Eğitim Yardımı (İşçi-Yükseköğretim)")*($AE$53*BO51)
+COUNTIF(K21,"Evlilik Yardımı")*($AE$54-$AE$54*0.00759)
+COUNTIF(L21,"Yok")*(0)
+COUNTIF(L21,"Bayram Yardımı (Kurban)")*($AE$41*BO51)
+COUNTIF(L21,"Bayram Yardımı (Ramazan)")*($AE$42*BO51)
+COUNTIF(L21,"Cenaze Yardımı (Anne-Baba)")*($AE$43-$AE$43*0.00759)
+COUNTIF(L21,"Cenaze Yardımı (Eş-Çocuk)")*($AE$44-$AE$44*0.00759)
+COUNTIF(L21,"Cenaze Yardımı (İşçi-İş Kazası Sonucu)")*($AE$45-$AE$45*0.00759)
+COUNTIF(L21,"Cenaze Yardımı (İşçi-Tabii Sebepler Sonucu)")*($AE$46-$AE$46*0.00759)
+COUNTIF(L21,"Doğal Afet Yardımı")*($AE$47-$AE$47*0.00759)
+COUNTIF(L21,"Eğitim Yardımı (Çocuk-İlköğretim)")*($AE$48*BO51)
+COUNTIF(L21,"Eğitim Yardımı (Çocuk-Ortaöğretim)")*($AE$49*BO51)
+COUNTIF(L21,"Eğitim Yardımı (Çocuk-Lise)")*($AE$50*BO51)
+COUNTIF(L21,"Eğitim Yardımı (Çocuk-Yükseköğretim)")*($AE$51*BO51)
+COUNTIF(L21,"Eğitim Yardımı (İşçi-Lise)")*($AE$52*BO51)
+COUNTIF(L21,"Eğitim Yardımı (İşçi-Yükseköğretim)")*($AE$53*BO51)
+COUNTIF(L21,"Evlilik Yardımı")*($AE$54-$AE$54*0.00759)
+COUNTIF(M21,"Yok")*(0)
+COUNTIF(M21,"Bayram Yardımı (Kurban)")*($AE$41*BO51)
+COUNTIF(M21,"Bayram Yardımı (Ramazan)")*($AE$42*BO51)
+COUNTIF(M21,"Cenaze Yardımı (Anne-Baba)")*($AE$43-$AE$43*0.00759)
+COUNTIF(M21,"Cenaze Yardımı (Eş-Çocuk)")*($AE$44-$AE$44*0.00759)
+COUNTIF(M21,"Cenaze Yardımı (İşçi-İş Kazası Sonucu)")*($AE$45-$AE$45*0.00759)
+COUNTIF(M21,"Cenaze Yardımı (İşçi-Tabii Sebepler Sonucu)")*($AE$46-$AE$46*0.00759)
+COUNTIF(M21,"Doğal Afet Yardımı")*($AE$47-$AE$47*0.00759)
+COUNTIF(M21,"Eğitim Yardımı (Çocuk-İlköğretim)")*($AE$48*BO51)
+COUNTIF(M21,"Eğitim Yardımı (Çocuk-Ortaöğretim)")*($AE$49*BO51)
+COUNTIF(M21,"Eğitim Yardımı (Çocuk-Lise)")*($AE$50*BO51)
+COUNTIF(M21,"Eğitim Yardımı (Çocuk-Yükseköğretim)")*($AE$51*BO51)
+COUNTIF(M21,"Eğitim Yardımı (İşçi-Lise)")*($AE$52*BO51)
+COUNTIF(M21,"Eğitim Yardımı (İşçi-Yükseköğretim)")*($AE$53*BO51)
+COUNTIF(M21,"Evlilik Yardımı")*($AE$54-$AE$54*0.00759)</f>
        <v>0</v>
      </c>
      <c r="AY35" s="34" t="s">
        <v>7</v>
      </c>
      <c r="AZ35" s="22">
        <f>(0)</f>
        <v>0</v>
      </c>
      <c r="BA35" s="22">
        <f t="shared" si="120"/>
        <v>26005.5</v>
      </c>
      <c r="BB35" s="22">
        <f t="shared" si="123"/>
        <v>-3640.7700000000004</v>
      </c>
      <c r="BC35" s="22">
        <f t="shared" si="124"/>
        <v>-260.05500000000001</v>
      </c>
      <c r="BD35" s="22" t="s">
        <v>0</v>
      </c>
      <c r="BE35" s="22" t="s">
        <v>0</v>
      </c>
      <c r="BF35" s="22" t="s">
        <v>0</v>
      </c>
      <c r="BG35" s="22" t="s">
        <v>0</v>
      </c>
      <c r="BP35" s="21">
        <v>33</v>
      </c>
      <c r="BQ35" s="24">
        <v>16.5</v>
      </c>
      <c r="BR35" s="25">
        <v>0.35</v>
      </c>
    </row>
    <row r="36" spans="26:70" ht="39.950000000000003" hidden="1" customHeight="1" x14ac:dyDescent="0.25">
      <c r="AF36" s="19">
        <f t="shared" si="125"/>
        <v>2115.17</v>
      </c>
      <c r="AG36" s="22">
        <f t="shared" ca="1" si="104"/>
        <v>1431.7484531999999</v>
      </c>
      <c r="AH36" s="41">
        <f t="shared" si="105"/>
        <v>65570.27</v>
      </c>
      <c r="AI36" s="22">
        <f t="shared" ca="1" si="106"/>
        <v>40188.674185700002</v>
      </c>
      <c r="AJ36" s="22">
        <f t="shared" si="107"/>
        <v>0</v>
      </c>
      <c r="AK36" s="22">
        <f t="shared" ca="1" si="108"/>
        <v>0</v>
      </c>
      <c r="AL36" s="22">
        <f t="shared" si="126"/>
        <v>3160</v>
      </c>
      <c r="AM36" s="22">
        <f t="shared" si="110"/>
        <v>1640</v>
      </c>
      <c r="AN36" s="22">
        <f t="shared" si="121"/>
        <v>-229.60000000000002</v>
      </c>
      <c r="AO36" s="22">
        <f t="shared" si="122"/>
        <v>-16.399999999999999</v>
      </c>
      <c r="AP36" s="22">
        <f t="shared" si="111"/>
        <v>4554</v>
      </c>
      <c r="AQ36" s="22">
        <f t="shared" si="127"/>
        <v>4800</v>
      </c>
      <c r="AR36" s="22">
        <f t="shared" si="128"/>
        <v>0</v>
      </c>
      <c r="AS36" s="22">
        <f t="shared" ca="1" si="114"/>
        <v>0</v>
      </c>
      <c r="AT36" s="22">
        <f t="shared" si="129"/>
        <v>0</v>
      </c>
      <c r="AU36" s="22">
        <f t="shared" si="130"/>
        <v>0</v>
      </c>
      <c r="AV36" s="31">
        <f t="shared" si="131"/>
        <v>0</v>
      </c>
      <c r="AW36" s="31">
        <f t="shared" si="132"/>
        <v>0</v>
      </c>
      <c r="AX36" s="31">
        <f t="shared" ca="1" si="133"/>
        <v>0</v>
      </c>
      <c r="AY36" s="34" t="s">
        <v>7</v>
      </c>
      <c r="AZ36" s="22">
        <f>(0)</f>
        <v>0</v>
      </c>
      <c r="BA36" s="22">
        <f t="shared" si="120"/>
        <v>26005.5</v>
      </c>
      <c r="BB36" s="22">
        <f t="shared" si="123"/>
        <v>-3640.7700000000004</v>
      </c>
      <c r="BC36" s="22">
        <f t="shared" si="124"/>
        <v>-260.05500000000001</v>
      </c>
      <c r="BD36" s="22" t="s">
        <v>0</v>
      </c>
      <c r="BE36" s="22" t="s">
        <v>0</v>
      </c>
      <c r="BF36" s="22" t="s">
        <v>0</v>
      </c>
      <c r="BG36" s="22" t="s">
        <v>0</v>
      </c>
      <c r="BP36" s="21">
        <v>34</v>
      </c>
      <c r="BQ36" s="24">
        <v>17</v>
      </c>
      <c r="BR36" s="25">
        <v>0.36</v>
      </c>
    </row>
    <row r="37" spans="26:70" ht="39.950000000000003" hidden="1" customHeight="1" x14ac:dyDescent="0.25">
      <c r="AB37" s="19">
        <v>9900</v>
      </c>
      <c r="AC37" s="18" t="s">
        <v>0</v>
      </c>
      <c r="AD37" s="18" t="s">
        <v>0</v>
      </c>
      <c r="AE37" s="18" t="s">
        <v>0</v>
      </c>
      <c r="AF37" s="19">
        <f t="shared" si="125"/>
        <v>2115.17</v>
      </c>
      <c r="AG37" s="22">
        <f t="shared" ca="1" si="104"/>
        <v>1437.1941198666666</v>
      </c>
      <c r="AH37" s="41">
        <f t="shared" si="105"/>
        <v>63455.100000000006</v>
      </c>
      <c r="AI37" s="22">
        <f t="shared" ca="1" si="106"/>
        <v>38892.265340999998</v>
      </c>
      <c r="AJ37" s="22">
        <f t="shared" si="107"/>
        <v>0</v>
      </c>
      <c r="AK37" s="22">
        <f t="shared" ca="1" si="108"/>
        <v>0</v>
      </c>
      <c r="AL37" s="22">
        <f t="shared" si="126"/>
        <v>3160</v>
      </c>
      <c r="AM37" s="22">
        <f t="shared" si="110"/>
        <v>1640</v>
      </c>
      <c r="AN37" s="22">
        <f t="shared" si="121"/>
        <v>-229.60000000000002</v>
      </c>
      <c r="AO37" s="22">
        <f t="shared" si="122"/>
        <v>-16.399999999999999</v>
      </c>
      <c r="AP37" s="22">
        <f t="shared" si="111"/>
        <v>4554</v>
      </c>
      <c r="AQ37" s="22">
        <f t="shared" si="127"/>
        <v>4800</v>
      </c>
      <c r="AR37" s="22">
        <f t="shared" si="128"/>
        <v>0</v>
      </c>
      <c r="AS37" s="22">
        <f t="shared" ca="1" si="114"/>
        <v>0</v>
      </c>
      <c r="AT37" s="22">
        <f t="shared" si="129"/>
        <v>0</v>
      </c>
      <c r="AU37" s="22">
        <f t="shared" si="130"/>
        <v>0</v>
      </c>
      <c r="AV37" s="31">
        <f t="shared" si="131"/>
        <v>0</v>
      </c>
      <c r="AW37" s="31">
        <f t="shared" si="132"/>
        <v>0</v>
      </c>
      <c r="AX37" s="31">
        <f t="shared" ca="1" si="133"/>
        <v>0</v>
      </c>
      <c r="AY37" s="34" t="s">
        <v>7</v>
      </c>
      <c r="AZ37" s="22">
        <f>(0)</f>
        <v>0</v>
      </c>
      <c r="BA37" s="22">
        <f t="shared" si="120"/>
        <v>26005.5</v>
      </c>
      <c r="BB37" s="22">
        <f t="shared" si="123"/>
        <v>-3640.7700000000004</v>
      </c>
      <c r="BC37" s="22">
        <f t="shared" si="124"/>
        <v>-260.05500000000001</v>
      </c>
      <c r="BD37" s="22" t="s">
        <v>0</v>
      </c>
      <c r="BE37" s="22" t="s">
        <v>0</v>
      </c>
      <c r="BF37" s="22" t="s">
        <v>0</v>
      </c>
      <c r="BG37" s="22" t="s">
        <v>0</v>
      </c>
      <c r="BP37" s="21">
        <v>35</v>
      </c>
      <c r="BQ37" s="24">
        <v>17.5</v>
      </c>
      <c r="BR37" s="25">
        <v>0.37</v>
      </c>
    </row>
    <row r="38" spans="26:70" ht="39.950000000000003" hidden="1" customHeight="1" x14ac:dyDescent="0.25">
      <c r="AB38" s="19">
        <v>5700</v>
      </c>
      <c r="AC38" s="18" t="s">
        <v>0</v>
      </c>
      <c r="AD38" s="18" t="s">
        <v>0</v>
      </c>
      <c r="AE38" s="18" t="s">
        <v>0</v>
      </c>
      <c r="AF38" s="19">
        <f t="shared" si="125"/>
        <v>2115.17</v>
      </c>
      <c r="AG38" s="22">
        <f t="shared" ca="1" si="104"/>
        <v>1437.1941198666666</v>
      </c>
      <c r="AH38" s="41">
        <f t="shared" si="105"/>
        <v>65570.27</v>
      </c>
      <c r="AI38" s="22">
        <f t="shared" ca="1" si="106"/>
        <v>40188.674185700002</v>
      </c>
      <c r="AJ38" s="22">
        <f t="shared" si="107"/>
        <v>0</v>
      </c>
      <c r="AK38" s="22">
        <f t="shared" ca="1" si="108"/>
        <v>0</v>
      </c>
      <c r="AL38" s="22">
        <f t="shared" si="126"/>
        <v>3160</v>
      </c>
      <c r="AM38" s="22">
        <f t="shared" si="110"/>
        <v>1640</v>
      </c>
      <c r="AN38" s="22">
        <f t="shared" si="121"/>
        <v>-229.60000000000002</v>
      </c>
      <c r="AO38" s="22">
        <f t="shared" si="122"/>
        <v>-16.399999999999999</v>
      </c>
      <c r="AP38" s="22">
        <f t="shared" si="111"/>
        <v>4554</v>
      </c>
      <c r="AQ38" s="22">
        <f t="shared" si="127"/>
        <v>4800</v>
      </c>
      <c r="AR38" s="22">
        <f t="shared" si="128"/>
        <v>0</v>
      </c>
      <c r="AS38" s="22">
        <f t="shared" ca="1" si="114"/>
        <v>0</v>
      </c>
      <c r="AT38" s="22">
        <f t="shared" si="129"/>
        <v>0</v>
      </c>
      <c r="AU38" s="22">
        <f t="shared" si="130"/>
        <v>0</v>
      </c>
      <c r="AV38" s="31">
        <f t="shared" si="131"/>
        <v>0</v>
      </c>
      <c r="AW38" s="31">
        <f t="shared" si="132"/>
        <v>0</v>
      </c>
      <c r="AX38" s="31">
        <f t="shared" ca="1" si="133"/>
        <v>0</v>
      </c>
      <c r="AY38" s="34" t="s">
        <v>7</v>
      </c>
      <c r="AZ38" s="22">
        <f>(0)</f>
        <v>0</v>
      </c>
      <c r="BA38" s="22">
        <f t="shared" si="120"/>
        <v>26005.5</v>
      </c>
      <c r="BB38" s="22">
        <f t="shared" si="123"/>
        <v>-3640.7700000000004</v>
      </c>
      <c r="BC38" s="22">
        <f t="shared" si="124"/>
        <v>-260.05500000000001</v>
      </c>
      <c r="BD38" s="22" t="s">
        <v>0</v>
      </c>
      <c r="BE38" s="22" t="s">
        <v>0</v>
      </c>
      <c r="BF38" s="22" t="s">
        <v>0</v>
      </c>
      <c r="BG38" s="22" t="s">
        <v>0</v>
      </c>
      <c r="BP38" s="21">
        <v>36</v>
      </c>
      <c r="BQ38" s="24">
        <v>18</v>
      </c>
      <c r="BR38" s="25">
        <v>0.38</v>
      </c>
    </row>
    <row r="39" spans="26:70" ht="39.950000000000003" hidden="1" customHeight="1" x14ac:dyDescent="0.25">
      <c r="AB39" s="19">
        <v>2400</v>
      </c>
      <c r="AC39" s="18" t="s">
        <v>0</v>
      </c>
      <c r="AD39" s="18" t="s">
        <v>0</v>
      </c>
      <c r="AE39" s="18" t="s">
        <v>0</v>
      </c>
      <c r="AF39" s="19">
        <f t="shared" si="125"/>
        <v>2115.17</v>
      </c>
      <c r="AG39" s="22">
        <f t="shared" ca="1" si="104"/>
        <v>1437.1941198666666</v>
      </c>
      <c r="AH39" s="41">
        <f t="shared" si="105"/>
        <v>63455.100000000006</v>
      </c>
      <c r="AI39" s="22">
        <f t="shared" ca="1" si="106"/>
        <v>38892.265340999998</v>
      </c>
      <c r="AJ39" s="22">
        <f t="shared" si="107"/>
        <v>0</v>
      </c>
      <c r="AK39" s="22">
        <f t="shared" ca="1" si="108"/>
        <v>0</v>
      </c>
      <c r="AL39" s="22">
        <f t="shared" si="126"/>
        <v>3160</v>
      </c>
      <c r="AM39" s="22">
        <f t="shared" si="110"/>
        <v>1640</v>
      </c>
      <c r="AN39" s="22">
        <f t="shared" si="121"/>
        <v>-229.60000000000002</v>
      </c>
      <c r="AO39" s="22">
        <f t="shared" si="122"/>
        <v>-16.399999999999999</v>
      </c>
      <c r="AP39" s="22">
        <f t="shared" si="111"/>
        <v>4554</v>
      </c>
      <c r="AQ39" s="22">
        <f t="shared" si="127"/>
        <v>4800</v>
      </c>
      <c r="AR39" s="22">
        <f t="shared" si="128"/>
        <v>0</v>
      </c>
      <c r="AS39" s="22">
        <f t="shared" ca="1" si="114"/>
        <v>0</v>
      </c>
      <c r="AT39" s="22">
        <f t="shared" si="129"/>
        <v>0</v>
      </c>
      <c r="AU39" s="22">
        <f t="shared" si="130"/>
        <v>0</v>
      </c>
      <c r="AV39" s="31">
        <f t="shared" si="131"/>
        <v>0</v>
      </c>
      <c r="AW39" s="31">
        <f t="shared" si="132"/>
        <v>0</v>
      </c>
      <c r="AX39" s="31">
        <f t="shared" ca="1" si="133"/>
        <v>0</v>
      </c>
      <c r="AY39" s="34" t="s">
        <v>7</v>
      </c>
      <c r="AZ39" s="22">
        <f>(0)</f>
        <v>0</v>
      </c>
      <c r="BA39" s="22">
        <f t="shared" si="120"/>
        <v>26005.5</v>
      </c>
      <c r="BB39" s="22">
        <f t="shared" si="123"/>
        <v>-3640.7700000000004</v>
      </c>
      <c r="BC39" s="22">
        <f t="shared" si="124"/>
        <v>-260.05500000000001</v>
      </c>
      <c r="BD39" s="22" t="s">
        <v>0</v>
      </c>
      <c r="BE39" s="22" t="s">
        <v>0</v>
      </c>
      <c r="BF39" s="22" t="s">
        <v>0</v>
      </c>
      <c r="BG39" s="22" t="s">
        <v>0</v>
      </c>
      <c r="BP39" s="21">
        <v>37</v>
      </c>
      <c r="BQ39" s="24">
        <v>18.5</v>
      </c>
      <c r="BR39" s="25">
        <v>0.39</v>
      </c>
    </row>
    <row r="40" spans="26:70" ht="39.950000000000003" hidden="1" customHeight="1" x14ac:dyDescent="0.25">
      <c r="AB40" s="18"/>
      <c r="AC40" s="18" t="s">
        <v>1</v>
      </c>
      <c r="AD40" s="18" t="s">
        <v>64</v>
      </c>
      <c r="AE40" s="18" t="s">
        <v>64</v>
      </c>
      <c r="AF40" s="19">
        <f t="shared" si="125"/>
        <v>2115.17</v>
      </c>
      <c r="AG40" s="22">
        <f t="shared" ca="1" si="104"/>
        <v>1437.1941198666666</v>
      </c>
      <c r="AH40" s="41">
        <f t="shared" si="105"/>
        <v>65570.27</v>
      </c>
      <c r="AI40" s="22">
        <f t="shared" ca="1" si="106"/>
        <v>40188.674185700002</v>
      </c>
      <c r="AJ40" s="22">
        <f t="shared" si="107"/>
        <v>0</v>
      </c>
      <c r="AK40" s="22">
        <f t="shared" ca="1" si="108"/>
        <v>0</v>
      </c>
      <c r="AL40" s="22">
        <f t="shared" si="126"/>
        <v>3160</v>
      </c>
      <c r="AM40" s="22">
        <f t="shared" si="110"/>
        <v>1640</v>
      </c>
      <c r="AN40" s="22">
        <f t="shared" si="121"/>
        <v>-229.60000000000002</v>
      </c>
      <c r="AO40" s="22">
        <f t="shared" si="122"/>
        <v>-16.399999999999999</v>
      </c>
      <c r="AP40" s="22">
        <f t="shared" si="111"/>
        <v>4554</v>
      </c>
      <c r="AQ40" s="22">
        <f t="shared" si="127"/>
        <v>4800</v>
      </c>
      <c r="AR40" s="22">
        <f t="shared" si="128"/>
        <v>0</v>
      </c>
      <c r="AS40" s="22">
        <f t="shared" ca="1" si="114"/>
        <v>0</v>
      </c>
      <c r="AT40" s="22">
        <f t="shared" si="129"/>
        <v>0</v>
      </c>
      <c r="AU40" s="22">
        <f t="shared" si="130"/>
        <v>0</v>
      </c>
      <c r="AV40" s="31">
        <f t="shared" si="131"/>
        <v>0</v>
      </c>
      <c r="AW40" s="31">
        <f t="shared" si="132"/>
        <v>0</v>
      </c>
      <c r="AX40" s="31">
        <f t="shared" ca="1" si="133"/>
        <v>0</v>
      </c>
      <c r="AY40" s="34" t="s">
        <v>7</v>
      </c>
      <c r="AZ40" s="22">
        <f>(0)</f>
        <v>0</v>
      </c>
      <c r="BA40" s="22">
        <f t="shared" si="120"/>
        <v>26005.5</v>
      </c>
      <c r="BB40" s="22">
        <f t="shared" si="123"/>
        <v>-3640.7700000000004</v>
      </c>
      <c r="BC40" s="22">
        <f t="shared" si="124"/>
        <v>-260.05500000000001</v>
      </c>
      <c r="BD40" s="22" t="s">
        <v>0</v>
      </c>
      <c r="BE40" s="22" t="s">
        <v>0</v>
      </c>
      <c r="BF40" s="22" t="s">
        <v>0</v>
      </c>
      <c r="BG40" s="22" t="s">
        <v>0</v>
      </c>
      <c r="BP40" s="21">
        <v>38</v>
      </c>
      <c r="BQ40" s="24">
        <v>19</v>
      </c>
      <c r="BR40" s="25">
        <v>0.4</v>
      </c>
    </row>
    <row r="41" spans="26:70" ht="39.950000000000003" hidden="1" customHeight="1" x14ac:dyDescent="0.25">
      <c r="AB41" s="18"/>
      <c r="AC41" s="33" t="s">
        <v>66</v>
      </c>
      <c r="AD41" s="31">
        <v>1432.48</v>
      </c>
      <c r="AE41" s="31">
        <v>1714.25</v>
      </c>
      <c r="AF41" s="22">
        <f>(AF29+AF30+AF31+AF32+AF33+AF34+AF35+AF36+AF37+AF38+AF39+AF40)</f>
        <v>23296.019999999997</v>
      </c>
      <c r="AG41" s="22">
        <f ca="1">(AG29+AG30+AG31+AG32+AG33+AG34+AG35+AG36+AG37+AG38+AG39+AG40)</f>
        <v>16536.346601457026</v>
      </c>
      <c r="AH41" s="22">
        <f t="shared" ref="AH41:AI41" si="134">(AH29+AH30+AH31+AH32+AH33+AH34+AH35+AH36+AH37+AH38+AH39+AH40)</f>
        <v>709108.78</v>
      </c>
      <c r="AI41" s="22">
        <f t="shared" ca="1" si="134"/>
        <v>459670.92786584829</v>
      </c>
      <c r="AJ41" s="22">
        <f t="shared" ref="AJ41:AK41" si="135">(AJ29+AJ30+AJ31+AJ32+AJ33+AJ34+AJ35+AJ36+AJ37+AJ38+AJ39+AJ40)</f>
        <v>0</v>
      </c>
      <c r="AK41" s="22">
        <f t="shared" ca="1" si="135"/>
        <v>0</v>
      </c>
      <c r="AL41" s="22">
        <f t="shared" ref="AL41:AQ41" si="136">(AL29+AL30+AL31+AL32+AL33+AL34+AL35+AL36+AL37+AL38+AL39+AL40)</f>
        <v>37920</v>
      </c>
      <c r="AM41" s="22">
        <f t="shared" si="136"/>
        <v>19680</v>
      </c>
      <c r="AN41" s="22">
        <f t="shared" si="136"/>
        <v>-2755.1999999999994</v>
      </c>
      <c r="AO41" s="22">
        <f t="shared" si="136"/>
        <v>-196.80000000000004</v>
      </c>
      <c r="AP41" s="22">
        <f t="shared" si="136"/>
        <v>54648</v>
      </c>
      <c r="AQ41" s="22">
        <f t="shared" si="136"/>
        <v>57600</v>
      </c>
      <c r="AR41" s="22">
        <f t="shared" ref="AR41:AS41" si="137">(AR29+AR30+AR31+AR32+AR33+AR34+AR35+AR36+AR37+AR38+AR39+AR40)</f>
        <v>0</v>
      </c>
      <c r="AS41" s="22">
        <f t="shared" ca="1" si="137"/>
        <v>0</v>
      </c>
      <c r="AT41" s="22">
        <f t="shared" ref="AT41:AU41" si="138">(AT29+AT30+AT31+AT32+AT33+AT34+AT35+AT36+AT37+AT38+AT39+AT40)</f>
        <v>0</v>
      </c>
      <c r="AU41" s="22">
        <f t="shared" si="138"/>
        <v>0</v>
      </c>
      <c r="AV41" s="22">
        <f t="shared" ref="AV41" si="139">(AV29+AV30+AV31+AV32+AV33+AV34+AV35+AV36+AV37+AV38+AV39+AV40)</f>
        <v>0</v>
      </c>
      <c r="AW41" s="22">
        <f t="shared" ref="AW41" si="140">(AW29+AW30+AW31+AW32+AW33+AW34+AW35+AW36+AW37+AW38+AW39+AW40)</f>
        <v>0</v>
      </c>
      <c r="AX41" s="22">
        <f t="shared" ref="AX41" ca="1" si="141">(AX29+AX30+AX31+AX32+AX33+AX34+AX35+AX36+AX37+AX38+AX39+AX40)</f>
        <v>0</v>
      </c>
      <c r="AY41" s="27" t="s">
        <v>0</v>
      </c>
      <c r="AZ41" s="22">
        <f t="shared" ref="AZ41" si="142">(AZ29+AZ30+AZ31+AZ32+AZ33+AZ34+AZ35+AZ36+AZ37+AZ38+AZ39+AZ40)</f>
        <v>0</v>
      </c>
      <c r="BA41" s="22">
        <f t="shared" ref="BA41" si="143">(BA29+BA30+BA31+BA32+BA33+BA34+BA35+BA36+BA37+BA38+BA39+BA40)</f>
        <v>312066</v>
      </c>
      <c r="BB41" s="22">
        <f t="shared" ref="BB41" si="144">(BB29+BB30+BB31+BB32+BB33+BB34+BB35+BB36+BB37+BB38+BB39+BB40)</f>
        <v>-43689.240000000005</v>
      </c>
      <c r="BC41" s="22">
        <f t="shared" ref="BC41" si="145">(BC29+BC30+BC31+BC32+BC33+BC34+BC35+BC36+BC37+BC38+BC39+BC40)</f>
        <v>-3120.6599999999994</v>
      </c>
      <c r="BD41" s="27" t="s">
        <v>0</v>
      </c>
      <c r="BE41" s="27" t="s">
        <v>0</v>
      </c>
      <c r="BF41" s="27" t="s">
        <v>0</v>
      </c>
      <c r="BG41" s="27" t="s">
        <v>0</v>
      </c>
      <c r="BP41" s="21">
        <v>39</v>
      </c>
      <c r="BQ41" s="24">
        <v>19.5</v>
      </c>
      <c r="BR41" s="25">
        <v>0.41</v>
      </c>
    </row>
    <row r="42" spans="26:70" ht="39.950000000000003" hidden="1" customHeight="1" x14ac:dyDescent="0.25">
      <c r="AB42" s="18"/>
      <c r="AC42" s="33" t="s">
        <v>67</v>
      </c>
      <c r="AD42" s="31">
        <v>1130.3499999999999</v>
      </c>
      <c r="AE42" s="31">
        <v>1352.69</v>
      </c>
      <c r="AF42" s="22">
        <f>(AF41/12)</f>
        <v>1941.3349999999998</v>
      </c>
      <c r="AG42" s="22">
        <f ca="1">(AG41/12)</f>
        <v>1378.0288834547521</v>
      </c>
      <c r="AH42" s="22">
        <f t="shared" ref="AH42:AI42" si="146">(AH41/12)</f>
        <v>59092.398333333338</v>
      </c>
      <c r="AI42" s="22">
        <f t="shared" ca="1" si="146"/>
        <v>38305.910655487358</v>
      </c>
      <c r="AJ42" s="22">
        <f t="shared" ref="AJ42:AK42" si="147">(AJ41/12)</f>
        <v>0</v>
      </c>
      <c r="AK42" s="22">
        <f t="shared" ca="1" si="147"/>
        <v>0</v>
      </c>
      <c r="AL42" s="22">
        <f t="shared" ref="AL42:AQ42" si="148">(AL41/12)</f>
        <v>3160</v>
      </c>
      <c r="AM42" s="22">
        <f t="shared" si="148"/>
        <v>1640</v>
      </c>
      <c r="AN42" s="22">
        <f t="shared" si="148"/>
        <v>-229.59999999999994</v>
      </c>
      <c r="AO42" s="22">
        <f t="shared" si="148"/>
        <v>-16.400000000000002</v>
      </c>
      <c r="AP42" s="22">
        <f t="shared" si="148"/>
        <v>4554</v>
      </c>
      <c r="AQ42" s="22">
        <f t="shared" si="148"/>
        <v>4800</v>
      </c>
      <c r="AR42" s="22">
        <f t="shared" ref="AR42:AS42" si="149">(AR41/12)</f>
        <v>0</v>
      </c>
      <c r="AS42" s="22">
        <f t="shared" ca="1" si="149"/>
        <v>0</v>
      </c>
      <c r="AT42" s="22">
        <f t="shared" ref="AT42:AU42" si="150">(AT41/12)</f>
        <v>0</v>
      </c>
      <c r="AU42" s="22">
        <f t="shared" si="150"/>
        <v>0</v>
      </c>
      <c r="AV42" s="22">
        <f t="shared" ref="AV42" si="151">AV41/12</f>
        <v>0</v>
      </c>
      <c r="AW42" s="22">
        <f t="shared" ref="AW42" si="152">AW41/12</f>
        <v>0</v>
      </c>
      <c r="AX42" s="22">
        <f t="shared" ref="AX42" ca="1" si="153">AX41/12</f>
        <v>0</v>
      </c>
      <c r="AY42" s="27" t="s">
        <v>0</v>
      </c>
      <c r="AZ42" s="22">
        <f t="shared" ref="AZ42" si="154">(AZ41/12)</f>
        <v>0</v>
      </c>
      <c r="BA42" s="22">
        <f t="shared" ref="BA42" si="155">(BA41/12)</f>
        <v>26005.5</v>
      </c>
      <c r="BB42" s="22">
        <f t="shared" ref="BB42" si="156">(BB41/12)</f>
        <v>-3640.7700000000004</v>
      </c>
      <c r="BC42" s="22">
        <f t="shared" ref="BC42" si="157">(BC41/12)</f>
        <v>-260.05499999999995</v>
      </c>
      <c r="BD42" s="27" t="s">
        <v>0</v>
      </c>
      <c r="BE42" s="27" t="s">
        <v>0</v>
      </c>
      <c r="BF42" s="27" t="s">
        <v>0</v>
      </c>
      <c r="BG42" s="27" t="s">
        <v>0</v>
      </c>
      <c r="BP42" s="21">
        <v>40</v>
      </c>
      <c r="BQ42" s="24">
        <v>20</v>
      </c>
      <c r="BR42" s="25">
        <v>0.42</v>
      </c>
    </row>
    <row r="43" spans="26:70" ht="39.950000000000003" hidden="1" customHeight="1" x14ac:dyDescent="0.25">
      <c r="AB43" s="18"/>
      <c r="AC43" s="33" t="s">
        <v>51</v>
      </c>
      <c r="AD43" s="31">
        <v>2310.46</v>
      </c>
      <c r="AE43" s="31">
        <v>2764.93</v>
      </c>
      <c r="AM43" s="22">
        <f>(0)</f>
        <v>0</v>
      </c>
      <c r="AN43" s="47">
        <f>(0%)</f>
        <v>0</v>
      </c>
      <c r="BP43" s="21">
        <v>41</v>
      </c>
      <c r="BQ43" s="24">
        <v>20.5</v>
      </c>
      <c r="BR43" s="25">
        <v>0.43</v>
      </c>
    </row>
    <row r="44" spans="26:70" ht="39.950000000000003" hidden="1" customHeight="1" x14ac:dyDescent="0.25">
      <c r="AB44" s="18"/>
      <c r="AC44" s="33" t="s">
        <v>52</v>
      </c>
      <c r="AD44" s="31">
        <v>2310.46</v>
      </c>
      <c r="AE44" s="31">
        <v>2764.93</v>
      </c>
      <c r="AJ44" s="22">
        <f t="shared" ref="AJ44:AJ55" si="158">(AZ1+BB29+BC29-AK44)</f>
        <v>22104.674999999999</v>
      </c>
      <c r="AK44" s="22">
        <f>(0)</f>
        <v>0</v>
      </c>
      <c r="AL44" s="22">
        <f>(AJ44-AK44)</f>
        <v>22104.674999999999</v>
      </c>
      <c r="AM44" s="22">
        <f>SUM(AL$44:$AL44)</f>
        <v>22104.674999999999</v>
      </c>
      <c r="AN44" s="47">
        <f t="shared" ref="AN44:AN55" si="159">IF(AM44&lt;=$BF$29,$BD$29,
IF(AM44&gt;$BF$31,
IF(AM44&gt;$BF$32,$BD$33,$BD$32),
IF(AM44&lt;$BF$30,$BD$30,$BD$31)))</f>
        <v>0.15</v>
      </c>
      <c r="AO44" s="34">
        <f>IF(AN44-AN43=0,0,1)</f>
        <v>1</v>
      </c>
      <c r="AP44" s="48">
        <f t="shared" ref="AP44:AP55" si="160">IF(AO44=0,AN44,(VLOOKUP($AN44,$BD$29:$BG$33,2,0)-AM43)/AL44*AN43+(AM44-VLOOKUP($AN44,$BD$29:$BG$33,2,0))/AL44*AN44)</f>
        <v>0.15</v>
      </c>
      <c r="AQ44" s="22">
        <f>(ROUND(AL44*AP44,2)+VLOOKUP(AN44,$BD$29:$BG$33,4,0))</f>
        <v>3315.7</v>
      </c>
      <c r="AR44" s="48">
        <f>(100+(100*0.00759*-1)+(100*0.01*-1)+(100*0.01*-1)+(100+100*0.14*-1+100*0.01*-1)*AP44*-1)/100</f>
        <v>0.84491000000000005</v>
      </c>
      <c r="AS44" s="22">
        <f t="shared" ref="AS44:AS55" si="161">AZ1</f>
        <v>26005.5</v>
      </c>
      <c r="AT44" s="22">
        <f t="shared" ref="AT44:AT55" si="162">AZ1+BC1+BB29+BC29</f>
        <v>22104.674999999999</v>
      </c>
      <c r="BG44" s="22">
        <f>(0)</f>
        <v>0</v>
      </c>
      <c r="BH44" s="47">
        <f>(0%)</f>
        <v>0</v>
      </c>
      <c r="BP44" s="21">
        <v>42</v>
      </c>
      <c r="BQ44" s="24">
        <v>21</v>
      </c>
      <c r="BR44" s="25">
        <v>0.44</v>
      </c>
    </row>
    <row r="45" spans="26:70" ht="39.950000000000003" hidden="1" customHeight="1" x14ac:dyDescent="0.25">
      <c r="AB45" s="18"/>
      <c r="AC45" s="33" t="s">
        <v>53</v>
      </c>
      <c r="AD45" s="31">
        <v>9149.4</v>
      </c>
      <c r="AE45" s="31">
        <v>10949.09</v>
      </c>
      <c r="AJ45" s="22">
        <f t="shared" si="158"/>
        <v>22104.674999999999</v>
      </c>
      <c r="AK45" s="22">
        <f>(0)</f>
        <v>0</v>
      </c>
      <c r="AL45" s="22">
        <f t="shared" ref="AL45:AL55" si="163">(AJ45-AK45)</f>
        <v>22104.674999999999</v>
      </c>
      <c r="AM45" s="22">
        <f>SUM(AL$44:$AL45)</f>
        <v>44209.35</v>
      </c>
      <c r="AN45" s="47">
        <f t="shared" si="159"/>
        <v>0.15</v>
      </c>
      <c r="AO45" s="34">
        <f t="shared" ref="AO45:AO55" si="164">IF(AN45-AN44=0,0,1)</f>
        <v>0</v>
      </c>
      <c r="AP45" s="48">
        <f t="shared" si="160"/>
        <v>0.15</v>
      </c>
      <c r="AQ45" s="22">
        <f>(ROUND(AL45*AP45,2))</f>
        <v>3315.7</v>
      </c>
      <c r="AR45" s="48">
        <f t="shared" ref="AR45:AR55" si="165">(100+(100*0.00759*-1)+(100*0.01*-1)+(100*0.01*-1)+(100+100*0.14*-1+100*0.01*-1)*AP45*-1)/100</f>
        <v>0.84491000000000005</v>
      </c>
      <c r="AS45" s="22">
        <f t="shared" si="161"/>
        <v>26005.5</v>
      </c>
      <c r="AT45" s="22">
        <f t="shared" si="162"/>
        <v>22104.674999999999</v>
      </c>
      <c r="AU45" s="22">
        <f t="shared" ref="AU45:AU56" ca="1" si="166">(AH29+AJ29+AF1+AH1+AJ1+AG15+AI15+AR15+AU15+AS1+AV1+AR29+AV29)</f>
        <v>66531.878233204174</v>
      </c>
      <c r="AV45" s="22">
        <f t="shared" ref="AV45:AV56" si="167">(AL1+BA1)</f>
        <v>30805.5</v>
      </c>
      <c r="AW45" s="22">
        <f t="shared" ref="AW45" ca="1" si="168">(AU45-AV45)</f>
        <v>35726.378233204174</v>
      </c>
      <c r="AX45" s="22">
        <f t="shared" ref="AX45" ca="1" si="169">(AW45*0.00759*-1)</f>
        <v>-271.16321079001972</v>
      </c>
      <c r="AY45" s="22">
        <f t="shared" ref="AY45" ca="1" si="170">(AU45)</f>
        <v>66531.878233204174</v>
      </c>
      <c r="AZ45" s="22">
        <f t="shared" ref="AZ45:AZ56" si="171">(AL29+AX1+AT29+AW29)</f>
        <v>3160</v>
      </c>
      <c r="BA45" s="22">
        <f t="shared" ref="BA45:BA56" ca="1" si="172">IF(AY45-AZ45&gt;=AZ1*7.5,AZ1*7.5,AY45-AZ45)</f>
        <v>63371.878233204174</v>
      </c>
      <c r="BB45" s="22">
        <f t="shared" ref="BB45" ca="1" si="173">(BA45*0.14*-1)</f>
        <v>-8872.0629526485845</v>
      </c>
      <c r="BC45" s="22">
        <f t="shared" ref="BC45" ca="1" si="174">(BA45*0.01*-1)</f>
        <v>-633.71878233204177</v>
      </c>
      <c r="BD45" s="22">
        <f t="shared" ref="BD45" ca="1" si="175">(AU45+BB45+BC45)</f>
        <v>57026.096498223545</v>
      </c>
      <c r="BE45" s="22">
        <f t="shared" ref="BE45:BE56" si="176">(AQ29+AY1+AU29+AX15)</f>
        <v>6844.75</v>
      </c>
      <c r="BF45" s="22">
        <f t="shared" ref="BF45" ca="1" si="177">(BD45-BE45)</f>
        <v>50181.346498223545</v>
      </c>
      <c r="BG45" s="22">
        <f ca="1">SUM($BF$45:BF45)</f>
        <v>50181.346498223545</v>
      </c>
      <c r="BH45" s="47">
        <f t="shared" ref="BH45:BH56" ca="1" si="178">IF(BG45&lt;=$BF$29,$BD$29,
IF(BG45&gt;$BF$31,
IF(BG45&gt;$BF$32,$BD$33,$BD$32),
IF(BG45&lt;$BF$30,$BD$30,$BD$31)))</f>
        <v>0.15</v>
      </c>
      <c r="BI45" s="34">
        <f ca="1">IF(BH45-BH44=0,0,1)</f>
        <v>1</v>
      </c>
      <c r="BJ45" s="48">
        <f t="shared" ref="BJ45:BJ56" ca="1" si="179">(IF(BI45=0,BH45,(VLOOKUP($BH45,$BD$29:$BG$33,2,0)-BG44)/BF45*BH44+(BG45-VLOOKUP($BH45,$BD$29:$BG$33,2,0))/BF45*BH45))</f>
        <v>0.15</v>
      </c>
      <c r="BK45" s="22">
        <f ca="1">(ROUND(BF45*BJ45,2)*(-1)+VLOOKUP(BH45,$BD$29:$BG$33,4,0)*(-1))</f>
        <v>-7527.2</v>
      </c>
      <c r="BL45" s="22">
        <f t="shared" ref="BL45:BL56" ca="1" si="180">(BK45+AQ44)</f>
        <v>-4211.5</v>
      </c>
      <c r="BM45" s="48">
        <f t="shared" ref="BM45:BM56" ca="1" si="181">(100+(100*0.00759*-1)+(100)*BJ45*-1)/100</f>
        <v>0.84240999999999999</v>
      </c>
      <c r="BN45" s="48">
        <f>(100+(100*0.00759*-1)+(100*0.14*-1)+(100*0.01*-1))/100</f>
        <v>0.84240999999999999</v>
      </c>
      <c r="BO45" s="48">
        <f t="shared" ref="BO45:BO56" ca="1" si="182">(100+(100*0.00759*-1)+(100*0.14*-1)+(100*0.01*-1)+(100+100*0.14*-1+100*0.01*-1)*BJ45*-1)/100</f>
        <v>0.71491000000000005</v>
      </c>
      <c r="BP45" s="21">
        <v>43</v>
      </c>
      <c r="BQ45" s="24">
        <v>21.5</v>
      </c>
      <c r="BR45" s="25">
        <v>0.45</v>
      </c>
    </row>
    <row r="46" spans="26:70" ht="39.950000000000003" hidden="1" customHeight="1" x14ac:dyDescent="0.25">
      <c r="AB46" s="18"/>
      <c r="AC46" s="33" t="s">
        <v>54</v>
      </c>
      <c r="AD46" s="31">
        <v>6122.71</v>
      </c>
      <c r="AE46" s="31">
        <v>7327.05</v>
      </c>
      <c r="AJ46" s="22">
        <f t="shared" si="158"/>
        <v>22104.674999999999</v>
      </c>
      <c r="AK46" s="22">
        <f>(0)</f>
        <v>0</v>
      </c>
      <c r="AL46" s="22">
        <f t="shared" si="163"/>
        <v>22104.674999999999</v>
      </c>
      <c r="AM46" s="22">
        <f>SUM(AL$44:$AL46)</f>
        <v>66314.024999999994</v>
      </c>
      <c r="AN46" s="47">
        <f t="shared" si="159"/>
        <v>0.15</v>
      </c>
      <c r="AO46" s="34">
        <f t="shared" si="164"/>
        <v>0</v>
      </c>
      <c r="AP46" s="48">
        <f t="shared" si="160"/>
        <v>0.15</v>
      </c>
      <c r="AQ46" s="22">
        <f t="shared" ref="AQ46:AQ55" si="183">(ROUND(AL46*AP46,2))</f>
        <v>3315.7</v>
      </c>
      <c r="AR46" s="48">
        <f t="shared" si="165"/>
        <v>0.84491000000000005</v>
      </c>
      <c r="AS46" s="22">
        <f t="shared" si="161"/>
        <v>26005.5</v>
      </c>
      <c r="AT46" s="22">
        <f t="shared" si="162"/>
        <v>22104.674999999999</v>
      </c>
      <c r="AU46" s="22">
        <f t="shared" ca="1" si="166"/>
        <v>61229.378233204181</v>
      </c>
      <c r="AV46" s="22">
        <f t="shared" si="167"/>
        <v>30805.5</v>
      </c>
      <c r="AW46" s="22">
        <f t="shared" ref="AW46:AW56" ca="1" si="184">(AU46-AV46)</f>
        <v>30423.878233204181</v>
      </c>
      <c r="AX46" s="22">
        <f t="shared" ref="AX46:AX56" ca="1" si="185">(AW46*0.00759*-1)</f>
        <v>-230.91723579001976</v>
      </c>
      <c r="AY46" s="22">
        <f t="shared" ref="AY46:AY56" ca="1" si="186">(AU46)</f>
        <v>61229.378233204181</v>
      </c>
      <c r="AZ46" s="22">
        <f t="shared" si="171"/>
        <v>3160</v>
      </c>
      <c r="BA46" s="22">
        <f t="shared" ca="1" si="172"/>
        <v>58069.378233204181</v>
      </c>
      <c r="BB46" s="22">
        <f t="shared" ref="BB46:BB56" ca="1" si="187">(BA46*0.14*-1)</f>
        <v>-8129.712952648586</v>
      </c>
      <c r="BC46" s="22">
        <f t="shared" ref="BC46:BC56" ca="1" si="188">(BA46*0.01*-1)</f>
        <v>-580.69378233204179</v>
      </c>
      <c r="BD46" s="22">
        <f t="shared" ref="BD46:BD56" ca="1" si="189">(AU46+BB46+BC46)</f>
        <v>52518.971498223553</v>
      </c>
      <c r="BE46" s="22">
        <f t="shared" si="176"/>
        <v>6844.75</v>
      </c>
      <c r="BF46" s="22">
        <f t="shared" ref="BF46:BF56" ca="1" si="190">(BD46-BE46)</f>
        <v>45674.221498223553</v>
      </c>
      <c r="BG46" s="22">
        <f ca="1">SUM($BF$45:BF46)</f>
        <v>95855.567996447091</v>
      </c>
      <c r="BH46" s="47">
        <f t="shared" ca="1" si="178"/>
        <v>0.15</v>
      </c>
      <c r="BI46" s="34">
        <f t="shared" ref="BI46:BI56" ca="1" si="191">IF(BH46-BH45=0,0,1)</f>
        <v>0</v>
      </c>
      <c r="BJ46" s="48">
        <f t="shared" ca="1" si="179"/>
        <v>0.15</v>
      </c>
      <c r="BK46" s="22">
        <f ca="1">(ROUND(BF46*BJ46,2)*(-1))</f>
        <v>-6851.13</v>
      </c>
      <c r="BL46" s="22">
        <f t="shared" ca="1" si="180"/>
        <v>-3535.4300000000003</v>
      </c>
      <c r="BM46" s="48">
        <f t="shared" ca="1" si="181"/>
        <v>0.84240999999999999</v>
      </c>
      <c r="BN46" s="48">
        <f t="shared" ref="BN46:BN56" si="192">(100+(100*0.00759*-1)+(100*0.14*-1)+(100*0.01*-1))/100</f>
        <v>0.84240999999999999</v>
      </c>
      <c r="BO46" s="48">
        <f t="shared" ca="1" si="182"/>
        <v>0.71491000000000005</v>
      </c>
      <c r="BP46" s="21">
        <v>44</v>
      </c>
      <c r="BQ46" s="24">
        <v>22</v>
      </c>
      <c r="BR46" s="25">
        <v>0.46</v>
      </c>
    </row>
    <row r="47" spans="26:70" ht="39.950000000000003" hidden="1" customHeight="1" x14ac:dyDescent="0.25">
      <c r="AB47" s="18"/>
      <c r="AC47" s="33" t="s">
        <v>2</v>
      </c>
      <c r="AD47" s="31">
        <v>7624.51</v>
      </c>
      <c r="AE47" s="31">
        <v>9124.25</v>
      </c>
      <c r="AJ47" s="22">
        <f t="shared" si="158"/>
        <v>22104.674999999999</v>
      </c>
      <c r="AK47" s="22">
        <f>(0)</f>
        <v>0</v>
      </c>
      <c r="AL47" s="22">
        <f t="shared" si="163"/>
        <v>22104.674999999999</v>
      </c>
      <c r="AM47" s="22">
        <f>SUM(AL$44:$AL47)</f>
        <v>88418.7</v>
      </c>
      <c r="AN47" s="47">
        <f t="shared" si="159"/>
        <v>0.15</v>
      </c>
      <c r="AO47" s="34">
        <f t="shared" si="164"/>
        <v>0</v>
      </c>
      <c r="AP47" s="48">
        <f t="shared" si="160"/>
        <v>0.15</v>
      </c>
      <c r="AQ47" s="22">
        <f t="shared" si="183"/>
        <v>3315.7</v>
      </c>
      <c r="AR47" s="48">
        <f t="shared" si="165"/>
        <v>0.84491000000000005</v>
      </c>
      <c r="AS47" s="22">
        <f t="shared" si="161"/>
        <v>26005.5</v>
      </c>
      <c r="AT47" s="22">
        <f t="shared" si="162"/>
        <v>22104.674999999999</v>
      </c>
      <c r="AU47" s="22">
        <f t="shared" ca="1" si="166"/>
        <v>93070.279101888038</v>
      </c>
      <c r="AV47" s="22">
        <f t="shared" si="167"/>
        <v>30805.5</v>
      </c>
      <c r="AW47" s="22">
        <f t="shared" ca="1" si="184"/>
        <v>62264.779101888038</v>
      </c>
      <c r="AX47" s="22">
        <f t="shared" ca="1" si="185"/>
        <v>-472.58967338333025</v>
      </c>
      <c r="AY47" s="22">
        <f t="shared" ca="1" si="186"/>
        <v>93070.279101888038</v>
      </c>
      <c r="AZ47" s="22">
        <f t="shared" si="171"/>
        <v>3160</v>
      </c>
      <c r="BA47" s="22">
        <f t="shared" ca="1" si="172"/>
        <v>89910.279101888038</v>
      </c>
      <c r="BB47" s="22">
        <f t="shared" ca="1" si="187"/>
        <v>-12587.439074264326</v>
      </c>
      <c r="BC47" s="22">
        <f t="shared" ca="1" si="188"/>
        <v>-899.10279101888045</v>
      </c>
      <c r="BD47" s="22">
        <f t="shared" ca="1" si="189"/>
        <v>79583.737236604822</v>
      </c>
      <c r="BE47" s="22">
        <f t="shared" si="176"/>
        <v>6844.75</v>
      </c>
      <c r="BF47" s="22">
        <f t="shared" ca="1" si="190"/>
        <v>72738.987236604822</v>
      </c>
      <c r="BG47" s="22">
        <f ca="1">SUM($BF$45:BF47)</f>
        <v>168594.55523305191</v>
      </c>
      <c r="BH47" s="47">
        <f t="shared" ca="1" si="178"/>
        <v>0.2</v>
      </c>
      <c r="BI47" s="34">
        <f t="shared" ca="1" si="191"/>
        <v>1</v>
      </c>
      <c r="BJ47" s="48">
        <f t="shared" ca="1" si="179"/>
        <v>0.15728258368417339</v>
      </c>
      <c r="BK47" s="22">
        <f t="shared" ref="BK47:BK56" ca="1" si="193">(ROUND(BF47*BJ47,2)*(-1))</f>
        <v>-11440.58</v>
      </c>
      <c r="BL47" s="22">
        <f t="shared" ca="1" si="180"/>
        <v>-8124.88</v>
      </c>
      <c r="BM47" s="48">
        <f t="shared" ca="1" si="181"/>
        <v>0.83512741631582654</v>
      </c>
      <c r="BN47" s="48">
        <f t="shared" si="192"/>
        <v>0.84240999999999999</v>
      </c>
      <c r="BO47" s="48">
        <f t="shared" ca="1" si="182"/>
        <v>0.70871980386845268</v>
      </c>
      <c r="BP47" s="21">
        <v>45</v>
      </c>
      <c r="BQ47" s="24">
        <v>22.5</v>
      </c>
      <c r="BR47" s="25">
        <v>0.47</v>
      </c>
    </row>
    <row r="48" spans="26:70" ht="39.950000000000003" hidden="1" customHeight="1" x14ac:dyDescent="0.25">
      <c r="AB48" s="18"/>
      <c r="AC48" s="33" t="s">
        <v>57</v>
      </c>
      <c r="AD48" s="31">
        <v>1781.25</v>
      </c>
      <c r="AE48" s="31">
        <v>2131.62</v>
      </c>
      <c r="AJ48" s="22">
        <f t="shared" si="158"/>
        <v>22104.674999999999</v>
      </c>
      <c r="AK48" s="22">
        <f>(0)</f>
        <v>0</v>
      </c>
      <c r="AL48" s="22">
        <f t="shared" si="163"/>
        <v>22104.674999999999</v>
      </c>
      <c r="AM48" s="22">
        <f>SUM(AL$44:$AL48)</f>
        <v>110523.375</v>
      </c>
      <c r="AN48" s="47">
        <f t="shared" si="159"/>
        <v>0.15</v>
      </c>
      <c r="AO48" s="34">
        <f t="shared" si="164"/>
        <v>0</v>
      </c>
      <c r="AP48" s="48">
        <f t="shared" si="160"/>
        <v>0.15</v>
      </c>
      <c r="AQ48" s="22">
        <f t="shared" si="183"/>
        <v>3315.7</v>
      </c>
      <c r="AR48" s="48">
        <f t="shared" si="165"/>
        <v>0.84491000000000005</v>
      </c>
      <c r="AS48" s="22">
        <f t="shared" si="161"/>
        <v>26005.5</v>
      </c>
      <c r="AT48" s="22">
        <f t="shared" si="162"/>
        <v>22104.674999999999</v>
      </c>
      <c r="AU48" s="22">
        <f t="shared" ca="1" si="166"/>
        <v>64951.808298062198</v>
      </c>
      <c r="AV48" s="22">
        <f t="shared" si="167"/>
        <v>30805.5</v>
      </c>
      <c r="AW48" s="22">
        <f t="shared" ca="1" si="184"/>
        <v>34146.308298062198</v>
      </c>
      <c r="AX48" s="22">
        <f t="shared" ca="1" si="185"/>
        <v>-259.17047998229208</v>
      </c>
      <c r="AY48" s="22">
        <f t="shared" ca="1" si="186"/>
        <v>64951.808298062198</v>
      </c>
      <c r="AZ48" s="22">
        <f t="shared" si="171"/>
        <v>3160</v>
      </c>
      <c r="BA48" s="22">
        <f t="shared" ca="1" si="172"/>
        <v>61791.808298062198</v>
      </c>
      <c r="BB48" s="22">
        <f t="shared" ca="1" si="187"/>
        <v>-8650.8531617287081</v>
      </c>
      <c r="BC48" s="22">
        <f t="shared" ca="1" si="188"/>
        <v>-617.91808298062199</v>
      </c>
      <c r="BD48" s="22">
        <f t="shared" ca="1" si="189"/>
        <v>55683.037053352869</v>
      </c>
      <c r="BE48" s="22">
        <f t="shared" si="176"/>
        <v>6844.75</v>
      </c>
      <c r="BF48" s="22">
        <f t="shared" ca="1" si="190"/>
        <v>48838.287053352869</v>
      </c>
      <c r="BG48" s="22">
        <f ca="1">SUM($BF$45:BF48)</f>
        <v>217432.84228640478</v>
      </c>
      <c r="BH48" s="47">
        <f t="shared" ca="1" si="178"/>
        <v>0.2</v>
      </c>
      <c r="BI48" s="34">
        <f t="shared" ca="1" si="191"/>
        <v>0</v>
      </c>
      <c r="BJ48" s="48">
        <f t="shared" ca="1" si="179"/>
        <v>0.2</v>
      </c>
      <c r="BK48" s="22">
        <f t="shared" ca="1" si="193"/>
        <v>-9767.66</v>
      </c>
      <c r="BL48" s="22">
        <f t="shared" ca="1" si="180"/>
        <v>-6451.96</v>
      </c>
      <c r="BM48" s="48">
        <f t="shared" ca="1" si="181"/>
        <v>0.79240999999999995</v>
      </c>
      <c r="BN48" s="48">
        <f t="shared" si="192"/>
        <v>0.84240999999999999</v>
      </c>
      <c r="BO48" s="48">
        <f t="shared" ca="1" si="182"/>
        <v>0.67240999999999995</v>
      </c>
      <c r="BP48" s="21">
        <v>46</v>
      </c>
      <c r="BQ48" s="24">
        <v>23</v>
      </c>
      <c r="BR48" s="25">
        <v>0.48</v>
      </c>
    </row>
    <row r="49" spans="28:70" ht="39.950000000000003" hidden="1" customHeight="1" x14ac:dyDescent="0.25">
      <c r="AB49" s="18"/>
      <c r="AC49" s="33" t="s">
        <v>58</v>
      </c>
      <c r="AD49" s="31">
        <v>1781.25</v>
      </c>
      <c r="AE49" s="31">
        <v>2131.62</v>
      </c>
      <c r="AJ49" s="22">
        <f t="shared" si="158"/>
        <v>22104.674999999999</v>
      </c>
      <c r="AK49" s="22">
        <f>(0)</f>
        <v>0</v>
      </c>
      <c r="AL49" s="22">
        <f t="shared" si="163"/>
        <v>22104.674999999999</v>
      </c>
      <c r="AM49" s="22">
        <f>SUM(AL$44:$AL49)</f>
        <v>132628.04999999999</v>
      </c>
      <c r="AN49" s="47">
        <f t="shared" si="159"/>
        <v>0.15</v>
      </c>
      <c r="AO49" s="34">
        <f t="shared" si="164"/>
        <v>0</v>
      </c>
      <c r="AP49" s="48">
        <f t="shared" si="160"/>
        <v>0.15</v>
      </c>
      <c r="AQ49" s="22">
        <f t="shared" si="183"/>
        <v>3315.7</v>
      </c>
      <c r="AR49" s="48">
        <f t="shared" si="165"/>
        <v>0.84491000000000005</v>
      </c>
      <c r="AS49" s="22">
        <f t="shared" si="161"/>
        <v>26005.5</v>
      </c>
      <c r="AT49" s="22">
        <f t="shared" si="162"/>
        <v>22104.674999999999</v>
      </c>
      <c r="AU49" s="22">
        <f t="shared" ca="1" si="166"/>
        <v>66719.308298062198</v>
      </c>
      <c r="AV49" s="22">
        <f t="shared" si="167"/>
        <v>30805.5</v>
      </c>
      <c r="AW49" s="22">
        <f t="shared" ca="1" si="184"/>
        <v>35913.808298062198</v>
      </c>
      <c r="AX49" s="22">
        <f t="shared" ca="1" si="185"/>
        <v>-272.58580498229207</v>
      </c>
      <c r="AY49" s="22">
        <f t="shared" ca="1" si="186"/>
        <v>66719.308298062198</v>
      </c>
      <c r="AZ49" s="22">
        <f t="shared" si="171"/>
        <v>3160</v>
      </c>
      <c r="BA49" s="22">
        <f t="shared" ca="1" si="172"/>
        <v>63559.308298062198</v>
      </c>
      <c r="BB49" s="22">
        <f t="shared" ca="1" si="187"/>
        <v>-8898.3031617287088</v>
      </c>
      <c r="BC49" s="22">
        <f t="shared" ca="1" si="188"/>
        <v>-635.59308298062194</v>
      </c>
      <c r="BD49" s="22">
        <f t="shared" ca="1" si="189"/>
        <v>57185.412053352869</v>
      </c>
      <c r="BE49" s="22">
        <f t="shared" si="176"/>
        <v>6844.75</v>
      </c>
      <c r="BF49" s="22">
        <f t="shared" ca="1" si="190"/>
        <v>50340.662053352869</v>
      </c>
      <c r="BG49" s="22">
        <f ca="1">SUM($BF$45:BF49)</f>
        <v>267773.50433975767</v>
      </c>
      <c r="BH49" s="47">
        <f t="shared" ca="1" si="178"/>
        <v>0.2</v>
      </c>
      <c r="BI49" s="34">
        <f t="shared" ca="1" si="191"/>
        <v>0</v>
      </c>
      <c r="BJ49" s="48">
        <f t="shared" ca="1" si="179"/>
        <v>0.2</v>
      </c>
      <c r="BK49" s="22">
        <f t="shared" ca="1" si="193"/>
        <v>-10068.129999999999</v>
      </c>
      <c r="BL49" s="22">
        <f t="shared" ca="1" si="180"/>
        <v>-6752.4299999999994</v>
      </c>
      <c r="BM49" s="48">
        <f t="shared" ca="1" si="181"/>
        <v>0.79240999999999995</v>
      </c>
      <c r="BN49" s="48">
        <f t="shared" si="192"/>
        <v>0.84240999999999999</v>
      </c>
      <c r="BO49" s="48">
        <f t="shared" ca="1" si="182"/>
        <v>0.67240999999999995</v>
      </c>
      <c r="BP49" s="21">
        <v>47</v>
      </c>
      <c r="BQ49" s="24">
        <v>23.5</v>
      </c>
      <c r="BR49" s="25">
        <v>0.49</v>
      </c>
    </row>
    <row r="50" spans="28:70" ht="39.950000000000003" hidden="1" customHeight="1" x14ac:dyDescent="0.25">
      <c r="AB50" s="18"/>
      <c r="AC50" s="33" t="s">
        <v>59</v>
      </c>
      <c r="AD50" s="31">
        <v>2018.75</v>
      </c>
      <c r="AE50" s="31">
        <v>2415.84</v>
      </c>
      <c r="AJ50" s="22">
        <f t="shared" si="158"/>
        <v>22104.674999999999</v>
      </c>
      <c r="AK50" s="22">
        <f>(0)</f>
        <v>0</v>
      </c>
      <c r="AL50" s="22">
        <f t="shared" si="163"/>
        <v>22104.674999999999</v>
      </c>
      <c r="AM50" s="22">
        <f>SUM(AL$44:$AL50)</f>
        <v>154732.72499999998</v>
      </c>
      <c r="AN50" s="47">
        <f t="shared" si="159"/>
        <v>0.15</v>
      </c>
      <c r="AO50" s="34">
        <f t="shared" si="164"/>
        <v>0</v>
      </c>
      <c r="AP50" s="48">
        <f t="shared" si="160"/>
        <v>0.15</v>
      </c>
      <c r="AQ50" s="22">
        <f t="shared" si="183"/>
        <v>3315.7</v>
      </c>
      <c r="AR50" s="48">
        <f t="shared" si="165"/>
        <v>0.84491000000000005</v>
      </c>
      <c r="AS50" s="22">
        <f t="shared" si="161"/>
        <v>26005.5</v>
      </c>
      <c r="AT50" s="22">
        <f t="shared" si="162"/>
        <v>22104.674999999999</v>
      </c>
      <c r="AU50" s="22">
        <f t="shared" ca="1" si="166"/>
        <v>91500.58144588687</v>
      </c>
      <c r="AV50" s="22">
        <f t="shared" si="167"/>
        <v>30805.5</v>
      </c>
      <c r="AW50" s="22">
        <f t="shared" ca="1" si="184"/>
        <v>60695.08144588687</v>
      </c>
      <c r="AX50" s="22">
        <f t="shared" ca="1" si="185"/>
        <v>-460.67566817428138</v>
      </c>
      <c r="AY50" s="22">
        <f t="shared" ca="1" si="186"/>
        <v>91500.58144588687</v>
      </c>
      <c r="AZ50" s="22">
        <f t="shared" si="171"/>
        <v>3160</v>
      </c>
      <c r="BA50" s="22">
        <f t="shared" ca="1" si="172"/>
        <v>88340.58144588687</v>
      </c>
      <c r="BB50" s="22">
        <f t="shared" ca="1" si="187"/>
        <v>-12367.681402424163</v>
      </c>
      <c r="BC50" s="22">
        <f t="shared" ca="1" si="188"/>
        <v>-883.40581445886869</v>
      </c>
      <c r="BD50" s="22">
        <f t="shared" ca="1" si="189"/>
        <v>78249.494229003845</v>
      </c>
      <c r="BE50" s="22">
        <f t="shared" si="176"/>
        <v>6844.75</v>
      </c>
      <c r="BF50" s="22">
        <f t="shared" ca="1" si="190"/>
        <v>71404.744229003845</v>
      </c>
      <c r="BG50" s="22">
        <f ca="1">SUM($BF$45:BF50)</f>
        <v>339178.24856876151</v>
      </c>
      <c r="BH50" s="47">
        <f t="shared" ca="1" si="178"/>
        <v>0.27</v>
      </c>
      <c r="BI50" s="34">
        <f t="shared" ca="1" si="191"/>
        <v>1</v>
      </c>
      <c r="BJ50" s="48">
        <f t="shared" ca="1" si="179"/>
        <v>0.20899768505230976</v>
      </c>
      <c r="BK50" s="22">
        <f t="shared" ca="1" si="193"/>
        <v>-14923.43</v>
      </c>
      <c r="BL50" s="22">
        <f t="shared" ca="1" si="180"/>
        <v>-11607.73</v>
      </c>
      <c r="BM50" s="48">
        <f t="shared" ca="1" si="181"/>
        <v>0.78341231494769015</v>
      </c>
      <c r="BN50" s="48">
        <f t="shared" si="192"/>
        <v>0.84240999999999999</v>
      </c>
      <c r="BO50" s="48">
        <f t="shared" ca="1" si="182"/>
        <v>0.66476196770553675</v>
      </c>
      <c r="BP50" s="21">
        <v>48</v>
      </c>
      <c r="BQ50" s="24">
        <v>24</v>
      </c>
      <c r="BR50" s="25">
        <v>0.5</v>
      </c>
    </row>
    <row r="51" spans="28:70" ht="39.950000000000003" hidden="1" customHeight="1" x14ac:dyDescent="0.25">
      <c r="AB51" s="18"/>
      <c r="AC51" s="33" t="s">
        <v>60</v>
      </c>
      <c r="AD51" s="31">
        <v>2375</v>
      </c>
      <c r="AE51" s="31">
        <v>2842.16</v>
      </c>
      <c r="AJ51" s="22">
        <f t="shared" si="158"/>
        <v>22104.674999999999</v>
      </c>
      <c r="AK51" s="22">
        <f>(0)</f>
        <v>0</v>
      </c>
      <c r="AL51" s="22">
        <f t="shared" si="163"/>
        <v>22104.674999999999</v>
      </c>
      <c r="AM51" s="22">
        <f>SUM(AL$44:$AL51)</f>
        <v>176837.39999999997</v>
      </c>
      <c r="AN51" s="47">
        <f t="shared" si="159"/>
        <v>0.2</v>
      </c>
      <c r="AO51" s="34">
        <f t="shared" si="164"/>
        <v>1</v>
      </c>
      <c r="AP51" s="48">
        <f t="shared" si="160"/>
        <v>0.19260953847998205</v>
      </c>
      <c r="AQ51" s="22">
        <f t="shared" si="183"/>
        <v>4257.57</v>
      </c>
      <c r="AR51" s="48">
        <f t="shared" si="165"/>
        <v>0.80869189229201521</v>
      </c>
      <c r="AS51" s="22">
        <f t="shared" si="161"/>
        <v>26005.5</v>
      </c>
      <c r="AT51" s="22">
        <f t="shared" si="162"/>
        <v>22104.674999999999</v>
      </c>
      <c r="AU51" s="22">
        <f t="shared" ca="1" si="166"/>
        <v>78584.829138372676</v>
      </c>
      <c r="AV51" s="22">
        <f t="shared" si="167"/>
        <v>30805.5</v>
      </c>
      <c r="AW51" s="22">
        <f t="shared" ca="1" si="184"/>
        <v>47779.329138372676</v>
      </c>
      <c r="AX51" s="22">
        <f t="shared" ca="1" si="185"/>
        <v>-362.64510816024864</v>
      </c>
      <c r="AY51" s="22">
        <f t="shared" ca="1" si="186"/>
        <v>78584.829138372676</v>
      </c>
      <c r="AZ51" s="22">
        <f t="shared" si="171"/>
        <v>3160</v>
      </c>
      <c r="BA51" s="22">
        <f t="shared" ca="1" si="172"/>
        <v>75424.829138372676</v>
      </c>
      <c r="BB51" s="22">
        <f t="shared" ca="1" si="187"/>
        <v>-10559.476079372176</v>
      </c>
      <c r="BC51" s="22">
        <f t="shared" ca="1" si="188"/>
        <v>-754.24829138372672</v>
      </c>
      <c r="BD51" s="22">
        <f t="shared" ca="1" si="189"/>
        <v>67271.104767616765</v>
      </c>
      <c r="BE51" s="22">
        <f t="shared" si="176"/>
        <v>6915.17</v>
      </c>
      <c r="BF51" s="22">
        <f t="shared" ca="1" si="190"/>
        <v>60355.934767616767</v>
      </c>
      <c r="BG51" s="22">
        <f ca="1">SUM($BF$45:BF51)</f>
        <v>399534.18333637831</v>
      </c>
      <c r="BH51" s="47">
        <f t="shared" ca="1" si="178"/>
        <v>0.27</v>
      </c>
      <c r="BI51" s="34">
        <f t="shared" ca="1" si="191"/>
        <v>0</v>
      </c>
      <c r="BJ51" s="48">
        <f t="shared" ca="1" si="179"/>
        <v>0.27</v>
      </c>
      <c r="BK51" s="22">
        <f t="shared" ca="1" si="193"/>
        <v>-16296.1</v>
      </c>
      <c r="BL51" s="22">
        <f t="shared" ca="1" si="180"/>
        <v>-12980.400000000001</v>
      </c>
      <c r="BM51" s="48">
        <f t="shared" ca="1" si="181"/>
        <v>0.72241</v>
      </c>
      <c r="BN51" s="48">
        <f t="shared" si="192"/>
        <v>0.84240999999999999</v>
      </c>
      <c r="BO51" s="48">
        <f t="shared" ca="1" si="182"/>
        <v>0.61290999999999995</v>
      </c>
      <c r="BP51" s="21">
        <v>49</v>
      </c>
      <c r="BQ51" s="24">
        <v>24.5</v>
      </c>
      <c r="BR51" s="49" t="s">
        <v>0</v>
      </c>
    </row>
    <row r="52" spans="28:70" ht="39.950000000000003" hidden="1" customHeight="1" x14ac:dyDescent="0.25">
      <c r="AB52" s="18"/>
      <c r="AC52" s="33" t="s">
        <v>55</v>
      </c>
      <c r="AD52" s="31">
        <v>2018.75</v>
      </c>
      <c r="AE52" s="31">
        <v>2415.84</v>
      </c>
      <c r="AJ52" s="22">
        <f t="shared" si="158"/>
        <v>22104.674999999999</v>
      </c>
      <c r="AK52" s="22">
        <f>(0)</f>
        <v>0</v>
      </c>
      <c r="AL52" s="22">
        <f t="shared" si="163"/>
        <v>22104.674999999999</v>
      </c>
      <c r="AM52" s="22">
        <f>SUM(AL$44:$AL52)</f>
        <v>198942.07499999995</v>
      </c>
      <c r="AN52" s="47">
        <f t="shared" si="159"/>
        <v>0.2</v>
      </c>
      <c r="AO52" s="34">
        <f t="shared" si="164"/>
        <v>0</v>
      </c>
      <c r="AP52" s="48">
        <f t="shared" si="160"/>
        <v>0.2</v>
      </c>
      <c r="AQ52" s="22">
        <f t="shared" si="183"/>
        <v>4420.9399999999996</v>
      </c>
      <c r="AR52" s="48">
        <f t="shared" si="165"/>
        <v>0.80240999999999996</v>
      </c>
      <c r="AS52" s="22">
        <f t="shared" si="161"/>
        <v>26005.5</v>
      </c>
      <c r="AT52" s="22">
        <f t="shared" si="162"/>
        <v>22104.674999999999</v>
      </c>
      <c r="AU52" s="22">
        <f t="shared" ca="1" si="166"/>
        <v>78584.829138372676</v>
      </c>
      <c r="AV52" s="22">
        <f t="shared" si="167"/>
        <v>30805.5</v>
      </c>
      <c r="AW52" s="22">
        <f t="shared" ca="1" si="184"/>
        <v>47779.329138372676</v>
      </c>
      <c r="AX52" s="22">
        <f t="shared" ca="1" si="185"/>
        <v>-362.64510816024864</v>
      </c>
      <c r="AY52" s="22">
        <f t="shared" ca="1" si="186"/>
        <v>78584.829138372676</v>
      </c>
      <c r="AZ52" s="22">
        <f t="shared" si="171"/>
        <v>3160</v>
      </c>
      <c r="BA52" s="22">
        <f t="shared" ca="1" si="172"/>
        <v>75424.829138372676</v>
      </c>
      <c r="BB52" s="22">
        <f t="shared" ca="1" si="187"/>
        <v>-10559.476079372176</v>
      </c>
      <c r="BC52" s="22">
        <f t="shared" ca="1" si="188"/>
        <v>-754.24829138372672</v>
      </c>
      <c r="BD52" s="22">
        <f t="shared" ca="1" si="189"/>
        <v>67271.104767616765</v>
      </c>
      <c r="BE52" s="22">
        <f t="shared" si="176"/>
        <v>6915.17</v>
      </c>
      <c r="BF52" s="22">
        <f t="shared" ca="1" si="190"/>
        <v>60355.934767616767</v>
      </c>
      <c r="BG52" s="22">
        <f ca="1">SUM($BF$45:BF52)</f>
        <v>459890.1181039951</v>
      </c>
      <c r="BH52" s="47">
        <f t="shared" ca="1" si="178"/>
        <v>0.27</v>
      </c>
      <c r="BI52" s="34">
        <f t="shared" ca="1" si="191"/>
        <v>0</v>
      </c>
      <c r="BJ52" s="48">
        <f t="shared" ca="1" si="179"/>
        <v>0.27</v>
      </c>
      <c r="BK52" s="22">
        <f t="shared" ca="1" si="193"/>
        <v>-16296.1</v>
      </c>
      <c r="BL52" s="22">
        <f t="shared" ca="1" si="180"/>
        <v>-12038.53</v>
      </c>
      <c r="BM52" s="48">
        <f t="shared" ca="1" si="181"/>
        <v>0.72241</v>
      </c>
      <c r="BN52" s="48">
        <f t="shared" si="192"/>
        <v>0.84240999999999999</v>
      </c>
      <c r="BO52" s="48">
        <f t="shared" ca="1" si="182"/>
        <v>0.61290999999999995</v>
      </c>
      <c r="BP52" s="21">
        <v>50</v>
      </c>
      <c r="BQ52" s="24">
        <v>25</v>
      </c>
      <c r="BR52" s="49" t="s">
        <v>0</v>
      </c>
    </row>
    <row r="53" spans="28:70" ht="39.950000000000003" hidden="1" customHeight="1" x14ac:dyDescent="0.25">
      <c r="AB53" s="18"/>
      <c r="AC53" s="33" t="s">
        <v>56</v>
      </c>
      <c r="AD53" s="31">
        <v>2375</v>
      </c>
      <c r="AE53" s="31">
        <v>2842.16</v>
      </c>
      <c r="AJ53" s="22">
        <f t="shared" si="158"/>
        <v>22104.674999999999</v>
      </c>
      <c r="AK53" s="22">
        <f>(0)</f>
        <v>0</v>
      </c>
      <c r="AL53" s="22">
        <f t="shared" si="163"/>
        <v>22104.674999999999</v>
      </c>
      <c r="AM53" s="22">
        <f>SUM(AL$44:$AL53)</f>
        <v>221046.74999999994</v>
      </c>
      <c r="AN53" s="47">
        <f t="shared" si="159"/>
        <v>0.2</v>
      </c>
      <c r="AO53" s="34">
        <f t="shared" si="164"/>
        <v>0</v>
      </c>
      <c r="AP53" s="48">
        <f t="shared" si="160"/>
        <v>0.2</v>
      </c>
      <c r="AQ53" s="22">
        <f t="shared" si="183"/>
        <v>4420.9399999999996</v>
      </c>
      <c r="AR53" s="48">
        <f t="shared" si="165"/>
        <v>0.80240999999999996</v>
      </c>
      <c r="AS53" s="22">
        <f t="shared" si="161"/>
        <v>26005.5</v>
      </c>
      <c r="AT53" s="22">
        <f t="shared" si="162"/>
        <v>22104.674999999999</v>
      </c>
      <c r="AU53" s="22">
        <f t="shared" ca="1" si="166"/>
        <v>108197.20913837268</v>
      </c>
      <c r="AV53" s="22">
        <f t="shared" si="167"/>
        <v>30805.5</v>
      </c>
      <c r="AW53" s="22">
        <f t="shared" ca="1" si="184"/>
        <v>77391.70913837268</v>
      </c>
      <c r="AX53" s="22">
        <f t="shared" ca="1" si="185"/>
        <v>-587.40307236024864</v>
      </c>
      <c r="AY53" s="22">
        <f t="shared" ca="1" si="186"/>
        <v>108197.20913837268</v>
      </c>
      <c r="AZ53" s="22">
        <f t="shared" si="171"/>
        <v>3160</v>
      </c>
      <c r="BA53" s="22">
        <f t="shared" ca="1" si="172"/>
        <v>105037.20913837268</v>
      </c>
      <c r="BB53" s="22">
        <f t="shared" ca="1" si="187"/>
        <v>-14705.209279372177</v>
      </c>
      <c r="BC53" s="22">
        <f t="shared" ca="1" si="188"/>
        <v>-1050.3720913837269</v>
      </c>
      <c r="BD53" s="22">
        <f t="shared" ca="1" si="189"/>
        <v>92441.627767616767</v>
      </c>
      <c r="BE53" s="22">
        <f t="shared" si="176"/>
        <v>6915.17</v>
      </c>
      <c r="BF53" s="22">
        <f t="shared" ca="1" si="190"/>
        <v>85526.457767616768</v>
      </c>
      <c r="BG53" s="22">
        <f ca="1">SUM($BF$45:BF53)</f>
        <v>545416.57587161183</v>
      </c>
      <c r="BH53" s="47">
        <f t="shared" ca="1" si="178"/>
        <v>0.27</v>
      </c>
      <c r="BI53" s="34">
        <f t="shared" ca="1" si="191"/>
        <v>0</v>
      </c>
      <c r="BJ53" s="48">
        <f t="shared" ca="1" si="179"/>
        <v>0.27</v>
      </c>
      <c r="BK53" s="22">
        <f t="shared" ca="1" si="193"/>
        <v>-23092.14</v>
      </c>
      <c r="BL53" s="22">
        <f t="shared" ca="1" si="180"/>
        <v>-18671.2</v>
      </c>
      <c r="BM53" s="48">
        <f t="shared" ca="1" si="181"/>
        <v>0.72241</v>
      </c>
      <c r="BN53" s="48">
        <f t="shared" si="192"/>
        <v>0.84240999999999999</v>
      </c>
      <c r="BO53" s="48">
        <f t="shared" ca="1" si="182"/>
        <v>0.61290999999999995</v>
      </c>
      <c r="BP53" s="21">
        <v>51</v>
      </c>
      <c r="BQ53" s="24">
        <v>25.5</v>
      </c>
      <c r="BR53" s="49" t="s">
        <v>0</v>
      </c>
    </row>
    <row r="54" spans="28:70" ht="39.950000000000003" hidden="1" customHeight="1" x14ac:dyDescent="0.25">
      <c r="AB54" s="18"/>
      <c r="AC54" s="33" t="s">
        <v>6</v>
      </c>
      <c r="AD54" s="31">
        <v>1085.9100000000001</v>
      </c>
      <c r="AE54" s="31">
        <v>1299.51</v>
      </c>
      <c r="AJ54" s="22">
        <f t="shared" si="158"/>
        <v>22104.674999999999</v>
      </c>
      <c r="AK54" s="22">
        <f>(0)</f>
        <v>0</v>
      </c>
      <c r="AL54" s="22">
        <f t="shared" si="163"/>
        <v>22104.674999999999</v>
      </c>
      <c r="AM54" s="22">
        <f>SUM(AL$44:$AL54)</f>
        <v>243151.42499999993</v>
      </c>
      <c r="AN54" s="47">
        <f t="shared" si="159"/>
        <v>0.2</v>
      </c>
      <c r="AO54" s="34">
        <f t="shared" si="164"/>
        <v>0</v>
      </c>
      <c r="AP54" s="48">
        <f t="shared" si="160"/>
        <v>0.2</v>
      </c>
      <c r="AQ54" s="22">
        <f t="shared" si="183"/>
        <v>4420.9399999999996</v>
      </c>
      <c r="AR54" s="48">
        <f t="shared" si="165"/>
        <v>0.80240999999999996</v>
      </c>
      <c r="AS54" s="22">
        <f t="shared" si="161"/>
        <v>26005.5</v>
      </c>
      <c r="AT54" s="22">
        <f t="shared" si="162"/>
        <v>22104.674999999999</v>
      </c>
      <c r="AU54" s="22">
        <f t="shared" ca="1" si="166"/>
        <v>78584.829138372676</v>
      </c>
      <c r="AV54" s="22">
        <f t="shared" si="167"/>
        <v>30805.5</v>
      </c>
      <c r="AW54" s="22">
        <f t="shared" ca="1" si="184"/>
        <v>47779.329138372676</v>
      </c>
      <c r="AX54" s="22">
        <f t="shared" ca="1" si="185"/>
        <v>-362.64510816024864</v>
      </c>
      <c r="AY54" s="22">
        <f t="shared" ca="1" si="186"/>
        <v>78584.829138372676</v>
      </c>
      <c r="AZ54" s="22">
        <f t="shared" si="171"/>
        <v>3160</v>
      </c>
      <c r="BA54" s="22">
        <f t="shared" ca="1" si="172"/>
        <v>75424.829138372676</v>
      </c>
      <c r="BB54" s="22">
        <f t="shared" ca="1" si="187"/>
        <v>-10559.476079372176</v>
      </c>
      <c r="BC54" s="22">
        <f t="shared" ca="1" si="188"/>
        <v>-754.24829138372672</v>
      </c>
      <c r="BD54" s="22">
        <f t="shared" ca="1" si="189"/>
        <v>67271.104767616765</v>
      </c>
      <c r="BE54" s="22">
        <f t="shared" si="176"/>
        <v>6915.17</v>
      </c>
      <c r="BF54" s="22">
        <f t="shared" ca="1" si="190"/>
        <v>60355.934767616767</v>
      </c>
      <c r="BG54" s="22">
        <f ca="1">SUM($BF$45:BF54)</f>
        <v>605772.51063922863</v>
      </c>
      <c r="BH54" s="47">
        <f t="shared" ca="1" si="178"/>
        <v>0.27</v>
      </c>
      <c r="BI54" s="34">
        <f t="shared" ca="1" si="191"/>
        <v>0</v>
      </c>
      <c r="BJ54" s="48">
        <f t="shared" ca="1" si="179"/>
        <v>0.27</v>
      </c>
      <c r="BK54" s="22">
        <f t="shared" ca="1" si="193"/>
        <v>-16296.1</v>
      </c>
      <c r="BL54" s="22">
        <f t="shared" ca="1" si="180"/>
        <v>-11875.16</v>
      </c>
      <c r="BM54" s="48">
        <f t="shared" ca="1" si="181"/>
        <v>0.72241</v>
      </c>
      <c r="BN54" s="48">
        <f t="shared" si="192"/>
        <v>0.84240999999999999</v>
      </c>
      <c r="BO54" s="48">
        <f t="shared" ca="1" si="182"/>
        <v>0.61290999999999995</v>
      </c>
      <c r="BP54" s="21">
        <v>52</v>
      </c>
      <c r="BQ54" s="24">
        <v>26</v>
      </c>
      <c r="BR54" s="49" t="s">
        <v>0</v>
      </c>
    </row>
    <row r="55" spans="28:70" ht="39.950000000000003" hidden="1" customHeight="1" x14ac:dyDescent="0.25">
      <c r="AB55" s="18"/>
      <c r="AJ55" s="22">
        <f t="shared" si="158"/>
        <v>22104.674999999999</v>
      </c>
      <c r="AK55" s="22">
        <f>(0)</f>
        <v>0</v>
      </c>
      <c r="AL55" s="22">
        <f t="shared" si="163"/>
        <v>22104.674999999999</v>
      </c>
      <c r="AM55" s="22">
        <f>SUM(AL$44:$AL55)</f>
        <v>265256.09999999992</v>
      </c>
      <c r="AN55" s="47">
        <f t="shared" si="159"/>
        <v>0.2</v>
      </c>
      <c r="AO55" s="34">
        <f t="shared" si="164"/>
        <v>0</v>
      </c>
      <c r="AP55" s="48">
        <f t="shared" si="160"/>
        <v>0.2</v>
      </c>
      <c r="AQ55" s="22">
        <f t="shared" si="183"/>
        <v>4420.9399999999996</v>
      </c>
      <c r="AR55" s="48">
        <f t="shared" si="165"/>
        <v>0.80240999999999996</v>
      </c>
      <c r="AS55" s="22">
        <f t="shared" si="161"/>
        <v>26005.5</v>
      </c>
      <c r="AT55" s="22">
        <f t="shared" si="162"/>
        <v>22104.674999999999</v>
      </c>
      <c r="AU55" s="22">
        <f t="shared" ca="1" si="166"/>
        <v>76469.659138372677</v>
      </c>
      <c r="AV55" s="22">
        <f t="shared" si="167"/>
        <v>30805.5</v>
      </c>
      <c r="AW55" s="22">
        <f t="shared" ca="1" si="184"/>
        <v>45664.159138372677</v>
      </c>
      <c r="AX55" s="22">
        <f t="shared" ca="1" si="185"/>
        <v>-346.59096786024861</v>
      </c>
      <c r="AY55" s="22">
        <f t="shared" ca="1" si="186"/>
        <v>76469.659138372677</v>
      </c>
      <c r="AZ55" s="22">
        <f t="shared" si="171"/>
        <v>3160</v>
      </c>
      <c r="BA55" s="22">
        <f t="shared" ca="1" si="172"/>
        <v>73309.659138372677</v>
      </c>
      <c r="BB55" s="22">
        <f t="shared" ca="1" si="187"/>
        <v>-10263.352279372175</v>
      </c>
      <c r="BC55" s="22">
        <f t="shared" ca="1" si="188"/>
        <v>-733.09659138372683</v>
      </c>
      <c r="BD55" s="22">
        <f t="shared" ca="1" si="189"/>
        <v>65473.210267616771</v>
      </c>
      <c r="BE55" s="22">
        <f t="shared" si="176"/>
        <v>7246.96</v>
      </c>
      <c r="BF55" s="22">
        <f t="shared" ca="1" si="190"/>
        <v>58226.250267616771</v>
      </c>
      <c r="BG55" s="22">
        <f ca="1">SUM($BF$45:BF55)</f>
        <v>663998.76090684545</v>
      </c>
      <c r="BH55" s="47">
        <f t="shared" ca="1" si="178"/>
        <v>0.27</v>
      </c>
      <c r="BI55" s="34">
        <f t="shared" ca="1" si="191"/>
        <v>0</v>
      </c>
      <c r="BJ55" s="48">
        <f t="shared" ca="1" si="179"/>
        <v>0.27</v>
      </c>
      <c r="BK55" s="22">
        <f t="shared" ca="1" si="193"/>
        <v>-15721.09</v>
      </c>
      <c r="BL55" s="22">
        <f t="shared" ca="1" si="180"/>
        <v>-11300.150000000001</v>
      </c>
      <c r="BM55" s="48">
        <f t="shared" ca="1" si="181"/>
        <v>0.72241</v>
      </c>
      <c r="BN55" s="48">
        <f t="shared" si="192"/>
        <v>0.84240999999999999</v>
      </c>
      <c r="BO55" s="48">
        <f t="shared" ca="1" si="182"/>
        <v>0.61290999999999995</v>
      </c>
      <c r="BP55" s="21">
        <v>53</v>
      </c>
      <c r="BQ55" s="24">
        <v>26.5</v>
      </c>
      <c r="BR55" s="49" t="s">
        <v>0</v>
      </c>
    </row>
    <row r="56" spans="28:70" ht="39.950000000000003" hidden="1" customHeight="1" x14ac:dyDescent="0.25">
      <c r="AB56" s="18"/>
      <c r="AJ56" s="22">
        <f t="shared" ref="AJ56:AL56" si="194">(AJ44+AJ45+AJ46+AJ47+AJ48+AJ49+AJ50+AJ51+AJ52+AJ53+AJ54+AJ55)</f>
        <v>265256.09999999992</v>
      </c>
      <c r="AK56" s="22">
        <f t="shared" si="194"/>
        <v>0</v>
      </c>
      <c r="AL56" s="22">
        <f t="shared" si="194"/>
        <v>265256.09999999992</v>
      </c>
      <c r="AM56" s="27" t="s">
        <v>0</v>
      </c>
      <c r="AN56" s="21" t="s">
        <v>0</v>
      </c>
      <c r="AO56" s="21" t="s">
        <v>0</v>
      </c>
      <c r="AP56" s="21" t="s">
        <v>0</v>
      </c>
      <c r="AQ56" s="22">
        <f t="shared" ref="AQ56" si="195">(AQ44+AQ45+AQ46+AQ47+AQ48+AQ49+AQ50+AQ51+AQ52+AQ53+AQ54+AQ55)</f>
        <v>45151.23</v>
      </c>
      <c r="AR56" s="21" t="s">
        <v>0</v>
      </c>
      <c r="AS56" s="22">
        <f t="shared" ref="AS56" si="196">(AS44+AS45+AS46+AS47+AS48+AS49+AS50+AS51+AS52+AS53+AS54+AS55)</f>
        <v>312066</v>
      </c>
      <c r="AT56" s="22">
        <f t="shared" ref="AT56" si="197">(AT44+AT45+AT46+AT47+AT48+AT49+AT50+AT51+AT52+AT53+AT54+AT55)</f>
        <v>265256.09999999992</v>
      </c>
      <c r="AU56" s="22">
        <f t="shared" ca="1" si="166"/>
        <v>110312.37913837268</v>
      </c>
      <c r="AV56" s="22">
        <f t="shared" si="167"/>
        <v>30805.5</v>
      </c>
      <c r="AW56" s="22">
        <f t="shared" ca="1" si="184"/>
        <v>79506.879138372678</v>
      </c>
      <c r="AX56" s="22">
        <f t="shared" ca="1" si="185"/>
        <v>-603.45721266024862</v>
      </c>
      <c r="AY56" s="22">
        <f t="shared" ca="1" si="186"/>
        <v>110312.37913837268</v>
      </c>
      <c r="AZ56" s="22">
        <f t="shared" si="171"/>
        <v>3160</v>
      </c>
      <c r="BA56" s="22">
        <f t="shared" ca="1" si="172"/>
        <v>107152.37913837268</v>
      </c>
      <c r="BB56" s="22">
        <f t="shared" ca="1" si="187"/>
        <v>-15001.333079372176</v>
      </c>
      <c r="BC56" s="22">
        <f t="shared" ca="1" si="188"/>
        <v>-1071.5237913837268</v>
      </c>
      <c r="BD56" s="22">
        <f t="shared" ca="1" si="189"/>
        <v>94239.522267616776</v>
      </c>
      <c r="BE56" s="22">
        <f t="shared" si="176"/>
        <v>7246.96</v>
      </c>
      <c r="BF56" s="22">
        <f t="shared" ca="1" si="190"/>
        <v>86992.56226761677</v>
      </c>
      <c r="BG56" s="22">
        <f ca="1">SUM($BF$45:BF56)</f>
        <v>750991.32317446219</v>
      </c>
      <c r="BH56" s="47">
        <f t="shared" ca="1" si="178"/>
        <v>0.27</v>
      </c>
      <c r="BI56" s="34">
        <f t="shared" ca="1" si="191"/>
        <v>0</v>
      </c>
      <c r="BJ56" s="48">
        <f t="shared" ca="1" si="179"/>
        <v>0.27</v>
      </c>
      <c r="BK56" s="22">
        <f t="shared" ca="1" si="193"/>
        <v>-23487.99</v>
      </c>
      <c r="BL56" s="22">
        <f t="shared" ca="1" si="180"/>
        <v>-19067.050000000003</v>
      </c>
      <c r="BM56" s="48">
        <f t="shared" ca="1" si="181"/>
        <v>0.72241</v>
      </c>
      <c r="BN56" s="48">
        <f t="shared" si="192"/>
        <v>0.84240999999999999</v>
      </c>
      <c r="BO56" s="48">
        <f t="shared" ca="1" si="182"/>
        <v>0.61290999999999995</v>
      </c>
      <c r="BP56" s="21">
        <v>54</v>
      </c>
      <c r="BQ56" s="24">
        <v>27</v>
      </c>
      <c r="BR56" s="49" t="s">
        <v>0</v>
      </c>
    </row>
    <row r="57" spans="28:70" ht="39.950000000000003" hidden="1" customHeight="1" x14ac:dyDescent="0.25">
      <c r="AB57" s="18"/>
      <c r="AJ57" s="22">
        <f t="shared" ref="AJ57:AL57" si="198">(AJ56/12)</f>
        <v>22104.674999999992</v>
      </c>
      <c r="AK57" s="22">
        <f t="shared" si="198"/>
        <v>0</v>
      </c>
      <c r="AL57" s="22">
        <f t="shared" si="198"/>
        <v>22104.674999999992</v>
      </c>
      <c r="AM57" s="27" t="s">
        <v>0</v>
      </c>
      <c r="AN57" s="27" t="s">
        <v>0</v>
      </c>
      <c r="AO57" s="27" t="s">
        <v>0</v>
      </c>
      <c r="AP57" s="27" t="s">
        <v>0</v>
      </c>
      <c r="AQ57" s="22">
        <f t="shared" ref="AQ57" si="199">(AQ56/12)</f>
        <v>3762.6025000000004</v>
      </c>
      <c r="AR57" s="27" t="s">
        <v>0</v>
      </c>
      <c r="AS57" s="22">
        <f t="shared" ref="AS57" si="200">(AS56/12)</f>
        <v>26005.5</v>
      </c>
      <c r="AT57" s="22">
        <f t="shared" ref="AT57" si="201">(AT56/12)</f>
        <v>22104.674999999992</v>
      </c>
      <c r="AU57" s="22">
        <f t="shared" ref="AU57:BA57" ca="1" si="202">(AU45+AU46+AU47+AU48+AU49+AU50+AU51+AU52+AU53+AU54+AU55+AU56)</f>
        <v>974736.96844054363</v>
      </c>
      <c r="AV57" s="22">
        <f t="shared" si="202"/>
        <v>369666</v>
      </c>
      <c r="AW57" s="22">
        <f ca="1">(AW45+AW46+AW47+AW48+AW49+AW50+AW51+AW52+AW53+AW54+AW55+AW56)</f>
        <v>605070.96844054374</v>
      </c>
      <c r="AX57" s="22">
        <f t="shared" ca="1" si="202"/>
        <v>-4592.488650463727</v>
      </c>
      <c r="AY57" s="22">
        <f t="shared" ca="1" si="202"/>
        <v>974736.96844054363</v>
      </c>
      <c r="AZ57" s="22">
        <f t="shared" si="202"/>
        <v>37920</v>
      </c>
      <c r="BA57" s="22">
        <f t="shared" ca="1" si="202"/>
        <v>936816.96844054363</v>
      </c>
      <c r="BB57" s="22">
        <f t="shared" ref="BB57" ca="1" si="203">(BB45+BB46+BB47+BB48+BB49+BB50+BB51+BB52+BB53+BB54+BB55+BB56)</f>
        <v>-131154.37558167614</v>
      </c>
      <c r="BC57" s="22">
        <f t="shared" ref="BC57:BE57" ca="1" si="204">(BC45+BC46+BC47+BC48+BC49+BC50+BC51+BC52+BC53+BC54+BC55+BC56)</f>
        <v>-9368.1696844054368</v>
      </c>
      <c r="BD57" s="22">
        <f t="shared" ca="1" si="204"/>
        <v>834214.42317446216</v>
      </c>
      <c r="BE57" s="22">
        <f t="shared" si="204"/>
        <v>83223.100000000006</v>
      </c>
      <c r="BF57" s="22">
        <f t="shared" ref="BF57" ca="1" si="205">(BF45+BF46+BF47+BF48+BF49+BF50+BF51+BF52+BF53+BF54+BF55+BF56)</f>
        <v>750991.32317446219</v>
      </c>
      <c r="BG57" s="27" t="s">
        <v>0</v>
      </c>
      <c r="BH57" s="21" t="s">
        <v>0</v>
      </c>
      <c r="BI57" s="21" t="s">
        <v>0</v>
      </c>
      <c r="BJ57" s="26">
        <f t="shared" ref="BJ57:BK57" ca="1" si="206">(BJ45+BJ46+BJ47+BJ48+BJ49+BJ50+BJ51+BJ52+BJ53+BJ54+BJ55+BJ56)</f>
        <v>2.6862802687364833</v>
      </c>
      <c r="BK57" s="22">
        <f t="shared" ca="1" si="206"/>
        <v>-171767.65</v>
      </c>
      <c r="BL57" s="22">
        <f t="shared" ref="BL57" ca="1" si="207">(BL45+BL46+BL47+BL48+BL49+BL50+BL51+BL52+BL53+BL54+BL55+BL56)</f>
        <v>-126616.42</v>
      </c>
      <c r="BM57" s="21" t="s">
        <v>0</v>
      </c>
      <c r="BN57" s="21" t="s">
        <v>0</v>
      </c>
      <c r="BO57" s="21" t="s">
        <v>0</v>
      </c>
      <c r="BP57" s="21">
        <v>55</v>
      </c>
      <c r="BQ57" s="24">
        <v>27.5</v>
      </c>
      <c r="BR57" s="49" t="s">
        <v>0</v>
      </c>
    </row>
    <row r="58" spans="28:70" ht="39.950000000000003" hidden="1" customHeight="1" x14ac:dyDescent="0.25">
      <c r="AB58" s="18"/>
      <c r="AU58" s="22">
        <f t="shared" ref="AU58:BA58" ca="1" si="208">(AU57/12)</f>
        <v>81228.08070337864</v>
      </c>
      <c r="AV58" s="22">
        <f t="shared" si="208"/>
        <v>30805.5</v>
      </c>
      <c r="AW58" s="22">
        <f ca="1">(AW57/12)</f>
        <v>50422.580703378648</v>
      </c>
      <c r="AX58" s="22">
        <f t="shared" ca="1" si="208"/>
        <v>-382.7073875386439</v>
      </c>
      <c r="AY58" s="22">
        <f t="shared" ca="1" si="208"/>
        <v>81228.08070337864</v>
      </c>
      <c r="AZ58" s="22">
        <f t="shared" si="208"/>
        <v>3160</v>
      </c>
      <c r="BA58" s="22">
        <f t="shared" ca="1" si="208"/>
        <v>78068.08070337864</v>
      </c>
      <c r="BB58" s="22">
        <f t="shared" ref="BB58" ca="1" si="209">(BB57/12)</f>
        <v>-10929.531298473012</v>
      </c>
      <c r="BC58" s="22">
        <f t="shared" ref="BC58:BE58" ca="1" si="210">(BC57/12)</f>
        <v>-780.68080703378644</v>
      </c>
      <c r="BD58" s="22">
        <f t="shared" ca="1" si="210"/>
        <v>69517.868597871842</v>
      </c>
      <c r="BE58" s="22">
        <f t="shared" si="210"/>
        <v>6935.2583333333341</v>
      </c>
      <c r="BF58" s="22">
        <f t="shared" ref="BF58" ca="1" si="211">(BF57/12)</f>
        <v>62582.610264538518</v>
      </c>
      <c r="BG58" s="27" t="s">
        <v>0</v>
      </c>
      <c r="BH58" s="27" t="s">
        <v>0</v>
      </c>
      <c r="BI58" s="27" t="s">
        <v>0</v>
      </c>
      <c r="BJ58" s="26">
        <f t="shared" ref="BJ58:BK58" ca="1" si="212">(BJ57/12)</f>
        <v>0.2238566890613736</v>
      </c>
      <c r="BK58" s="22">
        <f t="shared" ca="1" si="212"/>
        <v>-14313.970833333333</v>
      </c>
      <c r="BL58" s="22">
        <f t="shared" ref="BL58" ca="1" si="213">(BL57/12)</f>
        <v>-10551.368333333334</v>
      </c>
      <c r="BM58" s="27" t="s">
        <v>0</v>
      </c>
      <c r="BN58" s="27" t="s">
        <v>0</v>
      </c>
      <c r="BO58" s="27" t="s">
        <v>0</v>
      </c>
      <c r="BP58" s="21">
        <v>56</v>
      </c>
      <c r="BQ58" s="24">
        <v>28</v>
      </c>
      <c r="BR58" s="49" t="s">
        <v>0</v>
      </c>
    </row>
    <row r="59" spans="28:70" ht="39.950000000000003" hidden="1" customHeight="1" x14ac:dyDescent="0.25">
      <c r="BP59" s="21">
        <v>57</v>
      </c>
      <c r="BQ59" s="24">
        <v>28.5</v>
      </c>
      <c r="BR59" s="49" t="s">
        <v>0</v>
      </c>
    </row>
    <row r="60" spans="28:70" ht="39.950000000000003" hidden="1" customHeight="1" x14ac:dyDescent="0.25">
      <c r="BP60" s="21">
        <v>58</v>
      </c>
      <c r="BQ60" s="24">
        <v>29</v>
      </c>
      <c r="BR60" s="49" t="s">
        <v>0</v>
      </c>
    </row>
    <row r="61" spans="28:70" ht="39.950000000000003" hidden="1" customHeight="1" x14ac:dyDescent="0.25">
      <c r="BP61" s="21">
        <v>59</v>
      </c>
      <c r="BQ61" s="24">
        <v>29.5</v>
      </c>
      <c r="BR61" s="49" t="s">
        <v>0</v>
      </c>
    </row>
    <row r="62" spans="28:70" ht="39.950000000000003" hidden="1" customHeight="1" x14ac:dyDescent="0.25">
      <c r="BP62" s="21">
        <v>60</v>
      </c>
      <c r="BQ62" s="24">
        <v>30</v>
      </c>
      <c r="BR62" s="49" t="s">
        <v>0</v>
      </c>
    </row>
    <row r="63" spans="28:70" ht="39.950000000000003" hidden="1" customHeight="1" x14ac:dyDescent="0.25">
      <c r="BP63" s="21">
        <v>61</v>
      </c>
      <c r="BQ63" s="24">
        <v>30.5</v>
      </c>
      <c r="BR63" s="49" t="s">
        <v>0</v>
      </c>
    </row>
    <row r="64" spans="28:70" ht="39.950000000000003" hidden="1" customHeight="1" x14ac:dyDescent="0.25">
      <c r="BP64" s="21">
        <v>62</v>
      </c>
      <c r="BQ64" s="24">
        <v>31</v>
      </c>
      <c r="BR64" s="49" t="s">
        <v>0</v>
      </c>
    </row>
    <row r="65" spans="68:70" ht="39.950000000000003" hidden="1" customHeight="1" x14ac:dyDescent="0.25">
      <c r="BP65" s="21">
        <v>63</v>
      </c>
      <c r="BQ65" s="24">
        <v>31.5</v>
      </c>
      <c r="BR65" s="49" t="s">
        <v>0</v>
      </c>
    </row>
    <row r="66" spans="68:70" ht="39.950000000000003" hidden="1" customHeight="1" x14ac:dyDescent="0.25">
      <c r="BP66" s="21">
        <v>64</v>
      </c>
      <c r="BQ66" s="24">
        <v>32</v>
      </c>
      <c r="BR66" s="49" t="s">
        <v>0</v>
      </c>
    </row>
    <row r="67" spans="68:70" ht="39.950000000000003" hidden="1" customHeight="1" x14ac:dyDescent="0.25">
      <c r="BP67" s="21">
        <v>65</v>
      </c>
      <c r="BQ67" s="24">
        <v>32.5</v>
      </c>
      <c r="BR67" s="49" t="s">
        <v>0</v>
      </c>
    </row>
    <row r="68" spans="68:70" ht="39.950000000000003" hidden="1" customHeight="1" x14ac:dyDescent="0.25">
      <c r="BP68" s="21">
        <v>66</v>
      </c>
      <c r="BQ68" s="24">
        <v>33</v>
      </c>
      <c r="BR68" s="49" t="s">
        <v>0</v>
      </c>
    </row>
    <row r="69" spans="68:70" ht="39.950000000000003" hidden="1" customHeight="1" x14ac:dyDescent="0.25">
      <c r="BP69" s="21">
        <v>67</v>
      </c>
      <c r="BQ69" s="24">
        <v>33.5</v>
      </c>
      <c r="BR69" s="49" t="s">
        <v>0</v>
      </c>
    </row>
    <row r="70" spans="68:70" ht="39.950000000000003" hidden="1" customHeight="1" x14ac:dyDescent="0.25">
      <c r="BP70" s="21">
        <v>68</v>
      </c>
      <c r="BQ70" s="24">
        <v>34</v>
      </c>
      <c r="BR70" s="49" t="s">
        <v>0</v>
      </c>
    </row>
    <row r="71" spans="68:70" ht="39.950000000000003" hidden="1" customHeight="1" x14ac:dyDescent="0.25">
      <c r="BP71" s="21">
        <v>69</v>
      </c>
      <c r="BQ71" s="24">
        <v>34.5</v>
      </c>
      <c r="BR71" s="49" t="s">
        <v>0</v>
      </c>
    </row>
    <row r="72" spans="68:70" ht="39.950000000000003" hidden="1" customHeight="1" x14ac:dyDescent="0.25">
      <c r="BP72" s="21">
        <v>70</v>
      </c>
      <c r="BQ72" s="24">
        <v>35</v>
      </c>
      <c r="BR72" s="49" t="s">
        <v>0</v>
      </c>
    </row>
    <row r="73" spans="68:70" ht="39.950000000000003" hidden="1" customHeight="1" x14ac:dyDescent="0.25">
      <c r="BP73" s="21">
        <v>71</v>
      </c>
      <c r="BQ73" s="24">
        <v>35.5</v>
      </c>
      <c r="BR73" s="49" t="s">
        <v>0</v>
      </c>
    </row>
    <row r="74" spans="68:70" ht="39.950000000000003" hidden="1" customHeight="1" x14ac:dyDescent="0.25">
      <c r="BP74" s="21">
        <v>72</v>
      </c>
      <c r="BQ74" s="24">
        <v>36</v>
      </c>
      <c r="BR74" s="49" t="s">
        <v>0</v>
      </c>
    </row>
    <row r="75" spans="68:70" ht="39.950000000000003" hidden="1" customHeight="1" x14ac:dyDescent="0.25">
      <c r="BP75" s="21">
        <v>73</v>
      </c>
      <c r="BQ75" s="24">
        <v>36.5</v>
      </c>
      <c r="BR75" s="49" t="s">
        <v>0</v>
      </c>
    </row>
    <row r="76" spans="68:70" ht="39.950000000000003" hidden="1" customHeight="1" x14ac:dyDescent="0.25">
      <c r="BP76" s="21">
        <v>74</v>
      </c>
      <c r="BQ76" s="24">
        <v>37</v>
      </c>
      <c r="BR76" s="49" t="s">
        <v>0</v>
      </c>
    </row>
    <row r="77" spans="68:70" ht="39.950000000000003" hidden="1" customHeight="1" x14ac:dyDescent="0.25">
      <c r="BP77" s="21">
        <v>75</v>
      </c>
      <c r="BQ77" s="24">
        <v>37.5</v>
      </c>
      <c r="BR77" s="49" t="s">
        <v>0</v>
      </c>
    </row>
    <row r="78" spans="68:70" ht="39.950000000000003" hidden="1" customHeight="1" x14ac:dyDescent="0.25">
      <c r="BP78" s="21">
        <v>76</v>
      </c>
      <c r="BQ78" s="24">
        <v>38</v>
      </c>
      <c r="BR78" s="49" t="s">
        <v>0</v>
      </c>
    </row>
    <row r="79" spans="68:70" ht="39.950000000000003" hidden="1" customHeight="1" x14ac:dyDescent="0.25">
      <c r="BP79" s="21">
        <v>77</v>
      </c>
      <c r="BQ79" s="24">
        <v>38.5</v>
      </c>
      <c r="BR79" s="49" t="s">
        <v>0</v>
      </c>
    </row>
    <row r="80" spans="68:70" ht="39.950000000000003" hidden="1" customHeight="1" x14ac:dyDescent="0.25">
      <c r="BP80" s="21">
        <v>78</v>
      </c>
      <c r="BQ80" s="24">
        <v>39</v>
      </c>
      <c r="BR80" s="49" t="s">
        <v>0</v>
      </c>
    </row>
    <row r="81" spans="68:70" ht="39.950000000000003" hidden="1" customHeight="1" x14ac:dyDescent="0.25">
      <c r="BP81" s="21">
        <v>79</v>
      </c>
      <c r="BQ81" s="24">
        <v>39.5</v>
      </c>
      <c r="BR81" s="49" t="s">
        <v>0</v>
      </c>
    </row>
    <row r="82" spans="68:70" ht="39.950000000000003" hidden="1" customHeight="1" x14ac:dyDescent="0.25">
      <c r="BP82" s="21">
        <v>80</v>
      </c>
      <c r="BQ82" s="24">
        <v>40</v>
      </c>
      <c r="BR82" s="49" t="s">
        <v>0</v>
      </c>
    </row>
    <row r="83" spans="68:70" ht="39.950000000000003" hidden="1" customHeight="1" x14ac:dyDescent="0.25">
      <c r="BP83" s="21">
        <v>81</v>
      </c>
      <c r="BQ83" s="24">
        <v>40.5</v>
      </c>
      <c r="BR83" s="49" t="s">
        <v>0</v>
      </c>
    </row>
    <row r="84" spans="68:70" ht="39.950000000000003" hidden="1" customHeight="1" x14ac:dyDescent="0.25">
      <c r="BP84" s="21">
        <v>82</v>
      </c>
      <c r="BQ84" s="24">
        <v>41</v>
      </c>
      <c r="BR84" s="49" t="s">
        <v>0</v>
      </c>
    </row>
    <row r="85" spans="68:70" ht="39.950000000000003" hidden="1" customHeight="1" x14ac:dyDescent="0.25">
      <c r="BP85" s="21">
        <v>83</v>
      </c>
      <c r="BQ85" s="24">
        <v>41.5</v>
      </c>
      <c r="BR85" s="49" t="s">
        <v>0</v>
      </c>
    </row>
    <row r="86" spans="68:70" ht="39.950000000000003" hidden="1" customHeight="1" x14ac:dyDescent="0.25">
      <c r="BP86" s="21">
        <v>84</v>
      </c>
      <c r="BQ86" s="24">
        <v>42</v>
      </c>
      <c r="BR86" s="49" t="s">
        <v>0</v>
      </c>
    </row>
    <row r="87" spans="68:70" ht="39.950000000000003" hidden="1" customHeight="1" x14ac:dyDescent="0.25">
      <c r="BP87" s="21">
        <v>85</v>
      </c>
      <c r="BQ87" s="24">
        <v>42.5</v>
      </c>
      <c r="BR87" s="49" t="s">
        <v>0</v>
      </c>
    </row>
    <row r="88" spans="68:70" ht="39.950000000000003" hidden="1" customHeight="1" x14ac:dyDescent="0.25">
      <c r="BP88" s="21">
        <v>86</v>
      </c>
      <c r="BQ88" s="24">
        <v>43</v>
      </c>
      <c r="BR88" s="49" t="s">
        <v>0</v>
      </c>
    </row>
    <row r="89" spans="68:70" ht="39.950000000000003" hidden="1" customHeight="1" x14ac:dyDescent="0.25">
      <c r="BP89" s="21">
        <v>87</v>
      </c>
      <c r="BQ89" s="24">
        <v>43.5</v>
      </c>
      <c r="BR89" s="49" t="s">
        <v>0</v>
      </c>
    </row>
    <row r="90" spans="68:70" ht="39.950000000000003" hidden="1" customHeight="1" x14ac:dyDescent="0.25">
      <c r="BP90" s="21">
        <v>88</v>
      </c>
      <c r="BQ90" s="24">
        <v>44</v>
      </c>
      <c r="BR90" s="49" t="s">
        <v>0</v>
      </c>
    </row>
    <row r="91" spans="68:70" ht="39.950000000000003" hidden="1" customHeight="1" x14ac:dyDescent="0.25">
      <c r="BP91" s="21">
        <v>89</v>
      </c>
      <c r="BQ91" s="24">
        <v>44.5</v>
      </c>
      <c r="BR91" s="49" t="s">
        <v>0</v>
      </c>
    </row>
    <row r="92" spans="68:70" ht="39.950000000000003" hidden="1" customHeight="1" x14ac:dyDescent="0.25">
      <c r="BP92" s="21">
        <v>90</v>
      </c>
      <c r="BQ92" s="24">
        <v>45</v>
      </c>
      <c r="BR92" s="49" t="s">
        <v>0</v>
      </c>
    </row>
    <row r="93" spans="68:70" ht="39.950000000000003" hidden="1" customHeight="1" x14ac:dyDescent="0.25">
      <c r="BP93" s="21">
        <v>91</v>
      </c>
      <c r="BQ93" s="24">
        <v>45.5</v>
      </c>
      <c r="BR93" s="49" t="s">
        <v>0</v>
      </c>
    </row>
    <row r="94" spans="68:70" ht="39.950000000000003" hidden="1" customHeight="1" x14ac:dyDescent="0.25">
      <c r="BP94" s="21">
        <v>92</v>
      </c>
      <c r="BQ94" s="24">
        <v>46</v>
      </c>
      <c r="BR94" s="49" t="s">
        <v>0</v>
      </c>
    </row>
    <row r="95" spans="68:70" ht="39.950000000000003" hidden="1" customHeight="1" x14ac:dyDescent="0.25">
      <c r="BP95" s="21">
        <v>93</v>
      </c>
      <c r="BQ95" s="24">
        <v>46.5</v>
      </c>
      <c r="BR95" s="49" t="s">
        <v>0</v>
      </c>
    </row>
    <row r="96" spans="68:70" ht="39.950000000000003" hidden="1" customHeight="1" x14ac:dyDescent="0.25">
      <c r="BP96" s="21">
        <v>94</v>
      </c>
      <c r="BQ96" s="24">
        <v>47</v>
      </c>
      <c r="BR96" s="49" t="s">
        <v>0</v>
      </c>
    </row>
    <row r="97" spans="68:70" ht="39.950000000000003" hidden="1" customHeight="1" x14ac:dyDescent="0.25">
      <c r="BP97" s="21">
        <v>95</v>
      </c>
      <c r="BQ97" s="24">
        <v>47.5</v>
      </c>
      <c r="BR97" s="49" t="s">
        <v>0</v>
      </c>
    </row>
    <row r="98" spans="68:70" ht="39.950000000000003" hidden="1" customHeight="1" x14ac:dyDescent="0.25">
      <c r="BP98" s="21">
        <v>96</v>
      </c>
      <c r="BQ98" s="24">
        <v>48</v>
      </c>
      <c r="BR98" s="49" t="s">
        <v>0</v>
      </c>
    </row>
    <row r="99" spans="68:70" ht="39.950000000000003" hidden="1" customHeight="1" x14ac:dyDescent="0.25">
      <c r="BP99" s="21">
        <v>97</v>
      </c>
      <c r="BQ99" s="24">
        <v>48.5</v>
      </c>
      <c r="BR99" s="49" t="s">
        <v>0</v>
      </c>
    </row>
    <row r="100" spans="68:70" ht="39.950000000000003" hidden="1" customHeight="1" x14ac:dyDescent="0.25">
      <c r="BP100" s="21">
        <v>98</v>
      </c>
      <c r="BQ100" s="24">
        <v>49</v>
      </c>
      <c r="BR100" s="49" t="s">
        <v>0</v>
      </c>
    </row>
    <row r="101" spans="68:70" ht="39.950000000000003" hidden="1" customHeight="1" x14ac:dyDescent="0.25">
      <c r="BP101" s="21">
        <v>99</v>
      </c>
      <c r="BQ101" s="24">
        <v>49.5</v>
      </c>
      <c r="BR101" s="49" t="s">
        <v>0</v>
      </c>
    </row>
    <row r="102" spans="68:70" ht="39.950000000000003" hidden="1" customHeight="1" x14ac:dyDescent="0.25">
      <c r="BP102" s="21">
        <v>100</v>
      </c>
      <c r="BQ102" s="24">
        <v>50</v>
      </c>
      <c r="BR102" s="49" t="s">
        <v>0</v>
      </c>
    </row>
    <row r="103" spans="68:70" ht="39.950000000000003" hidden="1" customHeight="1" x14ac:dyDescent="0.25">
      <c r="BP103" s="21">
        <v>101</v>
      </c>
      <c r="BQ103" s="24">
        <v>50.5</v>
      </c>
      <c r="BR103" s="49" t="s">
        <v>0</v>
      </c>
    </row>
    <row r="104" spans="68:70" ht="39.950000000000003" hidden="1" customHeight="1" x14ac:dyDescent="0.25">
      <c r="BP104" s="21">
        <v>102</v>
      </c>
      <c r="BQ104" s="24">
        <v>51</v>
      </c>
      <c r="BR104" s="49" t="s">
        <v>0</v>
      </c>
    </row>
    <row r="105" spans="68:70" ht="39.950000000000003" hidden="1" customHeight="1" x14ac:dyDescent="0.25">
      <c r="BP105" s="21">
        <v>103</v>
      </c>
      <c r="BQ105" s="24">
        <v>51.5</v>
      </c>
      <c r="BR105" s="49" t="s">
        <v>0</v>
      </c>
    </row>
    <row r="106" spans="68:70" ht="39.950000000000003" hidden="1" customHeight="1" x14ac:dyDescent="0.25">
      <c r="BP106" s="21">
        <v>104</v>
      </c>
      <c r="BQ106" s="24">
        <v>52</v>
      </c>
      <c r="BR106" s="49" t="s">
        <v>0</v>
      </c>
    </row>
    <row r="107" spans="68:70" ht="39.950000000000003" hidden="1" customHeight="1" x14ac:dyDescent="0.25">
      <c r="BP107" s="21">
        <v>105</v>
      </c>
      <c r="BQ107" s="24">
        <v>52.5</v>
      </c>
      <c r="BR107" s="49" t="s">
        <v>0</v>
      </c>
    </row>
    <row r="108" spans="68:70" ht="39.950000000000003" hidden="1" customHeight="1" x14ac:dyDescent="0.25">
      <c r="BP108" s="21">
        <v>106</v>
      </c>
      <c r="BQ108" s="24">
        <v>53</v>
      </c>
      <c r="BR108" s="49" t="s">
        <v>0</v>
      </c>
    </row>
    <row r="109" spans="68:70" ht="39.950000000000003" hidden="1" customHeight="1" x14ac:dyDescent="0.25">
      <c r="BP109" s="21">
        <v>107</v>
      </c>
      <c r="BQ109" s="24">
        <v>53.5</v>
      </c>
      <c r="BR109" s="49" t="s">
        <v>0</v>
      </c>
    </row>
    <row r="110" spans="68:70" ht="39.950000000000003" hidden="1" customHeight="1" x14ac:dyDescent="0.25">
      <c r="BP110" s="21">
        <v>108</v>
      </c>
      <c r="BQ110" s="24">
        <v>54</v>
      </c>
      <c r="BR110" s="49" t="s">
        <v>0</v>
      </c>
    </row>
    <row r="111" spans="68:70" ht="39.950000000000003" hidden="1" customHeight="1" x14ac:dyDescent="0.25">
      <c r="BP111" s="21">
        <v>109</v>
      </c>
      <c r="BQ111" s="24">
        <v>54.5</v>
      </c>
      <c r="BR111" s="49" t="s">
        <v>0</v>
      </c>
    </row>
    <row r="112" spans="68:70" ht="39.950000000000003" hidden="1" customHeight="1" x14ac:dyDescent="0.25">
      <c r="BP112" s="21">
        <v>110</v>
      </c>
      <c r="BQ112" s="24">
        <v>55</v>
      </c>
      <c r="BR112" s="49" t="s">
        <v>0</v>
      </c>
    </row>
    <row r="113" spans="68:70" ht="39.950000000000003" hidden="1" customHeight="1" x14ac:dyDescent="0.25">
      <c r="BP113" s="21">
        <v>111</v>
      </c>
      <c r="BQ113" s="24">
        <v>55.5</v>
      </c>
      <c r="BR113" s="49" t="s">
        <v>0</v>
      </c>
    </row>
    <row r="114" spans="68:70" ht="39.950000000000003" hidden="1" customHeight="1" x14ac:dyDescent="0.25">
      <c r="BP114" s="21">
        <v>112</v>
      </c>
      <c r="BQ114" s="24">
        <v>56</v>
      </c>
      <c r="BR114" s="49" t="s">
        <v>0</v>
      </c>
    </row>
    <row r="115" spans="68:70" ht="39.950000000000003" hidden="1" customHeight="1" x14ac:dyDescent="0.25">
      <c r="BP115" s="21">
        <v>113</v>
      </c>
      <c r="BQ115" s="24">
        <v>56.5</v>
      </c>
      <c r="BR115" s="49" t="s">
        <v>0</v>
      </c>
    </row>
    <row r="116" spans="68:70" ht="39.950000000000003" hidden="1" customHeight="1" x14ac:dyDescent="0.25">
      <c r="BP116" s="21">
        <v>114</v>
      </c>
      <c r="BQ116" s="24">
        <v>57</v>
      </c>
      <c r="BR116" s="49" t="s">
        <v>0</v>
      </c>
    </row>
    <row r="117" spans="68:70" ht="39.950000000000003" hidden="1" customHeight="1" x14ac:dyDescent="0.25">
      <c r="BP117" s="21">
        <v>115</v>
      </c>
      <c r="BQ117" s="24">
        <v>57.5</v>
      </c>
      <c r="BR117" s="49" t="s">
        <v>0</v>
      </c>
    </row>
    <row r="118" spans="68:70" ht="39.950000000000003" hidden="1" customHeight="1" x14ac:dyDescent="0.25">
      <c r="BP118" s="21">
        <v>116</v>
      </c>
      <c r="BQ118" s="24">
        <v>58</v>
      </c>
      <c r="BR118" s="49" t="s">
        <v>0</v>
      </c>
    </row>
    <row r="119" spans="68:70" ht="39.950000000000003" hidden="1" customHeight="1" x14ac:dyDescent="0.25">
      <c r="BP119" s="21">
        <v>117</v>
      </c>
      <c r="BQ119" s="24">
        <v>58.5</v>
      </c>
      <c r="BR119" s="49" t="s">
        <v>0</v>
      </c>
    </row>
    <row r="120" spans="68:70" ht="39.950000000000003" hidden="1" customHeight="1" x14ac:dyDescent="0.25">
      <c r="BP120" s="21">
        <v>118</v>
      </c>
      <c r="BQ120" s="24">
        <v>59</v>
      </c>
      <c r="BR120" s="49" t="s">
        <v>0</v>
      </c>
    </row>
    <row r="121" spans="68:70" ht="39.950000000000003" hidden="1" customHeight="1" x14ac:dyDescent="0.25">
      <c r="BP121" s="21">
        <v>119</v>
      </c>
      <c r="BQ121" s="24">
        <v>59.5</v>
      </c>
      <c r="BR121" s="49" t="s">
        <v>0</v>
      </c>
    </row>
    <row r="122" spans="68:70" ht="39.950000000000003" hidden="1" customHeight="1" x14ac:dyDescent="0.25">
      <c r="BP122" s="21">
        <v>120</v>
      </c>
      <c r="BQ122" s="24">
        <v>60</v>
      </c>
      <c r="BR122" s="49" t="s">
        <v>0</v>
      </c>
    </row>
    <row r="123" spans="68:70" ht="39.950000000000003" hidden="1" customHeight="1" x14ac:dyDescent="0.25">
      <c r="BP123" s="21">
        <v>121</v>
      </c>
      <c r="BQ123" s="24">
        <v>60.5</v>
      </c>
      <c r="BR123" s="49" t="s">
        <v>0</v>
      </c>
    </row>
    <row r="124" spans="68:70" ht="39.950000000000003" hidden="1" customHeight="1" x14ac:dyDescent="0.25">
      <c r="BP124" s="21">
        <v>122</v>
      </c>
      <c r="BQ124" s="24">
        <v>61</v>
      </c>
      <c r="BR124" s="49" t="s">
        <v>0</v>
      </c>
    </row>
    <row r="125" spans="68:70" ht="39.950000000000003" hidden="1" customHeight="1" x14ac:dyDescent="0.25">
      <c r="BP125" s="21">
        <v>123</v>
      </c>
      <c r="BQ125" s="24">
        <v>61.5</v>
      </c>
      <c r="BR125" s="49" t="s">
        <v>0</v>
      </c>
    </row>
    <row r="126" spans="68:70" ht="39.950000000000003" hidden="1" customHeight="1" x14ac:dyDescent="0.25">
      <c r="BP126" s="21">
        <v>124</v>
      </c>
      <c r="BQ126" s="24">
        <v>62</v>
      </c>
      <c r="BR126" s="49" t="s">
        <v>0</v>
      </c>
    </row>
    <row r="127" spans="68:70" ht="39.950000000000003" hidden="1" customHeight="1" x14ac:dyDescent="0.25">
      <c r="BP127" s="21">
        <v>125</v>
      </c>
      <c r="BQ127" s="24">
        <v>62.5</v>
      </c>
      <c r="BR127" s="49" t="s">
        <v>0</v>
      </c>
    </row>
    <row r="128" spans="68:70" ht="39.950000000000003" hidden="1" customHeight="1" x14ac:dyDescent="0.25">
      <c r="BP128" s="21">
        <v>126</v>
      </c>
      <c r="BQ128" s="24">
        <v>63</v>
      </c>
      <c r="BR128" s="49" t="s">
        <v>0</v>
      </c>
    </row>
    <row r="129" spans="68:70" ht="39.950000000000003" hidden="1" customHeight="1" x14ac:dyDescent="0.25">
      <c r="BP129" s="21">
        <v>127</v>
      </c>
      <c r="BQ129" s="24">
        <v>63.5</v>
      </c>
      <c r="BR129" s="49" t="s">
        <v>0</v>
      </c>
    </row>
    <row r="130" spans="68:70" ht="39.950000000000003" hidden="1" customHeight="1" x14ac:dyDescent="0.25">
      <c r="BP130" s="21">
        <v>128</v>
      </c>
      <c r="BQ130" s="24">
        <v>64</v>
      </c>
      <c r="BR130" s="49" t="s">
        <v>0</v>
      </c>
    </row>
    <row r="131" spans="68:70" ht="39.950000000000003" hidden="1" customHeight="1" x14ac:dyDescent="0.25">
      <c r="BP131" s="21">
        <v>129</v>
      </c>
      <c r="BQ131" s="24">
        <v>64.5</v>
      </c>
      <c r="BR131" s="49" t="s">
        <v>0</v>
      </c>
    </row>
    <row r="132" spans="68:70" ht="39.950000000000003" hidden="1" customHeight="1" x14ac:dyDescent="0.25">
      <c r="BP132" s="21">
        <v>130</v>
      </c>
      <c r="BQ132" s="24">
        <v>65</v>
      </c>
      <c r="BR132" s="49" t="s">
        <v>0</v>
      </c>
    </row>
    <row r="133" spans="68:70" ht="39.950000000000003" hidden="1" customHeight="1" x14ac:dyDescent="0.25">
      <c r="BP133" s="21">
        <v>131</v>
      </c>
      <c r="BQ133" s="24">
        <v>65.5</v>
      </c>
      <c r="BR133" s="49" t="s">
        <v>0</v>
      </c>
    </row>
    <row r="134" spans="68:70" ht="39.950000000000003" hidden="1" customHeight="1" x14ac:dyDescent="0.25">
      <c r="BP134" s="21">
        <v>132</v>
      </c>
      <c r="BQ134" s="24">
        <v>66</v>
      </c>
      <c r="BR134" s="49" t="s">
        <v>0</v>
      </c>
    </row>
    <row r="135" spans="68:70" ht="39.950000000000003" hidden="1" customHeight="1" x14ac:dyDescent="0.25">
      <c r="BP135" s="21">
        <v>133</v>
      </c>
      <c r="BQ135" s="24">
        <v>66.5</v>
      </c>
      <c r="BR135" s="49" t="s">
        <v>0</v>
      </c>
    </row>
    <row r="136" spans="68:70" ht="39.950000000000003" hidden="1" customHeight="1" x14ac:dyDescent="0.25">
      <c r="BP136" s="21">
        <v>134</v>
      </c>
      <c r="BQ136" s="24">
        <v>67</v>
      </c>
      <c r="BR136" s="49" t="s">
        <v>0</v>
      </c>
    </row>
    <row r="137" spans="68:70" ht="39.950000000000003" hidden="1" customHeight="1" x14ac:dyDescent="0.25">
      <c r="BP137" s="21">
        <v>135</v>
      </c>
      <c r="BQ137" s="24">
        <v>67.5</v>
      </c>
      <c r="BR137" s="49" t="s">
        <v>0</v>
      </c>
    </row>
    <row r="138" spans="68:70" ht="39.950000000000003" hidden="1" customHeight="1" x14ac:dyDescent="0.25">
      <c r="BP138" s="21">
        <v>136</v>
      </c>
      <c r="BQ138" s="24">
        <v>68</v>
      </c>
      <c r="BR138" s="49" t="s">
        <v>0</v>
      </c>
    </row>
    <row r="139" spans="68:70" ht="39.950000000000003" hidden="1" customHeight="1" x14ac:dyDescent="0.25">
      <c r="BP139" s="21">
        <v>137</v>
      </c>
      <c r="BQ139" s="24">
        <v>68.5</v>
      </c>
      <c r="BR139" s="49" t="s">
        <v>0</v>
      </c>
    </row>
    <row r="140" spans="68:70" ht="39.950000000000003" hidden="1" customHeight="1" x14ac:dyDescent="0.25">
      <c r="BP140" s="21">
        <v>138</v>
      </c>
      <c r="BQ140" s="24">
        <v>69</v>
      </c>
      <c r="BR140" s="49" t="s">
        <v>0</v>
      </c>
    </row>
    <row r="141" spans="68:70" ht="39.950000000000003" hidden="1" customHeight="1" x14ac:dyDescent="0.25">
      <c r="BP141" s="21">
        <v>139</v>
      </c>
      <c r="BQ141" s="24">
        <v>69.5</v>
      </c>
      <c r="BR141" s="49" t="s">
        <v>0</v>
      </c>
    </row>
    <row r="142" spans="68:70" ht="39.950000000000003" hidden="1" customHeight="1" x14ac:dyDescent="0.25">
      <c r="BP142" s="21">
        <v>140</v>
      </c>
      <c r="BQ142" s="24">
        <v>70</v>
      </c>
      <c r="BR142" s="49" t="s">
        <v>0</v>
      </c>
    </row>
    <row r="143" spans="68:70" ht="39.950000000000003" hidden="1" customHeight="1" x14ac:dyDescent="0.25">
      <c r="BP143" s="21">
        <v>141</v>
      </c>
      <c r="BQ143" s="24">
        <v>70.5</v>
      </c>
      <c r="BR143" s="49" t="s">
        <v>0</v>
      </c>
    </row>
    <row r="144" spans="68:70" ht="39.950000000000003" hidden="1" customHeight="1" x14ac:dyDescent="0.25">
      <c r="BP144" s="21">
        <v>142</v>
      </c>
      <c r="BQ144" s="24">
        <v>71</v>
      </c>
      <c r="BR144" s="49" t="s">
        <v>0</v>
      </c>
    </row>
    <row r="145" spans="68:70" ht="39.950000000000003" hidden="1" customHeight="1" x14ac:dyDescent="0.25">
      <c r="BP145" s="21">
        <v>143</v>
      </c>
      <c r="BQ145" s="24">
        <v>71.5</v>
      </c>
      <c r="BR145" s="49" t="s">
        <v>0</v>
      </c>
    </row>
    <row r="146" spans="68:70" ht="39.950000000000003" hidden="1" customHeight="1" x14ac:dyDescent="0.25">
      <c r="BP146" s="21">
        <v>144</v>
      </c>
      <c r="BQ146" s="24">
        <v>72</v>
      </c>
      <c r="BR146" s="49" t="s">
        <v>0</v>
      </c>
    </row>
    <row r="147" spans="68:70" ht="39.950000000000003" hidden="1" customHeight="1" x14ac:dyDescent="0.25">
      <c r="BP147" s="21">
        <v>145</v>
      </c>
      <c r="BQ147" s="24">
        <v>72.5</v>
      </c>
      <c r="BR147" s="49" t="s">
        <v>0</v>
      </c>
    </row>
    <row r="148" spans="68:70" ht="39.950000000000003" hidden="1" customHeight="1" x14ac:dyDescent="0.25">
      <c r="BP148" s="21">
        <v>146</v>
      </c>
      <c r="BQ148" s="24">
        <v>73</v>
      </c>
      <c r="BR148" s="49" t="s">
        <v>0</v>
      </c>
    </row>
    <row r="149" spans="68:70" ht="39.950000000000003" hidden="1" customHeight="1" x14ac:dyDescent="0.25">
      <c r="BP149" s="21">
        <v>147</v>
      </c>
      <c r="BQ149" s="24">
        <v>73.5</v>
      </c>
      <c r="BR149" s="49" t="s">
        <v>0</v>
      </c>
    </row>
    <row r="150" spans="68:70" ht="39.950000000000003" hidden="1" customHeight="1" x14ac:dyDescent="0.25">
      <c r="BP150" s="21">
        <v>148</v>
      </c>
      <c r="BQ150" s="24">
        <v>74</v>
      </c>
      <c r="BR150" s="49" t="s">
        <v>0</v>
      </c>
    </row>
    <row r="151" spans="68:70" ht="39.950000000000003" hidden="1" customHeight="1" x14ac:dyDescent="0.25">
      <c r="BP151" s="21">
        <v>149</v>
      </c>
      <c r="BQ151" s="24">
        <v>74.5</v>
      </c>
      <c r="BR151" s="49" t="s">
        <v>0</v>
      </c>
    </row>
    <row r="152" spans="68:70" ht="39.950000000000003" hidden="1" customHeight="1" x14ac:dyDescent="0.25">
      <c r="BP152" s="21">
        <v>150</v>
      </c>
      <c r="BQ152" s="24">
        <v>75</v>
      </c>
      <c r="BR152" s="49" t="s">
        <v>0</v>
      </c>
    </row>
    <row r="153" spans="68:70" ht="39.950000000000003" hidden="1" customHeight="1" x14ac:dyDescent="0.25">
      <c r="BP153" s="21">
        <v>151</v>
      </c>
      <c r="BQ153" s="24">
        <v>75.5</v>
      </c>
      <c r="BR153" s="49" t="s">
        <v>0</v>
      </c>
    </row>
    <row r="154" spans="68:70" ht="39.950000000000003" hidden="1" customHeight="1" x14ac:dyDescent="0.25">
      <c r="BP154" s="21">
        <v>152</v>
      </c>
      <c r="BQ154" s="24">
        <v>76</v>
      </c>
      <c r="BR154" s="49" t="s">
        <v>0</v>
      </c>
    </row>
    <row r="155" spans="68:70" ht="39.950000000000003" hidden="1" customHeight="1" x14ac:dyDescent="0.25">
      <c r="BP155" s="21">
        <v>153</v>
      </c>
      <c r="BQ155" s="24">
        <v>76.5</v>
      </c>
      <c r="BR155" s="49" t="s">
        <v>0</v>
      </c>
    </row>
    <row r="156" spans="68:70" ht="39.950000000000003" hidden="1" customHeight="1" x14ac:dyDescent="0.25">
      <c r="BP156" s="21">
        <v>154</v>
      </c>
      <c r="BQ156" s="24">
        <v>77</v>
      </c>
      <c r="BR156" s="49" t="s">
        <v>0</v>
      </c>
    </row>
    <row r="157" spans="68:70" ht="39.950000000000003" hidden="1" customHeight="1" x14ac:dyDescent="0.25">
      <c r="BP157" s="21">
        <v>155</v>
      </c>
      <c r="BQ157" s="24">
        <v>77.5</v>
      </c>
      <c r="BR157" s="49" t="s">
        <v>0</v>
      </c>
    </row>
    <row r="158" spans="68:70" ht="39.950000000000003" hidden="1" customHeight="1" x14ac:dyDescent="0.25">
      <c r="BP158" s="21">
        <v>156</v>
      </c>
      <c r="BQ158" s="24">
        <v>78</v>
      </c>
      <c r="BR158" s="49" t="s">
        <v>0</v>
      </c>
    </row>
    <row r="159" spans="68:70" ht="39.950000000000003" hidden="1" customHeight="1" x14ac:dyDescent="0.25">
      <c r="BP159" s="21">
        <v>157</v>
      </c>
      <c r="BQ159" s="24">
        <v>78.5</v>
      </c>
      <c r="BR159" s="49" t="s">
        <v>0</v>
      </c>
    </row>
    <row r="160" spans="68:70" ht="39.950000000000003" hidden="1" customHeight="1" x14ac:dyDescent="0.25">
      <c r="BP160" s="21">
        <v>158</v>
      </c>
      <c r="BQ160" s="24">
        <v>79</v>
      </c>
      <c r="BR160" s="49" t="s">
        <v>0</v>
      </c>
    </row>
    <row r="161" spans="68:70" ht="39.950000000000003" hidden="1" customHeight="1" x14ac:dyDescent="0.25">
      <c r="BP161" s="21">
        <v>159</v>
      </c>
      <c r="BQ161" s="24">
        <v>79.5</v>
      </c>
      <c r="BR161" s="49" t="s">
        <v>0</v>
      </c>
    </row>
    <row r="162" spans="68:70" ht="39.950000000000003" hidden="1" customHeight="1" x14ac:dyDescent="0.25">
      <c r="BP162" s="21">
        <v>160</v>
      </c>
      <c r="BQ162" s="24">
        <v>80</v>
      </c>
      <c r="BR162" s="49" t="s">
        <v>0</v>
      </c>
    </row>
    <row r="163" spans="68:70" ht="39.950000000000003" hidden="1" customHeight="1" x14ac:dyDescent="0.25">
      <c r="BP163" s="21">
        <v>161</v>
      </c>
      <c r="BQ163" s="24">
        <v>80.5</v>
      </c>
      <c r="BR163" s="49" t="s">
        <v>0</v>
      </c>
    </row>
    <row r="164" spans="68:70" ht="39.950000000000003" hidden="1" customHeight="1" x14ac:dyDescent="0.25">
      <c r="BP164" s="21">
        <v>162</v>
      </c>
      <c r="BQ164" s="24">
        <v>81</v>
      </c>
      <c r="BR164" s="49" t="s">
        <v>0</v>
      </c>
    </row>
    <row r="165" spans="68:70" ht="39.950000000000003" hidden="1" customHeight="1" x14ac:dyDescent="0.25">
      <c r="BP165" s="21">
        <v>163</v>
      </c>
      <c r="BQ165" s="24">
        <v>81.5</v>
      </c>
      <c r="BR165" s="49" t="s">
        <v>0</v>
      </c>
    </row>
    <row r="166" spans="68:70" ht="39.950000000000003" hidden="1" customHeight="1" x14ac:dyDescent="0.25">
      <c r="BP166" s="21">
        <v>164</v>
      </c>
      <c r="BQ166" s="24">
        <v>82</v>
      </c>
      <c r="BR166" s="49" t="s">
        <v>0</v>
      </c>
    </row>
    <row r="167" spans="68:70" ht="39.950000000000003" hidden="1" customHeight="1" x14ac:dyDescent="0.25">
      <c r="BP167" s="21">
        <v>165</v>
      </c>
      <c r="BQ167" s="24">
        <v>82.5</v>
      </c>
      <c r="BR167" s="49" t="s">
        <v>0</v>
      </c>
    </row>
    <row r="168" spans="68:70" ht="39.950000000000003" hidden="1" customHeight="1" x14ac:dyDescent="0.25">
      <c r="BP168" s="21">
        <v>166</v>
      </c>
      <c r="BQ168" s="24">
        <v>83</v>
      </c>
      <c r="BR168" s="49" t="s">
        <v>0</v>
      </c>
    </row>
    <row r="169" spans="68:70" ht="39.950000000000003" hidden="1" customHeight="1" x14ac:dyDescent="0.25">
      <c r="BP169" s="21">
        <v>167</v>
      </c>
      <c r="BQ169" s="24">
        <v>83.5</v>
      </c>
      <c r="BR169" s="49" t="s">
        <v>0</v>
      </c>
    </row>
    <row r="170" spans="68:70" ht="39.950000000000003" hidden="1" customHeight="1" x14ac:dyDescent="0.25">
      <c r="BP170" s="21">
        <v>168</v>
      </c>
      <c r="BQ170" s="24">
        <v>84</v>
      </c>
      <c r="BR170" s="49" t="s">
        <v>0</v>
      </c>
    </row>
    <row r="171" spans="68:70" ht="39.950000000000003" hidden="1" customHeight="1" x14ac:dyDescent="0.25">
      <c r="BP171" s="21">
        <v>169</v>
      </c>
      <c r="BQ171" s="24">
        <v>84.5</v>
      </c>
      <c r="BR171" s="49" t="s">
        <v>0</v>
      </c>
    </row>
    <row r="172" spans="68:70" ht="39.950000000000003" hidden="1" customHeight="1" x14ac:dyDescent="0.25">
      <c r="BP172" s="21">
        <v>170</v>
      </c>
      <c r="BQ172" s="24">
        <v>85</v>
      </c>
      <c r="BR172" s="49" t="s">
        <v>0</v>
      </c>
    </row>
    <row r="173" spans="68:70" ht="39.950000000000003" hidden="1" customHeight="1" x14ac:dyDescent="0.25">
      <c r="BP173" s="21">
        <v>171</v>
      </c>
      <c r="BQ173" s="24">
        <v>85.5</v>
      </c>
      <c r="BR173" s="49" t="s">
        <v>0</v>
      </c>
    </row>
    <row r="174" spans="68:70" ht="39.950000000000003" hidden="1" customHeight="1" x14ac:dyDescent="0.25">
      <c r="BP174" s="21">
        <v>172</v>
      </c>
      <c r="BQ174" s="24">
        <v>86</v>
      </c>
      <c r="BR174" s="49" t="s">
        <v>0</v>
      </c>
    </row>
    <row r="175" spans="68:70" ht="39.950000000000003" hidden="1" customHeight="1" x14ac:dyDescent="0.25">
      <c r="BP175" s="21">
        <v>173</v>
      </c>
      <c r="BQ175" s="24">
        <v>86.5</v>
      </c>
      <c r="BR175" s="49" t="s">
        <v>0</v>
      </c>
    </row>
    <row r="176" spans="68:70" ht="39.950000000000003" hidden="1" customHeight="1" x14ac:dyDescent="0.25">
      <c r="BP176" s="21">
        <v>174</v>
      </c>
      <c r="BQ176" s="24">
        <v>87</v>
      </c>
      <c r="BR176" s="49" t="s">
        <v>0</v>
      </c>
    </row>
    <row r="177" spans="68:70" ht="39.950000000000003" hidden="1" customHeight="1" x14ac:dyDescent="0.25">
      <c r="BP177" s="21">
        <v>175</v>
      </c>
      <c r="BQ177" s="24">
        <v>87.5</v>
      </c>
      <c r="BR177" s="49" t="s">
        <v>0</v>
      </c>
    </row>
    <row r="178" spans="68:70" ht="39.950000000000003" hidden="1" customHeight="1" x14ac:dyDescent="0.25">
      <c r="BP178" s="21">
        <v>176</v>
      </c>
      <c r="BQ178" s="24">
        <v>88</v>
      </c>
      <c r="BR178" s="49" t="s">
        <v>0</v>
      </c>
    </row>
    <row r="179" spans="68:70" ht="39.950000000000003" hidden="1" customHeight="1" x14ac:dyDescent="0.25">
      <c r="BP179" s="21">
        <v>177</v>
      </c>
      <c r="BQ179" s="24">
        <v>88.5</v>
      </c>
      <c r="BR179" s="49" t="s">
        <v>0</v>
      </c>
    </row>
    <row r="180" spans="68:70" ht="39.950000000000003" hidden="1" customHeight="1" x14ac:dyDescent="0.25">
      <c r="BP180" s="21">
        <v>178</v>
      </c>
      <c r="BQ180" s="24">
        <v>89</v>
      </c>
      <c r="BR180" s="49" t="s">
        <v>0</v>
      </c>
    </row>
    <row r="181" spans="68:70" ht="39.950000000000003" hidden="1" customHeight="1" x14ac:dyDescent="0.25">
      <c r="BP181" s="21">
        <v>179</v>
      </c>
      <c r="BQ181" s="24">
        <v>89.5</v>
      </c>
      <c r="BR181" s="49" t="s">
        <v>0</v>
      </c>
    </row>
    <row r="182" spans="68:70" ht="39.950000000000003" hidden="1" customHeight="1" x14ac:dyDescent="0.25">
      <c r="BP182" s="21">
        <v>180</v>
      </c>
      <c r="BQ182" s="24">
        <v>90</v>
      </c>
      <c r="BR182" s="49" t="s">
        <v>0</v>
      </c>
    </row>
    <row r="183" spans="68:70" ht="39.950000000000003" hidden="1" customHeight="1" x14ac:dyDescent="0.25">
      <c r="BP183" s="21">
        <v>181</v>
      </c>
      <c r="BQ183" s="24">
        <v>90.5</v>
      </c>
      <c r="BR183" s="49" t="s">
        <v>0</v>
      </c>
    </row>
    <row r="184" spans="68:70" ht="39.950000000000003" hidden="1" customHeight="1" x14ac:dyDescent="0.25">
      <c r="BP184" s="21">
        <v>182</v>
      </c>
      <c r="BQ184" s="24">
        <v>91</v>
      </c>
      <c r="BR184" s="49" t="s">
        <v>0</v>
      </c>
    </row>
    <row r="185" spans="68:70" ht="39.950000000000003" hidden="1" customHeight="1" x14ac:dyDescent="0.25">
      <c r="BP185" s="21">
        <v>183</v>
      </c>
      <c r="BQ185" s="24">
        <v>91.5</v>
      </c>
      <c r="BR185" s="49" t="s">
        <v>0</v>
      </c>
    </row>
    <row r="186" spans="68:70" ht="39.950000000000003" hidden="1" customHeight="1" x14ac:dyDescent="0.25">
      <c r="BP186" s="21">
        <v>184</v>
      </c>
      <c r="BQ186" s="24">
        <v>92</v>
      </c>
      <c r="BR186" s="49" t="s">
        <v>0</v>
      </c>
    </row>
    <row r="187" spans="68:70" ht="39.950000000000003" hidden="1" customHeight="1" x14ac:dyDescent="0.25">
      <c r="BP187" s="21">
        <v>185</v>
      </c>
      <c r="BQ187" s="24">
        <v>92.5</v>
      </c>
      <c r="BR187" s="49" t="s">
        <v>0</v>
      </c>
    </row>
    <row r="188" spans="68:70" ht="39.950000000000003" hidden="1" customHeight="1" x14ac:dyDescent="0.25">
      <c r="BP188" s="21">
        <v>186</v>
      </c>
      <c r="BQ188" s="24">
        <v>93</v>
      </c>
      <c r="BR188" s="49" t="s">
        <v>0</v>
      </c>
    </row>
    <row r="189" spans="68:70" ht="39.950000000000003" hidden="1" customHeight="1" x14ac:dyDescent="0.25">
      <c r="BP189" s="21">
        <v>187</v>
      </c>
      <c r="BQ189" s="24">
        <v>93.5</v>
      </c>
      <c r="BR189" s="49" t="s">
        <v>0</v>
      </c>
    </row>
    <row r="190" spans="68:70" ht="39.950000000000003" hidden="1" customHeight="1" x14ac:dyDescent="0.25">
      <c r="BP190" s="21">
        <v>188</v>
      </c>
      <c r="BQ190" s="24">
        <v>94</v>
      </c>
      <c r="BR190" s="49" t="s">
        <v>0</v>
      </c>
    </row>
    <row r="191" spans="68:70" ht="39.950000000000003" hidden="1" customHeight="1" x14ac:dyDescent="0.25">
      <c r="BP191" s="21">
        <v>189</v>
      </c>
      <c r="BQ191" s="24">
        <v>94.5</v>
      </c>
      <c r="BR191" s="49" t="s">
        <v>0</v>
      </c>
    </row>
    <row r="192" spans="68:70" ht="39.950000000000003" hidden="1" customHeight="1" x14ac:dyDescent="0.25">
      <c r="BP192" s="21">
        <v>190</v>
      </c>
      <c r="BQ192" s="24">
        <v>95</v>
      </c>
      <c r="BR192" s="49" t="s">
        <v>0</v>
      </c>
    </row>
    <row r="193" spans="68:70" ht="39.950000000000003" hidden="1" customHeight="1" x14ac:dyDescent="0.25">
      <c r="BP193" s="21">
        <v>191</v>
      </c>
      <c r="BQ193" s="24">
        <v>95.5</v>
      </c>
      <c r="BR193" s="49" t="s">
        <v>0</v>
      </c>
    </row>
    <row r="194" spans="68:70" ht="39.950000000000003" hidden="1" customHeight="1" x14ac:dyDescent="0.25">
      <c r="BP194" s="21">
        <v>192</v>
      </c>
      <c r="BQ194" s="24">
        <v>96</v>
      </c>
      <c r="BR194" s="49" t="s">
        <v>0</v>
      </c>
    </row>
    <row r="195" spans="68:70" ht="39.950000000000003" hidden="1" customHeight="1" x14ac:dyDescent="0.25">
      <c r="BP195" s="21">
        <v>193</v>
      </c>
      <c r="BQ195" s="24">
        <v>96.5</v>
      </c>
      <c r="BR195" s="49" t="s">
        <v>0</v>
      </c>
    </row>
    <row r="196" spans="68:70" ht="39.950000000000003" hidden="1" customHeight="1" x14ac:dyDescent="0.25">
      <c r="BP196" s="21">
        <v>194</v>
      </c>
      <c r="BQ196" s="24">
        <v>97</v>
      </c>
      <c r="BR196" s="49" t="s">
        <v>0</v>
      </c>
    </row>
    <row r="197" spans="68:70" ht="39.950000000000003" hidden="1" customHeight="1" x14ac:dyDescent="0.25">
      <c r="BP197" s="21">
        <v>195</v>
      </c>
      <c r="BQ197" s="24">
        <v>97.5</v>
      </c>
      <c r="BR197" s="49" t="s">
        <v>0</v>
      </c>
    </row>
    <row r="198" spans="68:70" ht="39.950000000000003" hidden="1" customHeight="1" x14ac:dyDescent="0.25">
      <c r="BP198" s="21">
        <v>196</v>
      </c>
      <c r="BQ198" s="24">
        <v>98</v>
      </c>
      <c r="BR198" s="49" t="s">
        <v>0</v>
      </c>
    </row>
    <row r="199" spans="68:70" ht="39.950000000000003" hidden="1" customHeight="1" x14ac:dyDescent="0.25">
      <c r="BP199" s="21">
        <v>197</v>
      </c>
      <c r="BQ199" s="24">
        <v>98.5</v>
      </c>
      <c r="BR199" s="49" t="s">
        <v>0</v>
      </c>
    </row>
    <row r="200" spans="68:70" ht="39.950000000000003" hidden="1" customHeight="1" x14ac:dyDescent="0.25">
      <c r="BP200" s="21">
        <v>198</v>
      </c>
      <c r="BQ200" s="24">
        <v>99</v>
      </c>
      <c r="BR200" s="49" t="s">
        <v>0</v>
      </c>
    </row>
    <row r="201" spans="68:70" ht="39.950000000000003" hidden="1" customHeight="1" x14ac:dyDescent="0.25">
      <c r="BP201" s="21">
        <v>199</v>
      </c>
      <c r="BQ201" s="24">
        <v>99.5</v>
      </c>
      <c r="BR201" s="49" t="s">
        <v>0</v>
      </c>
    </row>
    <row r="202" spans="68:70" ht="39.950000000000003" hidden="1" customHeight="1" x14ac:dyDescent="0.25">
      <c r="BP202" s="21">
        <v>200</v>
      </c>
      <c r="BQ202" s="24">
        <v>100</v>
      </c>
      <c r="BR202" s="49" t="s">
        <v>0</v>
      </c>
    </row>
    <row r="203" spans="68:70" ht="39.950000000000003" hidden="1" customHeight="1" x14ac:dyDescent="0.25">
      <c r="BP203" s="21">
        <v>201</v>
      </c>
      <c r="BQ203" s="24">
        <v>100.5</v>
      </c>
      <c r="BR203" s="49" t="s">
        <v>0</v>
      </c>
    </row>
    <row r="204" spans="68:70" ht="39.950000000000003" hidden="1" customHeight="1" x14ac:dyDescent="0.25">
      <c r="BP204" s="21">
        <v>202</v>
      </c>
      <c r="BQ204" s="24">
        <v>101</v>
      </c>
      <c r="BR204" s="49" t="s">
        <v>0</v>
      </c>
    </row>
    <row r="205" spans="68:70" ht="39.950000000000003" hidden="1" customHeight="1" x14ac:dyDescent="0.25">
      <c r="BP205" s="21">
        <v>203</v>
      </c>
      <c r="BQ205" s="24">
        <v>101.5</v>
      </c>
      <c r="BR205" s="49" t="s">
        <v>0</v>
      </c>
    </row>
    <row r="206" spans="68:70" ht="39.950000000000003" hidden="1" customHeight="1" x14ac:dyDescent="0.25">
      <c r="BP206" s="21">
        <v>204</v>
      </c>
      <c r="BQ206" s="24">
        <v>102</v>
      </c>
      <c r="BR206" s="49" t="s">
        <v>0</v>
      </c>
    </row>
    <row r="207" spans="68:70" ht="39.950000000000003" hidden="1" customHeight="1" x14ac:dyDescent="0.25">
      <c r="BP207" s="21">
        <v>205</v>
      </c>
      <c r="BQ207" s="24">
        <v>102.5</v>
      </c>
      <c r="BR207" s="49" t="s">
        <v>0</v>
      </c>
    </row>
    <row r="208" spans="68:70" ht="39.950000000000003" hidden="1" customHeight="1" x14ac:dyDescent="0.25">
      <c r="BP208" s="21">
        <v>206</v>
      </c>
      <c r="BQ208" s="24">
        <v>103</v>
      </c>
      <c r="BR208" s="49" t="s">
        <v>0</v>
      </c>
    </row>
    <row r="209" spans="68:70" ht="39.950000000000003" hidden="1" customHeight="1" x14ac:dyDescent="0.25">
      <c r="BP209" s="21">
        <v>207</v>
      </c>
      <c r="BQ209" s="24">
        <v>103.5</v>
      </c>
      <c r="BR209" s="49" t="s">
        <v>0</v>
      </c>
    </row>
    <row r="210" spans="68:70" ht="39.950000000000003" hidden="1" customHeight="1" x14ac:dyDescent="0.25">
      <c r="BP210" s="21">
        <v>208</v>
      </c>
      <c r="BQ210" s="24">
        <v>104</v>
      </c>
      <c r="BR210" s="49" t="s">
        <v>0</v>
      </c>
    </row>
    <row r="211" spans="68:70" ht="39.950000000000003" hidden="1" customHeight="1" x14ac:dyDescent="0.25">
      <c r="BP211" s="21">
        <v>209</v>
      </c>
      <c r="BQ211" s="24">
        <v>104.5</v>
      </c>
      <c r="BR211" s="49" t="s">
        <v>0</v>
      </c>
    </row>
    <row r="212" spans="68:70" ht="39.950000000000003" hidden="1" customHeight="1" x14ac:dyDescent="0.25">
      <c r="BP212" s="21">
        <v>210</v>
      </c>
      <c r="BQ212" s="24">
        <v>105</v>
      </c>
      <c r="BR212" s="49" t="s">
        <v>0</v>
      </c>
    </row>
    <row r="213" spans="68:70" ht="39.950000000000003" hidden="1" customHeight="1" x14ac:dyDescent="0.25">
      <c r="BP213" s="21">
        <v>211</v>
      </c>
      <c r="BQ213" s="24">
        <v>105.5</v>
      </c>
      <c r="BR213" s="49" t="s">
        <v>0</v>
      </c>
    </row>
    <row r="214" spans="68:70" ht="39.950000000000003" hidden="1" customHeight="1" x14ac:dyDescent="0.25">
      <c r="BP214" s="21">
        <v>212</v>
      </c>
      <c r="BQ214" s="24">
        <v>106</v>
      </c>
      <c r="BR214" s="49" t="s">
        <v>0</v>
      </c>
    </row>
    <row r="215" spans="68:70" ht="39.950000000000003" hidden="1" customHeight="1" x14ac:dyDescent="0.25">
      <c r="BP215" s="21">
        <v>213</v>
      </c>
      <c r="BQ215" s="24">
        <v>106.5</v>
      </c>
      <c r="BR215" s="49" t="s">
        <v>0</v>
      </c>
    </row>
    <row r="216" spans="68:70" ht="39.950000000000003" hidden="1" customHeight="1" x14ac:dyDescent="0.25">
      <c r="BP216" s="21">
        <v>214</v>
      </c>
      <c r="BQ216" s="24">
        <v>107</v>
      </c>
      <c r="BR216" s="49" t="s">
        <v>0</v>
      </c>
    </row>
    <row r="217" spans="68:70" ht="39.950000000000003" hidden="1" customHeight="1" x14ac:dyDescent="0.25">
      <c r="BP217" s="21">
        <v>215</v>
      </c>
      <c r="BQ217" s="24">
        <v>107.5</v>
      </c>
      <c r="BR217" s="49" t="s">
        <v>0</v>
      </c>
    </row>
    <row r="218" spans="68:70" ht="39.950000000000003" hidden="1" customHeight="1" x14ac:dyDescent="0.25">
      <c r="BP218" s="21">
        <v>216</v>
      </c>
      <c r="BQ218" s="24">
        <v>108</v>
      </c>
      <c r="BR218" s="49" t="s">
        <v>0</v>
      </c>
    </row>
    <row r="219" spans="68:70" ht="39.950000000000003" hidden="1" customHeight="1" x14ac:dyDescent="0.25">
      <c r="BP219" s="21">
        <v>217</v>
      </c>
      <c r="BQ219" s="24">
        <v>108.5</v>
      </c>
      <c r="BR219" s="49" t="s">
        <v>0</v>
      </c>
    </row>
    <row r="220" spans="68:70" ht="39.950000000000003" hidden="1" customHeight="1" x14ac:dyDescent="0.25">
      <c r="BP220" s="21">
        <v>218</v>
      </c>
      <c r="BQ220" s="24">
        <v>109</v>
      </c>
      <c r="BR220" s="49" t="s">
        <v>0</v>
      </c>
    </row>
    <row r="221" spans="68:70" ht="39.950000000000003" hidden="1" customHeight="1" x14ac:dyDescent="0.25">
      <c r="BP221" s="21">
        <v>219</v>
      </c>
      <c r="BQ221" s="24">
        <v>109.5</v>
      </c>
      <c r="BR221" s="49" t="s">
        <v>0</v>
      </c>
    </row>
    <row r="222" spans="68:70" ht="39.950000000000003" hidden="1" customHeight="1" x14ac:dyDescent="0.25">
      <c r="BP222" s="21">
        <v>220</v>
      </c>
      <c r="BQ222" s="24">
        <v>110</v>
      </c>
      <c r="BR222" s="49" t="s">
        <v>0</v>
      </c>
    </row>
    <row r="223" spans="68:70" ht="39.950000000000003" hidden="1" customHeight="1" x14ac:dyDescent="0.25">
      <c r="BP223" s="21">
        <v>221</v>
      </c>
      <c r="BQ223" s="24">
        <v>110.5</v>
      </c>
      <c r="BR223" s="49" t="s">
        <v>0</v>
      </c>
    </row>
    <row r="224" spans="68:70" ht="39.950000000000003" hidden="1" customHeight="1" x14ac:dyDescent="0.25">
      <c r="BP224" s="21">
        <v>222</v>
      </c>
      <c r="BQ224" s="24">
        <v>111</v>
      </c>
      <c r="BR224" s="49" t="s">
        <v>0</v>
      </c>
    </row>
    <row r="225" spans="68:70" ht="39.950000000000003" hidden="1" customHeight="1" x14ac:dyDescent="0.25">
      <c r="BP225" s="21">
        <v>223</v>
      </c>
      <c r="BQ225" s="24">
        <v>111.5</v>
      </c>
      <c r="BR225" s="49" t="s">
        <v>0</v>
      </c>
    </row>
    <row r="226" spans="68:70" ht="39.950000000000003" hidden="1" customHeight="1" x14ac:dyDescent="0.25">
      <c r="BP226" s="21">
        <v>224</v>
      </c>
      <c r="BQ226" s="24">
        <v>112</v>
      </c>
      <c r="BR226" s="49" t="s">
        <v>0</v>
      </c>
    </row>
    <row r="227" spans="68:70" ht="39.950000000000003" hidden="1" customHeight="1" x14ac:dyDescent="0.25">
      <c r="BP227" s="21">
        <v>225</v>
      </c>
      <c r="BQ227" s="24">
        <v>112.5</v>
      </c>
      <c r="BR227" s="49" t="s">
        <v>0</v>
      </c>
    </row>
    <row r="228" spans="68:70" ht="39.950000000000003" hidden="1" customHeight="1" x14ac:dyDescent="0.25">
      <c r="BP228" s="21">
        <v>226</v>
      </c>
      <c r="BQ228" s="24">
        <v>113</v>
      </c>
      <c r="BR228" s="49" t="s">
        <v>0</v>
      </c>
    </row>
    <row r="229" spans="68:70" ht="39.950000000000003" hidden="1" customHeight="1" x14ac:dyDescent="0.25">
      <c r="BP229" s="21">
        <v>227</v>
      </c>
      <c r="BQ229" s="24">
        <v>113.5</v>
      </c>
      <c r="BR229" s="49" t="s">
        <v>0</v>
      </c>
    </row>
    <row r="230" spans="68:70" ht="39.950000000000003" hidden="1" customHeight="1" x14ac:dyDescent="0.25">
      <c r="BP230" s="21">
        <v>228</v>
      </c>
      <c r="BQ230" s="24">
        <v>114</v>
      </c>
      <c r="BR230" s="49" t="s">
        <v>0</v>
      </c>
    </row>
    <row r="231" spans="68:70" ht="39.950000000000003" hidden="1" customHeight="1" x14ac:dyDescent="0.25">
      <c r="BP231" s="21">
        <v>229</v>
      </c>
      <c r="BQ231" s="24">
        <v>114.5</v>
      </c>
      <c r="BR231" s="49" t="s">
        <v>0</v>
      </c>
    </row>
    <row r="232" spans="68:70" ht="39.950000000000003" hidden="1" customHeight="1" x14ac:dyDescent="0.25">
      <c r="BP232" s="21">
        <v>230</v>
      </c>
      <c r="BQ232" s="24">
        <v>115</v>
      </c>
      <c r="BR232" s="49" t="s">
        <v>0</v>
      </c>
    </row>
    <row r="233" spans="68:70" ht="39.950000000000003" hidden="1" customHeight="1" x14ac:dyDescent="0.25">
      <c r="BP233" s="21">
        <v>231</v>
      </c>
      <c r="BQ233" s="24">
        <v>115.5</v>
      </c>
      <c r="BR233" s="49" t="s">
        <v>0</v>
      </c>
    </row>
    <row r="234" spans="68:70" ht="39.950000000000003" hidden="1" customHeight="1" x14ac:dyDescent="0.25">
      <c r="BP234" s="21">
        <v>232</v>
      </c>
      <c r="BQ234" s="24">
        <v>116</v>
      </c>
      <c r="BR234" s="49" t="s">
        <v>0</v>
      </c>
    </row>
    <row r="235" spans="68:70" ht="39.950000000000003" hidden="1" customHeight="1" x14ac:dyDescent="0.25">
      <c r="BP235" s="21">
        <v>233</v>
      </c>
      <c r="BQ235" s="24">
        <v>116.5</v>
      </c>
      <c r="BR235" s="49" t="s">
        <v>0</v>
      </c>
    </row>
    <row r="236" spans="68:70" ht="39.950000000000003" hidden="1" customHeight="1" x14ac:dyDescent="0.25">
      <c r="BP236" s="21">
        <v>234</v>
      </c>
      <c r="BQ236" s="24">
        <v>117</v>
      </c>
      <c r="BR236" s="49" t="s">
        <v>0</v>
      </c>
    </row>
    <row r="237" spans="68:70" ht="39.950000000000003" hidden="1" customHeight="1" x14ac:dyDescent="0.25">
      <c r="BP237" s="21">
        <v>235</v>
      </c>
      <c r="BQ237" s="24">
        <v>117.5</v>
      </c>
      <c r="BR237" s="49" t="s">
        <v>0</v>
      </c>
    </row>
    <row r="238" spans="68:70" ht="39.950000000000003" hidden="1" customHeight="1" x14ac:dyDescent="0.25">
      <c r="BP238" s="21">
        <v>236</v>
      </c>
      <c r="BQ238" s="24">
        <v>118</v>
      </c>
      <c r="BR238" s="49" t="s">
        <v>0</v>
      </c>
    </row>
    <row r="239" spans="68:70" ht="39.950000000000003" hidden="1" customHeight="1" x14ac:dyDescent="0.25">
      <c r="BP239" s="21">
        <v>237</v>
      </c>
      <c r="BQ239" s="24">
        <v>118.5</v>
      </c>
      <c r="BR239" s="49" t="s">
        <v>0</v>
      </c>
    </row>
    <row r="240" spans="68:70" ht="39.950000000000003" hidden="1" customHeight="1" x14ac:dyDescent="0.25">
      <c r="BP240" s="21">
        <v>238</v>
      </c>
      <c r="BQ240" s="24">
        <v>119</v>
      </c>
      <c r="BR240" s="49" t="s">
        <v>0</v>
      </c>
    </row>
    <row r="241" spans="1:70" ht="39.950000000000003" hidden="1" customHeight="1" x14ac:dyDescent="0.25">
      <c r="BP241" s="21">
        <v>239</v>
      </c>
      <c r="BQ241" s="24">
        <v>119.5</v>
      </c>
      <c r="BR241" s="49" t="s">
        <v>0</v>
      </c>
    </row>
    <row r="242" spans="1:70" ht="39.950000000000003" hidden="1" customHeight="1" x14ac:dyDescent="0.25">
      <c r="BP242" s="21">
        <v>240</v>
      </c>
      <c r="BQ242" s="24">
        <v>120</v>
      </c>
      <c r="BR242" s="49" t="s">
        <v>0</v>
      </c>
    </row>
    <row r="243" spans="1:70" ht="39.950000000000003" hidden="1" customHeight="1" x14ac:dyDescent="0.25">
      <c r="BP243" s="21">
        <v>241</v>
      </c>
      <c r="BQ243" s="24">
        <v>120.5</v>
      </c>
      <c r="BR243" s="49" t="s">
        <v>0</v>
      </c>
    </row>
    <row r="244" spans="1:70" ht="39.950000000000003" hidden="1" customHeight="1" x14ac:dyDescent="0.25">
      <c r="BP244" s="21">
        <v>242</v>
      </c>
      <c r="BQ244" s="24">
        <v>121</v>
      </c>
      <c r="BR244" s="49" t="s">
        <v>0</v>
      </c>
    </row>
    <row r="245" spans="1:70" ht="39.950000000000003" hidden="1" customHeight="1" x14ac:dyDescent="0.25">
      <c r="BP245" s="21">
        <v>243</v>
      </c>
      <c r="BQ245" s="24">
        <v>121.5</v>
      </c>
      <c r="BR245" s="49" t="s">
        <v>0</v>
      </c>
    </row>
    <row r="246" spans="1:70" ht="39.950000000000003" hidden="1" customHeight="1" x14ac:dyDescent="0.25">
      <c r="BP246" s="21">
        <v>244</v>
      </c>
      <c r="BQ246" s="24">
        <v>122</v>
      </c>
      <c r="BR246" s="49" t="s">
        <v>0</v>
      </c>
    </row>
    <row r="247" spans="1:70" ht="39.950000000000003" hidden="1" customHeight="1" x14ac:dyDescent="0.25">
      <c r="BP247" s="21">
        <v>245</v>
      </c>
      <c r="BQ247" s="24">
        <v>122.5</v>
      </c>
      <c r="BR247" s="49" t="s">
        <v>0</v>
      </c>
    </row>
    <row r="248" spans="1:70" ht="39.950000000000003" hidden="1" customHeight="1" x14ac:dyDescent="0.25">
      <c r="BP248" s="21">
        <v>246</v>
      </c>
      <c r="BQ248" s="24">
        <v>123</v>
      </c>
      <c r="BR248" s="49" t="s">
        <v>0</v>
      </c>
    </row>
    <row r="249" spans="1:70" ht="39.950000000000003" hidden="1" customHeight="1" x14ac:dyDescent="0.25">
      <c r="BP249" s="21">
        <v>247</v>
      </c>
      <c r="BQ249" s="24">
        <v>123.5</v>
      </c>
      <c r="BR249" s="49" t="s">
        <v>0</v>
      </c>
    </row>
    <row r="250" spans="1:70" ht="39.950000000000003" hidden="1" customHeight="1" x14ac:dyDescent="0.25">
      <c r="BP250" s="21">
        <v>248</v>
      </c>
      <c r="BQ250" s="24">
        <v>124</v>
      </c>
      <c r="BR250" s="49" t="s">
        <v>0</v>
      </c>
    </row>
    <row r="251" spans="1:70" ht="39.950000000000003" hidden="1" customHeight="1" x14ac:dyDescent="0.25">
      <c r="BP251" s="21">
        <v>249</v>
      </c>
      <c r="BQ251" s="24">
        <v>124.5</v>
      </c>
      <c r="BR251" s="49" t="s">
        <v>0</v>
      </c>
    </row>
    <row r="252" spans="1:70" ht="39.950000000000003" hidden="1" customHeight="1" x14ac:dyDescent="0.25">
      <c r="BP252" s="21">
        <v>250</v>
      </c>
      <c r="BQ252" s="24">
        <v>125</v>
      </c>
      <c r="BR252" s="49" t="s">
        <v>0</v>
      </c>
    </row>
    <row r="253" spans="1:70" ht="39.950000000000003" hidden="1" customHeight="1" x14ac:dyDescent="0.25">
      <c r="BP253" s="21">
        <v>251</v>
      </c>
      <c r="BQ253" s="24">
        <v>125.5</v>
      </c>
      <c r="BR253" s="49" t="s">
        <v>0</v>
      </c>
    </row>
    <row r="254" spans="1:70" s="83" customFormat="1" ht="39.950000000000003" hidden="1" customHeight="1" x14ac:dyDescent="0.25">
      <c r="A254" s="1"/>
      <c r="B254" s="1"/>
      <c r="C254" s="1"/>
      <c r="D254" s="1"/>
      <c r="E254" s="1"/>
      <c r="F254" s="1"/>
      <c r="G254" s="1"/>
      <c r="H254" s="1"/>
      <c r="I254" s="1"/>
      <c r="J254" s="1"/>
      <c r="K254" s="1"/>
      <c r="L254" s="1"/>
      <c r="M254" s="1"/>
      <c r="N254" s="1"/>
      <c r="O254" s="1"/>
      <c r="P254" s="1"/>
      <c r="Q254" s="1"/>
      <c r="R254" s="1"/>
      <c r="S254" s="1"/>
      <c r="T254" s="1"/>
      <c r="U254" s="1"/>
      <c r="V254" s="1"/>
      <c r="W254" s="1"/>
      <c r="X254" s="78"/>
      <c r="Y254" s="21"/>
      <c r="Z254" s="21"/>
      <c r="AA254" s="21"/>
      <c r="AB254" s="21"/>
      <c r="AC254" s="21"/>
      <c r="AD254" s="21"/>
      <c r="AE254" s="21"/>
      <c r="AF254" s="21"/>
      <c r="AG254" s="21"/>
      <c r="AH254" s="21"/>
      <c r="AI254" s="21"/>
      <c r="AJ254" s="21"/>
      <c r="AK254" s="21"/>
      <c r="AL254" s="21"/>
      <c r="AM254" s="21"/>
      <c r="AN254" s="21"/>
      <c r="AO254" s="21"/>
      <c r="AP254" s="21"/>
      <c r="AQ254" s="21"/>
      <c r="AR254" s="21"/>
      <c r="AS254" s="21"/>
      <c r="AT254" s="21"/>
      <c r="AU254" s="21"/>
      <c r="AV254" s="21"/>
      <c r="AW254" s="21"/>
      <c r="AX254" s="21"/>
      <c r="AY254" s="21"/>
      <c r="AZ254" s="21"/>
      <c r="BA254" s="21"/>
      <c r="BB254" s="21"/>
      <c r="BC254" s="21"/>
      <c r="BD254" s="21"/>
      <c r="BE254" s="21"/>
      <c r="BF254" s="21"/>
      <c r="BG254" s="21"/>
      <c r="BH254" s="21"/>
      <c r="BI254" s="21"/>
      <c r="BJ254" s="21"/>
      <c r="BK254" s="21"/>
      <c r="BL254" s="21"/>
      <c r="BM254" s="21"/>
      <c r="BN254" s="21"/>
      <c r="BO254" s="21"/>
      <c r="BP254" s="21">
        <v>252</v>
      </c>
      <c r="BQ254" s="24">
        <v>126</v>
      </c>
      <c r="BR254" s="49" t="s">
        <v>0</v>
      </c>
    </row>
    <row r="255" spans="1:70" s="83" customFormat="1" ht="39.950000000000003" hidden="1" customHeight="1" x14ac:dyDescent="0.25">
      <c r="A255" s="1"/>
      <c r="B255" s="1"/>
      <c r="C255" s="1"/>
      <c r="D255" s="1"/>
      <c r="E255" s="1"/>
      <c r="F255" s="1"/>
      <c r="G255" s="1"/>
      <c r="H255" s="1"/>
      <c r="I255" s="1"/>
      <c r="J255" s="1"/>
      <c r="K255" s="1"/>
      <c r="L255" s="1"/>
      <c r="M255" s="1"/>
      <c r="N255" s="1"/>
      <c r="O255" s="1"/>
      <c r="P255" s="1"/>
      <c r="Q255" s="1"/>
      <c r="R255" s="1"/>
      <c r="S255" s="1"/>
      <c r="T255" s="1"/>
      <c r="U255" s="1"/>
      <c r="V255" s="1"/>
      <c r="W255" s="1"/>
      <c r="X255" s="78"/>
      <c r="Y255" s="21"/>
      <c r="Z255" s="21"/>
      <c r="AA255" s="21"/>
      <c r="AB255" s="21"/>
      <c r="AC255" s="21"/>
      <c r="AD255" s="21"/>
      <c r="AE255" s="21"/>
      <c r="AF255" s="21"/>
      <c r="AG255" s="21"/>
      <c r="AH255" s="21"/>
      <c r="AI255" s="21"/>
      <c r="AJ255" s="21"/>
      <c r="AK255" s="21"/>
      <c r="AL255" s="21"/>
      <c r="AM255" s="21"/>
      <c r="AN255" s="21"/>
      <c r="AO255" s="21"/>
      <c r="AP255" s="21"/>
      <c r="AQ255" s="21"/>
      <c r="AR255" s="21"/>
      <c r="AS255" s="21"/>
      <c r="AT255" s="21"/>
      <c r="AU255" s="21"/>
      <c r="AV255" s="21"/>
      <c r="AW255" s="21"/>
      <c r="AX255" s="21"/>
      <c r="AY255" s="21"/>
      <c r="AZ255" s="21"/>
      <c r="BA255" s="21"/>
      <c r="BB255" s="21"/>
      <c r="BC255" s="21"/>
      <c r="BD255" s="21"/>
      <c r="BE255" s="21"/>
      <c r="BF255" s="21"/>
      <c r="BG255" s="21"/>
      <c r="BH255" s="21"/>
      <c r="BI255" s="21"/>
      <c r="BJ255" s="21"/>
      <c r="BK255" s="21"/>
      <c r="BL255" s="21"/>
      <c r="BM255" s="21"/>
      <c r="BN255" s="21"/>
      <c r="BO255" s="21"/>
      <c r="BP255" s="21">
        <v>253</v>
      </c>
      <c r="BQ255" s="24">
        <v>126.5</v>
      </c>
      <c r="BR255" s="49" t="s">
        <v>0</v>
      </c>
    </row>
    <row r="256" spans="1:70" s="83" customFormat="1" ht="39.950000000000003" hidden="1" customHeight="1" x14ac:dyDescent="0.25">
      <c r="A256" s="1"/>
      <c r="B256" s="1"/>
      <c r="C256" s="1"/>
      <c r="D256" s="1"/>
      <c r="E256" s="1"/>
      <c r="F256" s="1"/>
      <c r="G256" s="1"/>
      <c r="H256" s="1"/>
      <c r="I256" s="1"/>
      <c r="J256" s="1"/>
      <c r="K256" s="1"/>
      <c r="L256" s="1"/>
      <c r="M256" s="1"/>
      <c r="N256" s="1"/>
      <c r="O256" s="1"/>
      <c r="P256" s="1"/>
      <c r="Q256" s="1"/>
      <c r="R256" s="1"/>
      <c r="S256" s="1"/>
      <c r="T256" s="1"/>
      <c r="U256" s="1"/>
      <c r="V256" s="1"/>
      <c r="W256" s="1"/>
      <c r="X256" s="78"/>
      <c r="Y256" s="21"/>
      <c r="Z256" s="21"/>
      <c r="AA256" s="21"/>
      <c r="AB256" s="21"/>
      <c r="AC256" s="21"/>
      <c r="AD256" s="21"/>
      <c r="AE256" s="21"/>
      <c r="AF256" s="21"/>
      <c r="AG256" s="21"/>
      <c r="AH256" s="21"/>
      <c r="AI256" s="21"/>
      <c r="AJ256" s="21"/>
      <c r="AK256" s="21"/>
      <c r="AL256" s="21"/>
      <c r="AM256" s="21"/>
      <c r="AN256" s="21"/>
      <c r="AO256" s="21"/>
      <c r="AP256" s="21"/>
      <c r="AQ256" s="21"/>
      <c r="AR256" s="21"/>
      <c r="AS256" s="21"/>
      <c r="AT256" s="21"/>
      <c r="AU256" s="21"/>
      <c r="AV256" s="21"/>
      <c r="AW256" s="21"/>
      <c r="AX256" s="21"/>
      <c r="AY256" s="21"/>
      <c r="AZ256" s="21"/>
      <c r="BA256" s="21"/>
      <c r="BB256" s="21"/>
      <c r="BC256" s="21"/>
      <c r="BD256" s="21"/>
      <c r="BE256" s="21"/>
      <c r="BF256" s="21"/>
      <c r="BG256" s="21"/>
      <c r="BH256" s="21"/>
      <c r="BI256" s="21"/>
      <c r="BJ256" s="21"/>
      <c r="BK256" s="21"/>
      <c r="BL256" s="21"/>
      <c r="BM256" s="21"/>
      <c r="BN256" s="21"/>
      <c r="BO256" s="21"/>
      <c r="BP256" s="21">
        <v>254</v>
      </c>
      <c r="BQ256" s="24">
        <v>127</v>
      </c>
      <c r="BR256" s="49" t="s">
        <v>0</v>
      </c>
    </row>
    <row r="257" spans="1:70" s="83" customFormat="1" ht="39.950000000000003" hidden="1" customHeight="1" x14ac:dyDescent="0.25">
      <c r="A257" s="1"/>
      <c r="B257" s="1"/>
      <c r="C257" s="1"/>
      <c r="D257" s="1"/>
      <c r="E257" s="1"/>
      <c r="F257" s="1"/>
      <c r="G257" s="1"/>
      <c r="H257" s="1"/>
      <c r="I257" s="1"/>
      <c r="J257" s="1"/>
      <c r="K257" s="1"/>
      <c r="L257" s="1"/>
      <c r="M257" s="1"/>
      <c r="N257" s="1"/>
      <c r="O257" s="1"/>
      <c r="P257" s="1"/>
      <c r="Q257" s="1"/>
      <c r="R257" s="1"/>
      <c r="S257" s="1"/>
      <c r="T257" s="1"/>
      <c r="U257" s="1"/>
      <c r="V257" s="1"/>
      <c r="W257" s="1"/>
      <c r="X257" s="78"/>
      <c r="Y257" s="21"/>
      <c r="Z257" s="21"/>
      <c r="AA257" s="21"/>
      <c r="AB257" s="21"/>
      <c r="AC257" s="21"/>
      <c r="AD257" s="21"/>
      <c r="AE257" s="21"/>
      <c r="AF257" s="21"/>
      <c r="AG257" s="21"/>
      <c r="AH257" s="21"/>
      <c r="AI257" s="21"/>
      <c r="AJ257" s="21"/>
      <c r="AK257" s="21"/>
      <c r="AL257" s="21"/>
      <c r="AM257" s="21"/>
      <c r="AN257" s="21"/>
      <c r="AO257" s="21"/>
      <c r="AP257" s="21"/>
      <c r="AQ257" s="21"/>
      <c r="AR257" s="21"/>
      <c r="AS257" s="21"/>
      <c r="AT257" s="21"/>
      <c r="AU257" s="21"/>
      <c r="AV257" s="21"/>
      <c r="AW257" s="21"/>
      <c r="AX257" s="21"/>
      <c r="AY257" s="21"/>
      <c r="AZ257" s="21"/>
      <c r="BA257" s="21"/>
      <c r="BB257" s="21"/>
      <c r="BC257" s="21"/>
      <c r="BD257" s="21"/>
      <c r="BE257" s="21"/>
      <c r="BF257" s="21"/>
      <c r="BG257" s="21"/>
      <c r="BH257" s="21"/>
      <c r="BI257" s="21"/>
      <c r="BJ257" s="21"/>
      <c r="BK257" s="21"/>
      <c r="BL257" s="21"/>
      <c r="BM257" s="21"/>
      <c r="BN257" s="21"/>
      <c r="BO257" s="21"/>
      <c r="BP257" s="21">
        <v>255</v>
      </c>
      <c r="BQ257" s="24">
        <v>127.5</v>
      </c>
      <c r="BR257" s="49" t="s">
        <v>0</v>
      </c>
    </row>
    <row r="258" spans="1:70" s="83" customFormat="1" ht="39.950000000000003" hidden="1" customHeight="1" x14ac:dyDescent="0.25">
      <c r="A258" s="1"/>
      <c r="B258" s="1"/>
      <c r="C258" s="1"/>
      <c r="D258" s="1"/>
      <c r="E258" s="1"/>
      <c r="F258" s="1"/>
      <c r="G258" s="1"/>
      <c r="H258" s="1"/>
      <c r="I258" s="1"/>
      <c r="J258" s="1"/>
      <c r="K258" s="1"/>
      <c r="L258" s="1"/>
      <c r="M258" s="1"/>
      <c r="N258" s="1"/>
      <c r="O258" s="1"/>
      <c r="P258" s="1"/>
      <c r="Q258" s="1"/>
      <c r="R258" s="1"/>
      <c r="S258" s="1"/>
      <c r="T258" s="1"/>
      <c r="U258" s="1"/>
      <c r="V258" s="1"/>
      <c r="W258" s="1"/>
      <c r="X258" s="78"/>
      <c r="Y258" s="21"/>
      <c r="Z258" s="21"/>
      <c r="AA258" s="21"/>
      <c r="AB258" s="21"/>
      <c r="AC258" s="21"/>
      <c r="AD258" s="21"/>
      <c r="AE258" s="21"/>
      <c r="AF258" s="21"/>
      <c r="AG258" s="21"/>
      <c r="AH258" s="21"/>
      <c r="AI258" s="21"/>
      <c r="AJ258" s="21"/>
      <c r="AK258" s="21"/>
      <c r="AL258" s="21"/>
      <c r="AM258" s="21"/>
      <c r="AN258" s="21"/>
      <c r="AO258" s="21"/>
      <c r="AP258" s="21"/>
      <c r="AQ258" s="21"/>
      <c r="AR258" s="21"/>
      <c r="AS258" s="21"/>
      <c r="AT258" s="21"/>
      <c r="AU258" s="21"/>
      <c r="AV258" s="21"/>
      <c r="AW258" s="21"/>
      <c r="AX258" s="21"/>
      <c r="AY258" s="21"/>
      <c r="AZ258" s="21"/>
      <c r="BA258" s="21"/>
      <c r="BB258" s="21"/>
      <c r="BC258" s="21"/>
      <c r="BD258" s="21"/>
      <c r="BE258" s="21"/>
      <c r="BF258" s="21"/>
      <c r="BG258" s="21"/>
      <c r="BH258" s="21"/>
      <c r="BI258" s="21"/>
      <c r="BJ258" s="21"/>
      <c r="BK258" s="21"/>
      <c r="BL258" s="21"/>
      <c r="BM258" s="21"/>
      <c r="BN258" s="21"/>
      <c r="BO258" s="21"/>
      <c r="BP258" s="21">
        <v>256</v>
      </c>
      <c r="BQ258" s="24">
        <v>128</v>
      </c>
      <c r="BR258" s="49" t="s">
        <v>0</v>
      </c>
    </row>
    <row r="259" spans="1:70" s="83" customFormat="1" ht="39.950000000000003" hidden="1" customHeight="1" x14ac:dyDescent="0.25">
      <c r="A259" s="1"/>
      <c r="B259" s="1"/>
      <c r="C259" s="1"/>
      <c r="D259" s="1"/>
      <c r="E259" s="1"/>
      <c r="F259" s="1"/>
      <c r="G259" s="1"/>
      <c r="H259" s="1"/>
      <c r="I259" s="1"/>
      <c r="J259" s="1"/>
      <c r="K259" s="1"/>
      <c r="L259" s="1"/>
      <c r="M259" s="1"/>
      <c r="N259" s="1"/>
      <c r="O259" s="1"/>
      <c r="P259" s="1"/>
      <c r="Q259" s="1"/>
      <c r="R259" s="1"/>
      <c r="S259" s="1"/>
      <c r="T259" s="1"/>
      <c r="U259" s="1"/>
      <c r="V259" s="1"/>
      <c r="W259" s="1"/>
      <c r="X259" s="78"/>
      <c r="Y259" s="21"/>
      <c r="Z259" s="21"/>
      <c r="AA259" s="21"/>
      <c r="AB259" s="21"/>
      <c r="AC259" s="21"/>
      <c r="AD259" s="21"/>
      <c r="AE259" s="21"/>
      <c r="AF259" s="21"/>
      <c r="AG259" s="21"/>
      <c r="AH259" s="21"/>
      <c r="AI259" s="21"/>
      <c r="AJ259" s="21"/>
      <c r="AK259" s="21"/>
      <c r="AL259" s="21"/>
      <c r="AM259" s="21"/>
      <c r="AN259" s="21"/>
      <c r="AO259" s="21"/>
      <c r="AP259" s="21"/>
      <c r="AQ259" s="21"/>
      <c r="AR259" s="21"/>
      <c r="AS259" s="21"/>
      <c r="AT259" s="21"/>
      <c r="AU259" s="21"/>
      <c r="AV259" s="21"/>
      <c r="AW259" s="21"/>
      <c r="AX259" s="21"/>
      <c r="AY259" s="21"/>
      <c r="AZ259" s="21"/>
      <c r="BA259" s="21"/>
      <c r="BB259" s="21"/>
      <c r="BC259" s="21"/>
      <c r="BD259" s="21"/>
      <c r="BE259" s="21"/>
      <c r="BF259" s="21"/>
      <c r="BG259" s="21"/>
      <c r="BH259" s="21"/>
      <c r="BI259" s="21"/>
      <c r="BJ259" s="21"/>
      <c r="BK259" s="21"/>
      <c r="BL259" s="21"/>
      <c r="BM259" s="21"/>
      <c r="BN259" s="21"/>
      <c r="BO259" s="21"/>
      <c r="BP259" s="21">
        <v>257</v>
      </c>
      <c r="BQ259" s="24">
        <v>128.5</v>
      </c>
      <c r="BR259" s="49" t="s">
        <v>0</v>
      </c>
    </row>
    <row r="260" spans="1:70" s="83" customFormat="1" ht="39.950000000000003" hidden="1" customHeight="1" x14ac:dyDescent="0.25">
      <c r="A260" s="1"/>
      <c r="B260" s="1"/>
      <c r="C260" s="1"/>
      <c r="D260" s="1"/>
      <c r="E260" s="1"/>
      <c r="F260" s="1"/>
      <c r="G260" s="1"/>
      <c r="H260" s="1"/>
      <c r="I260" s="1"/>
      <c r="J260" s="1"/>
      <c r="K260" s="1"/>
      <c r="L260" s="1"/>
      <c r="M260" s="1"/>
      <c r="N260" s="1"/>
      <c r="O260" s="1"/>
      <c r="P260" s="1"/>
      <c r="Q260" s="1"/>
      <c r="R260" s="1"/>
      <c r="S260" s="1"/>
      <c r="T260" s="1"/>
      <c r="U260" s="1"/>
      <c r="V260" s="1"/>
      <c r="W260" s="1"/>
      <c r="X260" s="78"/>
      <c r="Y260" s="21"/>
      <c r="Z260" s="21"/>
      <c r="AA260" s="21"/>
      <c r="AB260" s="21"/>
      <c r="AC260" s="21"/>
      <c r="AD260" s="21"/>
      <c r="AE260" s="21"/>
      <c r="AF260" s="21"/>
      <c r="AG260" s="21"/>
      <c r="AH260" s="21"/>
      <c r="AI260" s="21"/>
      <c r="AJ260" s="21"/>
      <c r="AK260" s="21"/>
      <c r="AL260" s="21"/>
      <c r="AM260" s="21"/>
      <c r="AN260" s="21"/>
      <c r="AO260" s="21"/>
      <c r="AP260" s="21"/>
      <c r="AQ260" s="21"/>
      <c r="AR260" s="21"/>
      <c r="AS260" s="21"/>
      <c r="AT260" s="21"/>
      <c r="AU260" s="21"/>
      <c r="AV260" s="21"/>
      <c r="AW260" s="21"/>
      <c r="AX260" s="21"/>
      <c r="AY260" s="21"/>
      <c r="AZ260" s="21"/>
      <c r="BA260" s="21"/>
      <c r="BB260" s="21"/>
      <c r="BC260" s="21"/>
      <c r="BD260" s="21"/>
      <c r="BE260" s="21"/>
      <c r="BF260" s="21"/>
      <c r="BG260" s="21"/>
      <c r="BH260" s="21"/>
      <c r="BI260" s="21"/>
      <c r="BJ260" s="21"/>
      <c r="BK260" s="21"/>
      <c r="BL260" s="21"/>
      <c r="BM260" s="21"/>
      <c r="BN260" s="21"/>
      <c r="BO260" s="21"/>
      <c r="BP260" s="21">
        <v>258</v>
      </c>
      <c r="BQ260" s="24">
        <v>129</v>
      </c>
      <c r="BR260" s="49" t="s">
        <v>0</v>
      </c>
    </row>
    <row r="261" spans="1:70" s="83" customFormat="1" ht="39.950000000000003" hidden="1" customHeight="1" x14ac:dyDescent="0.25">
      <c r="A261" s="1"/>
      <c r="B261" s="1"/>
      <c r="C261" s="1"/>
      <c r="D261" s="1"/>
      <c r="E261" s="1"/>
      <c r="F261" s="1"/>
      <c r="G261" s="1"/>
      <c r="H261" s="1"/>
      <c r="I261" s="1"/>
      <c r="J261" s="1"/>
      <c r="K261" s="1"/>
      <c r="L261" s="1"/>
      <c r="M261" s="1"/>
      <c r="N261" s="1"/>
      <c r="O261" s="1"/>
      <c r="P261" s="1"/>
      <c r="Q261" s="1"/>
      <c r="R261" s="1"/>
      <c r="S261" s="1"/>
      <c r="T261" s="1"/>
      <c r="U261" s="1"/>
      <c r="V261" s="1"/>
      <c r="W261" s="1"/>
      <c r="X261" s="78"/>
      <c r="Y261" s="21"/>
      <c r="Z261" s="21"/>
      <c r="AA261" s="21"/>
      <c r="AB261" s="21"/>
      <c r="AC261" s="21"/>
      <c r="AD261" s="21"/>
      <c r="AE261" s="21"/>
      <c r="AF261" s="21"/>
      <c r="AG261" s="21"/>
      <c r="AH261" s="21"/>
      <c r="AI261" s="21"/>
      <c r="AJ261" s="21"/>
      <c r="AK261" s="21"/>
      <c r="AL261" s="21"/>
      <c r="AM261" s="21"/>
      <c r="AN261" s="21"/>
      <c r="AO261" s="21"/>
      <c r="AP261" s="21"/>
      <c r="AQ261" s="21"/>
      <c r="AR261" s="21"/>
      <c r="AS261" s="21"/>
      <c r="AT261" s="21"/>
      <c r="AU261" s="21"/>
      <c r="AV261" s="21"/>
      <c r="AW261" s="21"/>
      <c r="AX261" s="21"/>
      <c r="AY261" s="21"/>
      <c r="AZ261" s="21"/>
      <c r="BA261" s="21"/>
      <c r="BB261" s="21"/>
      <c r="BC261" s="21"/>
      <c r="BD261" s="21"/>
      <c r="BE261" s="21"/>
      <c r="BF261" s="21"/>
      <c r="BG261" s="21"/>
      <c r="BH261" s="21"/>
      <c r="BI261" s="21"/>
      <c r="BJ261" s="21"/>
      <c r="BK261" s="21"/>
      <c r="BL261" s="21"/>
      <c r="BM261" s="21"/>
      <c r="BN261" s="21"/>
      <c r="BO261" s="21"/>
      <c r="BP261" s="21">
        <v>259</v>
      </c>
      <c r="BQ261" s="24">
        <v>129.5</v>
      </c>
      <c r="BR261" s="49" t="s">
        <v>0</v>
      </c>
    </row>
    <row r="262" spans="1:70" s="83" customFormat="1" ht="39.950000000000003" hidden="1" customHeight="1" x14ac:dyDescent="0.25">
      <c r="A262" s="1"/>
      <c r="B262" s="1"/>
      <c r="C262" s="1"/>
      <c r="D262" s="1"/>
      <c r="E262" s="1"/>
      <c r="F262" s="1"/>
      <c r="G262" s="1"/>
      <c r="H262" s="1"/>
      <c r="I262" s="1"/>
      <c r="J262" s="1"/>
      <c r="K262" s="1"/>
      <c r="L262" s="1"/>
      <c r="M262" s="1"/>
      <c r="N262" s="1"/>
      <c r="O262" s="1"/>
      <c r="P262" s="1"/>
      <c r="Q262" s="1"/>
      <c r="R262" s="1"/>
      <c r="S262" s="1"/>
      <c r="T262" s="1"/>
      <c r="U262" s="1"/>
      <c r="V262" s="1"/>
      <c r="W262" s="1"/>
      <c r="X262" s="78"/>
      <c r="Y262" s="21"/>
      <c r="Z262" s="21"/>
      <c r="AA262" s="21"/>
      <c r="AB262" s="21"/>
      <c r="AC262" s="21"/>
      <c r="AD262" s="21"/>
      <c r="AE262" s="21"/>
      <c r="AF262" s="21"/>
      <c r="AG262" s="21"/>
      <c r="AH262" s="21"/>
      <c r="AI262" s="21"/>
      <c r="AJ262" s="21"/>
      <c r="AK262" s="21"/>
      <c r="AL262" s="21"/>
      <c r="AM262" s="21"/>
      <c r="AN262" s="21"/>
      <c r="AO262" s="21"/>
      <c r="AP262" s="21"/>
      <c r="AQ262" s="21"/>
      <c r="AR262" s="21"/>
      <c r="AS262" s="21"/>
      <c r="AT262" s="21"/>
      <c r="AU262" s="21"/>
      <c r="AV262" s="21"/>
      <c r="AW262" s="21"/>
      <c r="AX262" s="21"/>
      <c r="AY262" s="21"/>
      <c r="AZ262" s="21"/>
      <c r="BA262" s="21"/>
      <c r="BB262" s="21"/>
      <c r="BC262" s="21"/>
      <c r="BD262" s="21"/>
      <c r="BE262" s="21"/>
      <c r="BF262" s="21"/>
      <c r="BG262" s="21"/>
      <c r="BH262" s="21"/>
      <c r="BI262" s="21"/>
      <c r="BJ262" s="21"/>
      <c r="BK262" s="21"/>
      <c r="BL262" s="21"/>
      <c r="BM262" s="21"/>
      <c r="BN262" s="21"/>
      <c r="BO262" s="21"/>
      <c r="BP262" s="21">
        <v>260</v>
      </c>
      <c r="BQ262" s="24">
        <v>130</v>
      </c>
      <c r="BR262" s="49" t="s">
        <v>0</v>
      </c>
    </row>
    <row r="263" spans="1:70" s="83" customFormat="1" ht="39.950000000000003" hidden="1" customHeight="1" x14ac:dyDescent="0.25">
      <c r="A263" s="1"/>
      <c r="B263" s="1"/>
      <c r="C263" s="1"/>
      <c r="D263" s="1"/>
      <c r="E263" s="1"/>
      <c r="F263" s="1"/>
      <c r="G263" s="1"/>
      <c r="H263" s="1"/>
      <c r="I263" s="1"/>
      <c r="J263" s="1"/>
      <c r="K263" s="1"/>
      <c r="L263" s="1"/>
      <c r="M263" s="1"/>
      <c r="N263" s="1"/>
      <c r="O263" s="1"/>
      <c r="P263" s="1"/>
      <c r="Q263" s="1"/>
      <c r="R263" s="1"/>
      <c r="S263" s="1"/>
      <c r="T263" s="1"/>
      <c r="U263" s="1"/>
      <c r="V263" s="1"/>
      <c r="W263" s="1"/>
      <c r="X263" s="78"/>
      <c r="Y263" s="21"/>
      <c r="Z263" s="21"/>
      <c r="AA263" s="21"/>
      <c r="AB263" s="21"/>
      <c r="AC263" s="21"/>
      <c r="AD263" s="21"/>
      <c r="AE263" s="21"/>
      <c r="AF263" s="21"/>
      <c r="AG263" s="21"/>
      <c r="AH263" s="21"/>
      <c r="AI263" s="21"/>
      <c r="AJ263" s="21"/>
      <c r="AK263" s="21"/>
      <c r="AL263" s="21"/>
      <c r="AM263" s="21"/>
      <c r="AN263" s="21"/>
      <c r="AO263" s="21"/>
      <c r="AP263" s="21"/>
      <c r="AQ263" s="21"/>
      <c r="AR263" s="21"/>
      <c r="AS263" s="21"/>
      <c r="AT263" s="21"/>
      <c r="AU263" s="21"/>
      <c r="AV263" s="21"/>
      <c r="AW263" s="21"/>
      <c r="AX263" s="21"/>
      <c r="AY263" s="21"/>
      <c r="AZ263" s="21"/>
      <c r="BA263" s="21"/>
      <c r="BB263" s="21"/>
      <c r="BC263" s="21"/>
      <c r="BD263" s="21"/>
      <c r="BE263" s="21"/>
      <c r="BF263" s="21"/>
      <c r="BG263" s="21"/>
      <c r="BH263" s="21"/>
      <c r="BI263" s="21"/>
      <c r="BJ263" s="21"/>
      <c r="BK263" s="21"/>
      <c r="BL263" s="21"/>
      <c r="BM263" s="21"/>
      <c r="BN263" s="21"/>
      <c r="BO263" s="21"/>
      <c r="BP263" s="21">
        <v>261</v>
      </c>
      <c r="BQ263" s="24">
        <v>130.5</v>
      </c>
      <c r="BR263" s="49" t="s">
        <v>0</v>
      </c>
    </row>
    <row r="264" spans="1:70" s="83" customFormat="1" ht="39.950000000000003" hidden="1" customHeight="1" x14ac:dyDescent="0.25">
      <c r="A264" s="1"/>
      <c r="B264" s="1"/>
      <c r="C264" s="1"/>
      <c r="D264" s="1"/>
      <c r="E264" s="1"/>
      <c r="F264" s="1"/>
      <c r="G264" s="1"/>
      <c r="H264" s="1"/>
      <c r="I264" s="1"/>
      <c r="J264" s="1"/>
      <c r="K264" s="1"/>
      <c r="L264" s="1"/>
      <c r="M264" s="1"/>
      <c r="N264" s="1"/>
      <c r="O264" s="1"/>
      <c r="P264" s="1"/>
      <c r="Q264" s="1"/>
      <c r="R264" s="1"/>
      <c r="S264" s="1"/>
      <c r="T264" s="1"/>
      <c r="U264" s="1"/>
      <c r="V264" s="1"/>
      <c r="W264" s="1"/>
      <c r="X264" s="78"/>
      <c r="Y264" s="21"/>
      <c r="Z264" s="21"/>
      <c r="AA264" s="21"/>
      <c r="AB264" s="21"/>
      <c r="AC264" s="21"/>
      <c r="AD264" s="21"/>
      <c r="AE264" s="21"/>
      <c r="AF264" s="21"/>
      <c r="AG264" s="21"/>
      <c r="AH264" s="21"/>
      <c r="AI264" s="21"/>
      <c r="AJ264" s="21"/>
      <c r="AK264" s="21"/>
      <c r="AL264" s="21"/>
      <c r="AM264" s="21"/>
      <c r="AN264" s="21"/>
      <c r="AO264" s="21"/>
      <c r="AP264" s="21"/>
      <c r="AQ264" s="21"/>
      <c r="AR264" s="21"/>
      <c r="AS264" s="21"/>
      <c r="AT264" s="21"/>
      <c r="AU264" s="21"/>
      <c r="AV264" s="21"/>
      <c r="AW264" s="21"/>
      <c r="AX264" s="21"/>
      <c r="AY264" s="21"/>
      <c r="AZ264" s="21"/>
      <c r="BA264" s="21"/>
      <c r="BB264" s="21"/>
      <c r="BC264" s="21"/>
      <c r="BD264" s="21"/>
      <c r="BE264" s="21"/>
      <c r="BF264" s="21"/>
      <c r="BG264" s="21"/>
      <c r="BH264" s="21"/>
      <c r="BI264" s="21"/>
      <c r="BJ264" s="21"/>
      <c r="BK264" s="21"/>
      <c r="BL264" s="21"/>
      <c r="BM264" s="21"/>
      <c r="BN264" s="21"/>
      <c r="BO264" s="21"/>
      <c r="BP264" s="21">
        <v>262</v>
      </c>
      <c r="BQ264" s="24">
        <v>131</v>
      </c>
      <c r="BR264" s="49" t="s">
        <v>0</v>
      </c>
    </row>
    <row r="265" spans="1:70" s="83" customFormat="1" ht="39.950000000000003" hidden="1" customHeight="1" x14ac:dyDescent="0.25">
      <c r="A265" s="1"/>
      <c r="B265" s="1"/>
      <c r="C265" s="1"/>
      <c r="D265" s="1"/>
      <c r="E265" s="1"/>
      <c r="F265" s="1"/>
      <c r="G265" s="1"/>
      <c r="H265" s="1"/>
      <c r="I265" s="1"/>
      <c r="J265" s="1"/>
      <c r="K265" s="1"/>
      <c r="L265" s="1"/>
      <c r="M265" s="1"/>
      <c r="N265" s="1"/>
      <c r="O265" s="1"/>
      <c r="P265" s="1"/>
      <c r="Q265" s="1"/>
      <c r="R265" s="1"/>
      <c r="S265" s="1"/>
      <c r="T265" s="1"/>
      <c r="U265" s="1"/>
      <c r="V265" s="1"/>
      <c r="W265" s="1"/>
      <c r="X265" s="78"/>
      <c r="Y265" s="21"/>
      <c r="Z265" s="21"/>
      <c r="AA265" s="21"/>
      <c r="AB265" s="21"/>
      <c r="AC265" s="21"/>
      <c r="AD265" s="21"/>
      <c r="AE265" s="21"/>
      <c r="AF265" s="21"/>
      <c r="AG265" s="21"/>
      <c r="AH265" s="21"/>
      <c r="AI265" s="21"/>
      <c r="AJ265" s="21"/>
      <c r="AK265" s="21"/>
      <c r="AL265" s="21"/>
      <c r="AM265" s="21"/>
      <c r="AN265" s="21"/>
      <c r="AO265" s="21"/>
      <c r="AP265" s="21"/>
      <c r="AQ265" s="21"/>
      <c r="AR265" s="21"/>
      <c r="AS265" s="21"/>
      <c r="AT265" s="21"/>
      <c r="AU265" s="21"/>
      <c r="AV265" s="21"/>
      <c r="AW265" s="21"/>
      <c r="AX265" s="21"/>
      <c r="AY265" s="21"/>
      <c r="AZ265" s="21"/>
      <c r="BA265" s="21"/>
      <c r="BB265" s="21"/>
      <c r="BC265" s="21"/>
      <c r="BD265" s="21"/>
      <c r="BE265" s="21"/>
      <c r="BF265" s="21"/>
      <c r="BG265" s="21"/>
      <c r="BH265" s="21"/>
      <c r="BI265" s="21"/>
      <c r="BJ265" s="21"/>
      <c r="BK265" s="21"/>
      <c r="BL265" s="21"/>
      <c r="BM265" s="21"/>
      <c r="BN265" s="21"/>
      <c r="BO265" s="21"/>
      <c r="BP265" s="21">
        <v>263</v>
      </c>
      <c r="BQ265" s="24">
        <v>131.5</v>
      </c>
      <c r="BR265" s="49" t="s">
        <v>0</v>
      </c>
    </row>
    <row r="266" spans="1:70" s="83" customFormat="1" ht="39.950000000000003" hidden="1" customHeight="1" x14ac:dyDescent="0.25">
      <c r="A266" s="1"/>
      <c r="B266" s="1"/>
      <c r="C266" s="1"/>
      <c r="D266" s="1"/>
      <c r="E266" s="1"/>
      <c r="F266" s="1"/>
      <c r="G266" s="1"/>
      <c r="H266" s="1"/>
      <c r="I266" s="1"/>
      <c r="J266" s="1"/>
      <c r="K266" s="1"/>
      <c r="L266" s="1"/>
      <c r="M266" s="1"/>
      <c r="N266" s="1"/>
      <c r="O266" s="1"/>
      <c r="P266" s="1"/>
      <c r="Q266" s="1"/>
      <c r="R266" s="1"/>
      <c r="S266" s="1"/>
      <c r="T266" s="1"/>
      <c r="U266" s="1"/>
      <c r="V266" s="1"/>
      <c r="W266" s="1"/>
      <c r="X266" s="78"/>
      <c r="Y266" s="21"/>
      <c r="Z266" s="21"/>
      <c r="AA266" s="21"/>
      <c r="AB266" s="21"/>
      <c r="AC266" s="21"/>
      <c r="AD266" s="21"/>
      <c r="AE266" s="21"/>
      <c r="AF266" s="21"/>
      <c r="AG266" s="21"/>
      <c r="AH266" s="21"/>
      <c r="AI266" s="21"/>
      <c r="AJ266" s="21"/>
      <c r="AK266" s="21"/>
      <c r="AL266" s="21"/>
      <c r="AM266" s="21"/>
      <c r="AN266" s="21"/>
      <c r="AO266" s="21"/>
      <c r="AP266" s="21"/>
      <c r="AQ266" s="21"/>
      <c r="AR266" s="21"/>
      <c r="AS266" s="21"/>
      <c r="AT266" s="21"/>
      <c r="AU266" s="21"/>
      <c r="AV266" s="21"/>
      <c r="AW266" s="21"/>
      <c r="AX266" s="21"/>
      <c r="AY266" s="21"/>
      <c r="AZ266" s="21"/>
      <c r="BA266" s="21"/>
      <c r="BB266" s="21"/>
      <c r="BC266" s="21"/>
      <c r="BD266" s="21"/>
      <c r="BE266" s="21"/>
      <c r="BF266" s="21"/>
      <c r="BG266" s="21"/>
      <c r="BH266" s="21"/>
      <c r="BI266" s="21"/>
      <c r="BJ266" s="21"/>
      <c r="BK266" s="21"/>
      <c r="BL266" s="21"/>
      <c r="BM266" s="21"/>
      <c r="BN266" s="21"/>
      <c r="BO266" s="21"/>
      <c r="BP266" s="21">
        <v>264</v>
      </c>
      <c r="BQ266" s="24">
        <v>132</v>
      </c>
      <c r="BR266" s="49" t="s">
        <v>0</v>
      </c>
    </row>
    <row r="267" spans="1:70" s="83" customFormat="1" ht="39.950000000000003" hidden="1" customHeight="1" x14ac:dyDescent="0.25">
      <c r="A267" s="1"/>
      <c r="B267" s="1"/>
      <c r="C267" s="1"/>
      <c r="D267" s="1"/>
      <c r="E267" s="1"/>
      <c r="F267" s="1"/>
      <c r="G267" s="1"/>
      <c r="H267" s="1"/>
      <c r="I267" s="1"/>
      <c r="J267" s="1"/>
      <c r="K267" s="1"/>
      <c r="L267" s="1"/>
      <c r="M267" s="1"/>
      <c r="N267" s="1"/>
      <c r="O267" s="1"/>
      <c r="P267" s="1"/>
      <c r="Q267" s="1"/>
      <c r="R267" s="1"/>
      <c r="S267" s="1"/>
      <c r="T267" s="1"/>
      <c r="U267" s="1"/>
      <c r="V267" s="1"/>
      <c r="W267" s="1"/>
      <c r="X267" s="78"/>
      <c r="Y267" s="21"/>
      <c r="Z267" s="21"/>
      <c r="AA267" s="21"/>
      <c r="AB267" s="21"/>
      <c r="AC267" s="21"/>
      <c r="AD267" s="21"/>
      <c r="AE267" s="21"/>
      <c r="AF267" s="21"/>
      <c r="AG267" s="21"/>
      <c r="AH267" s="21"/>
      <c r="AI267" s="21"/>
      <c r="AJ267" s="21"/>
      <c r="AK267" s="21"/>
      <c r="AL267" s="21"/>
      <c r="AM267" s="21"/>
      <c r="AN267" s="21"/>
      <c r="AO267" s="21"/>
      <c r="AP267" s="21"/>
      <c r="AQ267" s="21"/>
      <c r="AR267" s="21"/>
      <c r="AS267" s="21"/>
      <c r="AT267" s="21"/>
      <c r="AU267" s="21"/>
      <c r="AV267" s="21"/>
      <c r="AW267" s="21"/>
      <c r="AX267" s="21"/>
      <c r="AY267" s="21"/>
      <c r="AZ267" s="21"/>
      <c r="BA267" s="21"/>
      <c r="BB267" s="21"/>
      <c r="BC267" s="21"/>
      <c r="BD267" s="21"/>
      <c r="BE267" s="21"/>
      <c r="BF267" s="21"/>
      <c r="BG267" s="21"/>
      <c r="BH267" s="21"/>
      <c r="BI267" s="21"/>
      <c r="BJ267" s="21"/>
      <c r="BK267" s="21"/>
      <c r="BL267" s="21"/>
      <c r="BM267" s="21"/>
      <c r="BN267" s="21"/>
      <c r="BO267" s="21"/>
      <c r="BP267" s="21">
        <v>265</v>
      </c>
      <c r="BQ267" s="24">
        <v>132.5</v>
      </c>
      <c r="BR267" s="49" t="s">
        <v>0</v>
      </c>
    </row>
    <row r="268" spans="1:70" s="83" customFormat="1" ht="39.950000000000003" hidden="1" customHeight="1" x14ac:dyDescent="0.25">
      <c r="A268" s="1"/>
      <c r="B268" s="1"/>
      <c r="C268" s="1"/>
      <c r="D268" s="1"/>
      <c r="E268" s="1"/>
      <c r="F268" s="1"/>
      <c r="G268" s="1"/>
      <c r="H268" s="1"/>
      <c r="I268" s="1"/>
      <c r="J268" s="1"/>
      <c r="K268" s="1"/>
      <c r="L268" s="1"/>
      <c r="M268" s="1"/>
      <c r="N268" s="1"/>
      <c r="O268" s="1"/>
      <c r="P268" s="1"/>
      <c r="Q268" s="1"/>
      <c r="R268" s="1"/>
      <c r="S268" s="1"/>
      <c r="T268" s="1"/>
      <c r="U268" s="1"/>
      <c r="V268" s="1"/>
      <c r="W268" s="1"/>
      <c r="X268" s="78"/>
      <c r="Y268" s="21"/>
      <c r="Z268" s="21"/>
      <c r="AA268" s="21"/>
      <c r="AB268" s="21"/>
      <c r="AC268" s="21"/>
      <c r="AD268" s="21"/>
      <c r="AE268" s="21"/>
      <c r="AF268" s="21"/>
      <c r="AG268" s="21"/>
      <c r="AH268" s="21"/>
      <c r="AI268" s="21"/>
      <c r="AJ268" s="21"/>
      <c r="AK268" s="21"/>
      <c r="AL268" s="21"/>
      <c r="AM268" s="21"/>
      <c r="AN268" s="21"/>
      <c r="AO268" s="21"/>
      <c r="AP268" s="21"/>
      <c r="AQ268" s="21"/>
      <c r="AR268" s="21"/>
      <c r="AS268" s="21"/>
      <c r="AT268" s="21"/>
      <c r="AU268" s="21"/>
      <c r="AV268" s="21"/>
      <c r="AW268" s="21"/>
      <c r="AX268" s="21"/>
      <c r="AY268" s="21"/>
      <c r="AZ268" s="21"/>
      <c r="BA268" s="21"/>
      <c r="BB268" s="21"/>
      <c r="BC268" s="21"/>
      <c r="BD268" s="21"/>
      <c r="BE268" s="21"/>
      <c r="BF268" s="21"/>
      <c r="BG268" s="21"/>
      <c r="BH268" s="21"/>
      <c r="BI268" s="21"/>
      <c r="BJ268" s="21"/>
      <c r="BK268" s="21"/>
      <c r="BL268" s="21"/>
      <c r="BM268" s="21"/>
      <c r="BN268" s="21"/>
      <c r="BO268" s="21"/>
      <c r="BP268" s="21">
        <v>266</v>
      </c>
      <c r="BQ268" s="24">
        <v>133</v>
      </c>
      <c r="BR268" s="49" t="s">
        <v>0</v>
      </c>
    </row>
    <row r="269" spans="1:70" s="83" customFormat="1" ht="39.950000000000003" hidden="1" customHeight="1" x14ac:dyDescent="0.25">
      <c r="A269" s="1"/>
      <c r="B269" s="1"/>
      <c r="C269" s="1"/>
      <c r="D269" s="1"/>
      <c r="E269" s="1"/>
      <c r="F269" s="1"/>
      <c r="G269" s="1"/>
      <c r="H269" s="1"/>
      <c r="I269" s="1"/>
      <c r="J269" s="1"/>
      <c r="K269" s="1"/>
      <c r="L269" s="1"/>
      <c r="M269" s="1"/>
      <c r="N269" s="1"/>
      <c r="O269" s="1"/>
      <c r="P269" s="1"/>
      <c r="Q269" s="1"/>
      <c r="R269" s="1"/>
      <c r="S269" s="1"/>
      <c r="T269" s="1"/>
      <c r="U269" s="1"/>
      <c r="V269" s="1"/>
      <c r="W269" s="1"/>
      <c r="X269" s="78"/>
      <c r="Y269" s="21"/>
      <c r="Z269" s="21"/>
      <c r="AA269" s="21"/>
      <c r="AB269" s="21"/>
      <c r="AC269" s="21"/>
      <c r="AD269" s="21"/>
      <c r="AE269" s="21"/>
      <c r="AF269" s="21"/>
      <c r="AG269" s="21"/>
      <c r="AH269" s="21"/>
      <c r="AI269" s="21"/>
      <c r="AJ269" s="21"/>
      <c r="AK269" s="21"/>
      <c r="AL269" s="21"/>
      <c r="AM269" s="21"/>
      <c r="AN269" s="21"/>
      <c r="AO269" s="21"/>
      <c r="AP269" s="21"/>
      <c r="AQ269" s="21"/>
      <c r="AR269" s="21"/>
      <c r="AS269" s="21"/>
      <c r="AT269" s="21"/>
      <c r="AU269" s="21"/>
      <c r="AV269" s="21"/>
      <c r="AW269" s="21"/>
      <c r="AX269" s="21"/>
      <c r="AY269" s="21"/>
      <c r="AZ269" s="21"/>
      <c r="BA269" s="21"/>
      <c r="BB269" s="21"/>
      <c r="BC269" s="21"/>
      <c r="BD269" s="21"/>
      <c r="BE269" s="21"/>
      <c r="BF269" s="21"/>
      <c r="BG269" s="21"/>
      <c r="BH269" s="21"/>
      <c r="BI269" s="21"/>
      <c r="BJ269" s="21"/>
      <c r="BK269" s="21"/>
      <c r="BL269" s="21"/>
      <c r="BM269" s="21"/>
      <c r="BN269" s="21"/>
      <c r="BO269" s="21"/>
      <c r="BP269" s="21">
        <v>267</v>
      </c>
      <c r="BQ269" s="24">
        <v>133.5</v>
      </c>
      <c r="BR269" s="49" t="s">
        <v>0</v>
      </c>
    </row>
    <row r="270" spans="1:70" ht="39.950000000000003" hidden="1" customHeight="1" x14ac:dyDescent="0.25">
      <c r="BP270" s="21">
        <v>268</v>
      </c>
      <c r="BQ270" s="24">
        <v>134</v>
      </c>
      <c r="BR270" s="49" t="s">
        <v>0</v>
      </c>
    </row>
    <row r="271" spans="1:70" ht="39.950000000000003" hidden="1" customHeight="1" x14ac:dyDescent="0.25">
      <c r="BP271" s="21">
        <v>269</v>
      </c>
      <c r="BQ271" s="24">
        <v>134.5</v>
      </c>
      <c r="BR271" s="49" t="s">
        <v>0</v>
      </c>
    </row>
    <row r="272" spans="1:70" ht="39.950000000000003" hidden="1" customHeight="1" x14ac:dyDescent="0.25">
      <c r="BP272" s="21">
        <v>270</v>
      </c>
      <c r="BQ272" s="24">
        <v>135</v>
      </c>
      <c r="BR272" s="49" t="s">
        <v>0</v>
      </c>
    </row>
    <row r="273" spans="68:70" ht="39.950000000000003" hidden="1" customHeight="1" x14ac:dyDescent="0.25">
      <c r="BP273" s="21">
        <v>271</v>
      </c>
      <c r="BQ273" s="24">
        <v>135.5</v>
      </c>
      <c r="BR273" s="49" t="s">
        <v>0</v>
      </c>
    </row>
    <row r="274" spans="68:70" ht="39.950000000000003" hidden="1" customHeight="1" x14ac:dyDescent="0.25">
      <c r="BP274" s="21">
        <v>272</v>
      </c>
      <c r="BQ274" s="24">
        <v>136</v>
      </c>
      <c r="BR274" s="49" t="s">
        <v>0</v>
      </c>
    </row>
    <row r="275" spans="68:70" ht="39.950000000000003" hidden="1" customHeight="1" x14ac:dyDescent="0.25">
      <c r="BP275" s="21">
        <v>273</v>
      </c>
      <c r="BQ275" s="24">
        <v>136.5</v>
      </c>
      <c r="BR275" s="49" t="s">
        <v>0</v>
      </c>
    </row>
    <row r="276" spans="68:70" ht="39.950000000000003" hidden="1" customHeight="1" x14ac:dyDescent="0.25">
      <c r="BP276" s="21">
        <v>274</v>
      </c>
      <c r="BQ276" s="24">
        <v>137</v>
      </c>
      <c r="BR276" s="49" t="s">
        <v>0</v>
      </c>
    </row>
    <row r="277" spans="68:70" ht="39.950000000000003" hidden="1" customHeight="1" x14ac:dyDescent="0.25">
      <c r="BP277" s="21">
        <v>275</v>
      </c>
      <c r="BQ277" s="24">
        <v>137.5</v>
      </c>
      <c r="BR277" s="49" t="s">
        <v>0</v>
      </c>
    </row>
    <row r="278" spans="68:70" ht="39.950000000000003" hidden="1" customHeight="1" x14ac:dyDescent="0.25">
      <c r="BP278" s="21">
        <v>276</v>
      </c>
      <c r="BQ278" s="24">
        <v>138</v>
      </c>
      <c r="BR278" s="49" t="s">
        <v>0</v>
      </c>
    </row>
    <row r="279" spans="68:70" ht="39.950000000000003" hidden="1" customHeight="1" x14ac:dyDescent="0.25">
      <c r="BP279" s="21">
        <v>277</v>
      </c>
      <c r="BQ279" s="24">
        <v>138.5</v>
      </c>
      <c r="BR279" s="49" t="s">
        <v>0</v>
      </c>
    </row>
    <row r="280" spans="68:70" ht="39.950000000000003" hidden="1" customHeight="1" x14ac:dyDescent="0.25">
      <c r="BP280" s="21">
        <v>278</v>
      </c>
      <c r="BQ280" s="24">
        <v>139</v>
      </c>
      <c r="BR280" s="49" t="s">
        <v>0</v>
      </c>
    </row>
    <row r="281" spans="68:70" ht="39.950000000000003" hidden="1" customHeight="1" x14ac:dyDescent="0.25">
      <c r="BP281" s="21">
        <v>279</v>
      </c>
      <c r="BQ281" s="24">
        <v>139.5</v>
      </c>
      <c r="BR281" s="49" t="s">
        <v>0</v>
      </c>
    </row>
    <row r="282" spans="68:70" ht="39.950000000000003" hidden="1" customHeight="1" x14ac:dyDescent="0.25">
      <c r="BP282" s="21">
        <v>280</v>
      </c>
      <c r="BQ282" s="24">
        <v>140</v>
      </c>
      <c r="BR282" s="49" t="s">
        <v>0</v>
      </c>
    </row>
    <row r="283" spans="68:70" ht="39.950000000000003" hidden="1" customHeight="1" x14ac:dyDescent="0.25">
      <c r="BP283" s="21">
        <v>281</v>
      </c>
      <c r="BQ283" s="24">
        <v>140.5</v>
      </c>
      <c r="BR283" s="49" t="s">
        <v>0</v>
      </c>
    </row>
    <row r="284" spans="68:70" ht="39.950000000000003" hidden="1" customHeight="1" x14ac:dyDescent="0.25">
      <c r="BP284" s="21">
        <v>282</v>
      </c>
      <c r="BQ284" s="24">
        <v>141</v>
      </c>
      <c r="BR284" s="49" t="s">
        <v>0</v>
      </c>
    </row>
    <row r="285" spans="68:70" ht="39.950000000000003" hidden="1" customHeight="1" x14ac:dyDescent="0.25">
      <c r="BP285" s="21">
        <v>283</v>
      </c>
      <c r="BQ285" s="24">
        <v>141.5</v>
      </c>
      <c r="BR285" s="49" t="s">
        <v>0</v>
      </c>
    </row>
    <row r="286" spans="68:70" ht="39.950000000000003" hidden="1" customHeight="1" x14ac:dyDescent="0.25">
      <c r="BP286" s="21">
        <v>284</v>
      </c>
      <c r="BQ286" s="24">
        <v>142</v>
      </c>
      <c r="BR286" s="49" t="s">
        <v>0</v>
      </c>
    </row>
    <row r="287" spans="68:70" ht="39.950000000000003" hidden="1" customHeight="1" x14ac:dyDescent="0.25">
      <c r="BP287" s="21">
        <v>285</v>
      </c>
      <c r="BQ287" s="24">
        <v>142.5</v>
      </c>
      <c r="BR287" s="49" t="s">
        <v>0</v>
      </c>
    </row>
    <row r="288" spans="68:70" ht="39.950000000000003" hidden="1" customHeight="1" x14ac:dyDescent="0.25">
      <c r="BP288" s="21">
        <v>286</v>
      </c>
      <c r="BQ288" s="24">
        <v>143</v>
      </c>
      <c r="BR288" s="49" t="s">
        <v>0</v>
      </c>
    </row>
    <row r="289" spans="68:70" ht="39.950000000000003" hidden="1" customHeight="1" x14ac:dyDescent="0.25">
      <c r="BP289" s="21">
        <v>287</v>
      </c>
      <c r="BQ289" s="24">
        <v>143.5</v>
      </c>
      <c r="BR289" s="49" t="s">
        <v>0</v>
      </c>
    </row>
    <row r="290" spans="68:70" ht="39.950000000000003" hidden="1" customHeight="1" x14ac:dyDescent="0.25">
      <c r="BP290" s="21">
        <v>288</v>
      </c>
      <c r="BQ290" s="24">
        <v>144</v>
      </c>
      <c r="BR290" s="49" t="s">
        <v>0</v>
      </c>
    </row>
    <row r="291" spans="68:70" ht="39.950000000000003" hidden="1" customHeight="1" x14ac:dyDescent="0.25">
      <c r="BP291" s="21">
        <v>289</v>
      </c>
      <c r="BQ291" s="24">
        <v>144.5</v>
      </c>
      <c r="BR291" s="49" t="s">
        <v>0</v>
      </c>
    </row>
    <row r="292" spans="68:70" ht="39.950000000000003" hidden="1" customHeight="1" x14ac:dyDescent="0.25">
      <c r="BP292" s="21">
        <v>290</v>
      </c>
      <c r="BQ292" s="24">
        <v>145</v>
      </c>
      <c r="BR292" s="49" t="s">
        <v>0</v>
      </c>
    </row>
    <row r="293" spans="68:70" ht="39.950000000000003" hidden="1" customHeight="1" x14ac:dyDescent="0.25">
      <c r="BP293" s="21">
        <v>291</v>
      </c>
      <c r="BQ293" s="24">
        <v>145.5</v>
      </c>
      <c r="BR293" s="49" t="s">
        <v>0</v>
      </c>
    </row>
    <row r="294" spans="68:70" ht="39.950000000000003" hidden="1" customHeight="1" x14ac:dyDescent="0.25">
      <c r="BP294" s="21">
        <v>292</v>
      </c>
      <c r="BQ294" s="24">
        <v>146</v>
      </c>
      <c r="BR294" s="49" t="s">
        <v>0</v>
      </c>
    </row>
    <row r="295" spans="68:70" ht="39.950000000000003" hidden="1" customHeight="1" x14ac:dyDescent="0.25">
      <c r="BP295" s="21">
        <v>293</v>
      </c>
      <c r="BQ295" s="24">
        <v>146.5</v>
      </c>
      <c r="BR295" s="49" t="s">
        <v>0</v>
      </c>
    </row>
    <row r="296" spans="68:70" ht="39.950000000000003" hidden="1" customHeight="1" x14ac:dyDescent="0.25">
      <c r="BP296" s="21">
        <v>294</v>
      </c>
      <c r="BQ296" s="24">
        <v>147</v>
      </c>
      <c r="BR296" s="49" t="s">
        <v>0</v>
      </c>
    </row>
    <row r="297" spans="68:70" ht="39.950000000000003" hidden="1" customHeight="1" x14ac:dyDescent="0.25">
      <c r="BP297" s="21">
        <v>295</v>
      </c>
      <c r="BQ297" s="24">
        <v>147.5</v>
      </c>
      <c r="BR297" s="49" t="s">
        <v>0</v>
      </c>
    </row>
    <row r="298" spans="68:70" ht="39.950000000000003" hidden="1" customHeight="1" x14ac:dyDescent="0.25">
      <c r="BP298" s="21">
        <v>296</v>
      </c>
      <c r="BQ298" s="24">
        <v>148</v>
      </c>
      <c r="BR298" s="49" t="s">
        <v>0</v>
      </c>
    </row>
    <row r="299" spans="68:70" ht="39.950000000000003" hidden="1" customHeight="1" x14ac:dyDescent="0.25">
      <c r="BP299" s="21">
        <v>297</v>
      </c>
      <c r="BQ299" s="24">
        <v>148.5</v>
      </c>
      <c r="BR299" s="49" t="s">
        <v>0</v>
      </c>
    </row>
    <row r="300" spans="68:70" ht="39.950000000000003" hidden="1" customHeight="1" x14ac:dyDescent="0.25">
      <c r="BP300" s="21">
        <v>298</v>
      </c>
      <c r="BQ300" s="24">
        <v>149</v>
      </c>
      <c r="BR300" s="49" t="s">
        <v>0</v>
      </c>
    </row>
    <row r="301" spans="68:70" ht="39.950000000000003" hidden="1" customHeight="1" x14ac:dyDescent="0.25">
      <c r="BP301" s="21">
        <v>299</v>
      </c>
      <c r="BQ301" s="24">
        <v>149.5</v>
      </c>
      <c r="BR301" s="49" t="s">
        <v>0</v>
      </c>
    </row>
    <row r="302" spans="68:70" ht="39.950000000000003" hidden="1" customHeight="1" x14ac:dyDescent="0.25">
      <c r="BP302" s="21">
        <v>300</v>
      </c>
      <c r="BQ302" s="24">
        <v>150</v>
      </c>
      <c r="BR302" s="49" t="s">
        <v>0</v>
      </c>
    </row>
    <row r="303" spans="68:70" ht="39.950000000000003" hidden="1" customHeight="1" x14ac:dyDescent="0.25">
      <c r="BP303" s="21">
        <v>301</v>
      </c>
      <c r="BQ303" s="24">
        <v>150.5</v>
      </c>
      <c r="BR303" s="49" t="s">
        <v>0</v>
      </c>
    </row>
    <row r="304" spans="68:70" ht="39.950000000000003" hidden="1" customHeight="1" x14ac:dyDescent="0.25">
      <c r="BP304" s="21">
        <v>302</v>
      </c>
      <c r="BQ304" s="24">
        <v>151</v>
      </c>
      <c r="BR304" s="49" t="s">
        <v>0</v>
      </c>
    </row>
    <row r="305" spans="68:70" ht="39.950000000000003" hidden="1" customHeight="1" x14ac:dyDescent="0.25">
      <c r="BP305" s="21">
        <v>303</v>
      </c>
      <c r="BQ305" s="24">
        <v>151.5</v>
      </c>
      <c r="BR305" s="49" t="s">
        <v>0</v>
      </c>
    </row>
    <row r="306" spans="68:70" ht="39.950000000000003" hidden="1" customHeight="1" x14ac:dyDescent="0.25">
      <c r="BP306" s="21">
        <v>304</v>
      </c>
      <c r="BQ306" s="24">
        <v>152</v>
      </c>
      <c r="BR306" s="49" t="s">
        <v>0</v>
      </c>
    </row>
    <row r="307" spans="68:70" ht="39.950000000000003" hidden="1" customHeight="1" x14ac:dyDescent="0.25">
      <c r="BP307" s="21">
        <v>305</v>
      </c>
      <c r="BQ307" s="24">
        <v>152.5</v>
      </c>
      <c r="BR307" s="49" t="s">
        <v>0</v>
      </c>
    </row>
    <row r="308" spans="68:70" ht="39.950000000000003" hidden="1" customHeight="1" x14ac:dyDescent="0.25">
      <c r="BP308" s="21">
        <v>306</v>
      </c>
      <c r="BQ308" s="24">
        <v>153</v>
      </c>
      <c r="BR308" s="49" t="s">
        <v>0</v>
      </c>
    </row>
    <row r="309" spans="68:70" ht="39.950000000000003" hidden="1" customHeight="1" x14ac:dyDescent="0.25">
      <c r="BP309" s="21">
        <v>307</v>
      </c>
      <c r="BQ309" s="24">
        <v>153.5</v>
      </c>
      <c r="BR309" s="49" t="s">
        <v>0</v>
      </c>
    </row>
    <row r="310" spans="68:70" ht="39.950000000000003" hidden="1" customHeight="1" x14ac:dyDescent="0.25">
      <c r="BP310" s="21">
        <v>308</v>
      </c>
      <c r="BQ310" s="24">
        <v>154</v>
      </c>
      <c r="BR310" s="49" t="s">
        <v>0</v>
      </c>
    </row>
    <row r="311" spans="68:70" ht="39.950000000000003" hidden="1" customHeight="1" x14ac:dyDescent="0.25">
      <c r="BP311" s="21">
        <v>309</v>
      </c>
      <c r="BQ311" s="24">
        <v>154.5</v>
      </c>
      <c r="BR311" s="49" t="s">
        <v>0</v>
      </c>
    </row>
    <row r="312" spans="68:70" ht="39.950000000000003" hidden="1" customHeight="1" x14ac:dyDescent="0.25">
      <c r="BP312" s="21">
        <v>310</v>
      </c>
      <c r="BQ312" s="24">
        <v>155</v>
      </c>
      <c r="BR312" s="49" t="s">
        <v>0</v>
      </c>
    </row>
    <row r="313" spans="68:70" ht="39.950000000000003" hidden="1" customHeight="1" x14ac:dyDescent="0.25">
      <c r="BP313" s="21">
        <v>311</v>
      </c>
      <c r="BQ313" s="24">
        <v>155.5</v>
      </c>
      <c r="BR313" s="49" t="s">
        <v>0</v>
      </c>
    </row>
    <row r="314" spans="68:70" ht="39.950000000000003" hidden="1" customHeight="1" x14ac:dyDescent="0.25">
      <c r="BP314" s="21">
        <v>312</v>
      </c>
      <c r="BQ314" s="24">
        <v>156</v>
      </c>
      <c r="BR314" s="49" t="s">
        <v>0</v>
      </c>
    </row>
    <row r="315" spans="68:70" ht="39.950000000000003" hidden="1" customHeight="1" x14ac:dyDescent="0.25">
      <c r="BP315" s="21">
        <v>313</v>
      </c>
      <c r="BQ315" s="24">
        <v>156.5</v>
      </c>
      <c r="BR315" s="49" t="s">
        <v>0</v>
      </c>
    </row>
    <row r="316" spans="68:70" ht="39.950000000000003" hidden="1" customHeight="1" x14ac:dyDescent="0.25">
      <c r="BP316" s="21">
        <v>314</v>
      </c>
      <c r="BQ316" s="24">
        <v>157</v>
      </c>
      <c r="BR316" s="49" t="s">
        <v>0</v>
      </c>
    </row>
    <row r="317" spans="68:70" ht="39.950000000000003" hidden="1" customHeight="1" x14ac:dyDescent="0.25">
      <c r="BP317" s="21">
        <v>315</v>
      </c>
      <c r="BQ317" s="24">
        <v>157.5</v>
      </c>
      <c r="BR317" s="49" t="s">
        <v>0</v>
      </c>
    </row>
    <row r="318" spans="68:70" ht="39.950000000000003" hidden="1" customHeight="1" x14ac:dyDescent="0.25">
      <c r="BP318" s="21">
        <v>316</v>
      </c>
      <c r="BQ318" s="24">
        <v>158</v>
      </c>
      <c r="BR318" s="49" t="s">
        <v>0</v>
      </c>
    </row>
    <row r="319" spans="68:70" ht="39.950000000000003" hidden="1" customHeight="1" x14ac:dyDescent="0.25">
      <c r="BP319" s="21">
        <v>317</v>
      </c>
      <c r="BQ319" s="24">
        <v>158.5</v>
      </c>
      <c r="BR319" s="49" t="s">
        <v>0</v>
      </c>
    </row>
    <row r="320" spans="68:70" ht="39.950000000000003" hidden="1" customHeight="1" x14ac:dyDescent="0.25">
      <c r="BP320" s="21">
        <v>318</v>
      </c>
      <c r="BQ320" s="24">
        <v>159</v>
      </c>
      <c r="BR320" s="49" t="s">
        <v>0</v>
      </c>
    </row>
    <row r="321" spans="68:70" ht="39.950000000000003" hidden="1" customHeight="1" x14ac:dyDescent="0.25">
      <c r="BP321" s="21">
        <v>319</v>
      </c>
      <c r="BQ321" s="24">
        <v>159.5</v>
      </c>
      <c r="BR321" s="49" t="s">
        <v>0</v>
      </c>
    </row>
    <row r="322" spans="68:70" ht="39.950000000000003" hidden="1" customHeight="1" x14ac:dyDescent="0.25">
      <c r="BP322" s="21">
        <v>320</v>
      </c>
      <c r="BQ322" s="24">
        <v>160</v>
      </c>
      <c r="BR322" s="49" t="s">
        <v>0</v>
      </c>
    </row>
    <row r="323" spans="68:70" ht="39.950000000000003" hidden="1" customHeight="1" x14ac:dyDescent="0.25">
      <c r="BP323" s="21">
        <v>321</v>
      </c>
      <c r="BQ323" s="24">
        <v>160.5</v>
      </c>
      <c r="BR323" s="49" t="s">
        <v>0</v>
      </c>
    </row>
    <row r="324" spans="68:70" ht="39.950000000000003" hidden="1" customHeight="1" x14ac:dyDescent="0.25">
      <c r="BP324" s="21">
        <v>322</v>
      </c>
      <c r="BQ324" s="24">
        <v>161</v>
      </c>
      <c r="BR324" s="49" t="s">
        <v>0</v>
      </c>
    </row>
    <row r="325" spans="68:70" ht="39.950000000000003" hidden="1" customHeight="1" x14ac:dyDescent="0.25">
      <c r="BP325" s="21">
        <v>323</v>
      </c>
      <c r="BQ325" s="24">
        <v>161.5</v>
      </c>
      <c r="BR325" s="49" t="s">
        <v>0</v>
      </c>
    </row>
    <row r="326" spans="68:70" ht="39.950000000000003" hidden="1" customHeight="1" x14ac:dyDescent="0.25">
      <c r="BP326" s="21">
        <v>324</v>
      </c>
      <c r="BQ326" s="24">
        <v>162</v>
      </c>
      <c r="BR326" s="49" t="s">
        <v>0</v>
      </c>
    </row>
    <row r="327" spans="68:70" ht="39.950000000000003" hidden="1" customHeight="1" x14ac:dyDescent="0.25">
      <c r="BP327" s="21">
        <v>325</v>
      </c>
      <c r="BQ327" s="24">
        <v>162.5</v>
      </c>
      <c r="BR327" s="49" t="s">
        <v>0</v>
      </c>
    </row>
    <row r="328" spans="68:70" ht="39.950000000000003" hidden="1" customHeight="1" x14ac:dyDescent="0.25">
      <c r="BP328" s="21">
        <v>326</v>
      </c>
      <c r="BQ328" s="24">
        <v>163</v>
      </c>
      <c r="BR328" s="49" t="s">
        <v>0</v>
      </c>
    </row>
    <row r="329" spans="68:70" ht="39.950000000000003" hidden="1" customHeight="1" x14ac:dyDescent="0.25">
      <c r="BP329" s="21">
        <v>327</v>
      </c>
      <c r="BQ329" s="24">
        <v>163.5</v>
      </c>
      <c r="BR329" s="49" t="s">
        <v>0</v>
      </c>
    </row>
    <row r="330" spans="68:70" ht="39.950000000000003" hidden="1" customHeight="1" x14ac:dyDescent="0.25">
      <c r="BP330" s="21">
        <v>328</v>
      </c>
      <c r="BQ330" s="24">
        <v>164</v>
      </c>
      <c r="BR330" s="49" t="s">
        <v>0</v>
      </c>
    </row>
    <row r="331" spans="68:70" ht="39.950000000000003" hidden="1" customHeight="1" x14ac:dyDescent="0.25">
      <c r="BP331" s="21">
        <v>329</v>
      </c>
      <c r="BQ331" s="24">
        <v>164.5</v>
      </c>
      <c r="BR331" s="49" t="s">
        <v>0</v>
      </c>
    </row>
    <row r="332" spans="68:70" ht="39.950000000000003" hidden="1" customHeight="1" x14ac:dyDescent="0.25">
      <c r="BP332" s="21">
        <v>330</v>
      </c>
      <c r="BQ332" s="24">
        <v>165</v>
      </c>
      <c r="BR332" s="49" t="s">
        <v>0</v>
      </c>
    </row>
    <row r="333" spans="68:70" ht="39.950000000000003" hidden="1" customHeight="1" x14ac:dyDescent="0.25">
      <c r="BP333" s="21">
        <v>331</v>
      </c>
      <c r="BQ333" s="24">
        <v>165.5</v>
      </c>
      <c r="BR333" s="49" t="s">
        <v>0</v>
      </c>
    </row>
    <row r="334" spans="68:70" ht="39.950000000000003" hidden="1" customHeight="1" x14ac:dyDescent="0.25">
      <c r="BP334" s="21">
        <v>332</v>
      </c>
      <c r="BQ334" s="24">
        <v>166</v>
      </c>
      <c r="BR334" s="49" t="s">
        <v>0</v>
      </c>
    </row>
    <row r="335" spans="68:70" ht="39.950000000000003" hidden="1" customHeight="1" x14ac:dyDescent="0.25">
      <c r="BP335" s="21">
        <v>333</v>
      </c>
      <c r="BQ335" s="24">
        <v>166.5</v>
      </c>
      <c r="BR335" s="49" t="s">
        <v>0</v>
      </c>
    </row>
    <row r="336" spans="68:70" ht="39.950000000000003" hidden="1" customHeight="1" x14ac:dyDescent="0.25">
      <c r="BP336" s="21">
        <v>334</v>
      </c>
      <c r="BQ336" s="24">
        <v>167</v>
      </c>
      <c r="BR336" s="49" t="s">
        <v>0</v>
      </c>
    </row>
    <row r="337" spans="68:70" ht="39.950000000000003" hidden="1" customHeight="1" x14ac:dyDescent="0.25">
      <c r="BP337" s="21">
        <v>335</v>
      </c>
      <c r="BQ337" s="24">
        <v>167.5</v>
      </c>
      <c r="BR337" s="49" t="s">
        <v>0</v>
      </c>
    </row>
    <row r="338" spans="68:70" ht="39.950000000000003" hidden="1" customHeight="1" x14ac:dyDescent="0.25">
      <c r="BP338" s="21">
        <v>336</v>
      </c>
      <c r="BQ338" s="24">
        <v>168</v>
      </c>
      <c r="BR338" s="49" t="s">
        <v>0</v>
      </c>
    </row>
    <row r="339" spans="68:70" ht="39.950000000000003" hidden="1" customHeight="1" x14ac:dyDescent="0.25">
      <c r="BP339" s="21">
        <v>337</v>
      </c>
      <c r="BQ339" s="24">
        <v>168.5</v>
      </c>
      <c r="BR339" s="49" t="s">
        <v>0</v>
      </c>
    </row>
    <row r="340" spans="68:70" ht="39.950000000000003" hidden="1" customHeight="1" x14ac:dyDescent="0.25">
      <c r="BP340" s="21">
        <v>338</v>
      </c>
      <c r="BQ340" s="24">
        <v>169</v>
      </c>
      <c r="BR340" s="49" t="s">
        <v>0</v>
      </c>
    </row>
    <row r="341" spans="68:70" ht="39.950000000000003" hidden="1" customHeight="1" x14ac:dyDescent="0.25">
      <c r="BP341" s="21">
        <v>339</v>
      </c>
      <c r="BQ341" s="24">
        <v>169.5</v>
      </c>
      <c r="BR341" s="49" t="s">
        <v>0</v>
      </c>
    </row>
    <row r="342" spans="68:70" ht="39.950000000000003" hidden="1" customHeight="1" x14ac:dyDescent="0.25">
      <c r="BP342" s="21">
        <v>340</v>
      </c>
      <c r="BQ342" s="24">
        <v>170</v>
      </c>
      <c r="BR342" s="49" t="s">
        <v>0</v>
      </c>
    </row>
    <row r="343" spans="68:70" ht="39.950000000000003" hidden="1" customHeight="1" x14ac:dyDescent="0.25">
      <c r="BP343" s="21">
        <v>341</v>
      </c>
      <c r="BQ343" s="24">
        <v>170.5</v>
      </c>
      <c r="BR343" s="49" t="s">
        <v>0</v>
      </c>
    </row>
    <row r="344" spans="68:70" ht="39.950000000000003" hidden="1" customHeight="1" x14ac:dyDescent="0.25">
      <c r="BP344" s="21">
        <v>342</v>
      </c>
      <c r="BQ344" s="24">
        <v>171</v>
      </c>
      <c r="BR344" s="49" t="s">
        <v>0</v>
      </c>
    </row>
    <row r="345" spans="68:70" ht="39.950000000000003" hidden="1" customHeight="1" x14ac:dyDescent="0.25">
      <c r="BP345" s="21">
        <v>343</v>
      </c>
      <c r="BQ345" s="24">
        <v>171.5</v>
      </c>
      <c r="BR345" s="49" t="s">
        <v>0</v>
      </c>
    </row>
    <row r="346" spans="68:70" ht="39.950000000000003" hidden="1" customHeight="1" x14ac:dyDescent="0.25">
      <c r="BP346" s="21">
        <v>344</v>
      </c>
      <c r="BQ346" s="24">
        <v>172</v>
      </c>
      <c r="BR346" s="49" t="s">
        <v>0</v>
      </c>
    </row>
    <row r="347" spans="68:70" ht="39.950000000000003" hidden="1" customHeight="1" x14ac:dyDescent="0.25">
      <c r="BP347" s="21">
        <v>345</v>
      </c>
      <c r="BQ347" s="24">
        <v>172.5</v>
      </c>
      <c r="BR347" s="49" t="s">
        <v>0</v>
      </c>
    </row>
    <row r="348" spans="68:70" ht="39.950000000000003" hidden="1" customHeight="1" x14ac:dyDescent="0.25">
      <c r="BP348" s="21">
        <v>346</v>
      </c>
      <c r="BQ348" s="24">
        <v>173</v>
      </c>
      <c r="BR348" s="49" t="s">
        <v>0</v>
      </c>
    </row>
    <row r="349" spans="68:70" ht="39.950000000000003" hidden="1" customHeight="1" x14ac:dyDescent="0.25">
      <c r="BP349" s="21">
        <v>347</v>
      </c>
      <c r="BQ349" s="24">
        <v>173.5</v>
      </c>
      <c r="BR349" s="49" t="s">
        <v>0</v>
      </c>
    </row>
    <row r="350" spans="68:70" ht="39.950000000000003" hidden="1" customHeight="1" x14ac:dyDescent="0.25">
      <c r="BP350" s="21">
        <v>348</v>
      </c>
      <c r="BQ350" s="24">
        <v>174</v>
      </c>
      <c r="BR350" s="49" t="s">
        <v>0</v>
      </c>
    </row>
    <row r="351" spans="68:70" ht="39.950000000000003" hidden="1" customHeight="1" x14ac:dyDescent="0.25">
      <c r="BP351" s="21">
        <v>349</v>
      </c>
      <c r="BQ351" s="24">
        <v>174.5</v>
      </c>
      <c r="BR351" s="49" t="s">
        <v>0</v>
      </c>
    </row>
    <row r="352" spans="68:70" ht="39.950000000000003" hidden="1" customHeight="1" x14ac:dyDescent="0.25">
      <c r="BP352" s="21">
        <v>350</v>
      </c>
      <c r="BQ352" s="24">
        <v>175</v>
      </c>
      <c r="BR352" s="49" t="s">
        <v>0</v>
      </c>
    </row>
    <row r="353" spans="68:70" ht="39.950000000000003" hidden="1" customHeight="1" x14ac:dyDescent="0.25">
      <c r="BP353" s="21">
        <v>351</v>
      </c>
      <c r="BQ353" s="24">
        <v>175.5</v>
      </c>
      <c r="BR353" s="49" t="s">
        <v>0</v>
      </c>
    </row>
    <row r="354" spans="68:70" ht="39.950000000000003" hidden="1" customHeight="1" x14ac:dyDescent="0.25">
      <c r="BP354" s="21">
        <v>352</v>
      </c>
      <c r="BQ354" s="24">
        <v>176</v>
      </c>
      <c r="BR354" s="49" t="s">
        <v>0</v>
      </c>
    </row>
    <row r="355" spans="68:70" ht="39.950000000000003" hidden="1" customHeight="1" x14ac:dyDescent="0.25">
      <c r="BP355" s="21">
        <v>353</v>
      </c>
      <c r="BQ355" s="24">
        <v>176.5</v>
      </c>
      <c r="BR355" s="49" t="s">
        <v>0</v>
      </c>
    </row>
    <row r="356" spans="68:70" ht="39.950000000000003" hidden="1" customHeight="1" x14ac:dyDescent="0.25">
      <c r="BP356" s="21">
        <v>354</v>
      </c>
      <c r="BQ356" s="24">
        <v>177</v>
      </c>
      <c r="BR356" s="49" t="s">
        <v>0</v>
      </c>
    </row>
    <row r="357" spans="68:70" ht="39.950000000000003" hidden="1" customHeight="1" x14ac:dyDescent="0.25">
      <c r="BP357" s="21">
        <v>355</v>
      </c>
      <c r="BQ357" s="24">
        <v>177.5</v>
      </c>
      <c r="BR357" s="49" t="s">
        <v>0</v>
      </c>
    </row>
    <row r="358" spans="68:70" ht="39.950000000000003" hidden="1" customHeight="1" x14ac:dyDescent="0.25">
      <c r="BP358" s="21">
        <v>356</v>
      </c>
      <c r="BQ358" s="24">
        <v>178</v>
      </c>
      <c r="BR358" s="49" t="s">
        <v>0</v>
      </c>
    </row>
    <row r="359" spans="68:70" ht="39.950000000000003" hidden="1" customHeight="1" x14ac:dyDescent="0.25">
      <c r="BP359" s="21">
        <v>357</v>
      </c>
      <c r="BQ359" s="24">
        <v>178.5</v>
      </c>
      <c r="BR359" s="49" t="s">
        <v>0</v>
      </c>
    </row>
    <row r="360" spans="68:70" ht="39.950000000000003" hidden="1" customHeight="1" x14ac:dyDescent="0.25">
      <c r="BP360" s="21">
        <v>358</v>
      </c>
      <c r="BQ360" s="24">
        <v>179</v>
      </c>
      <c r="BR360" s="49" t="s">
        <v>0</v>
      </c>
    </row>
    <row r="361" spans="68:70" ht="39.950000000000003" hidden="1" customHeight="1" x14ac:dyDescent="0.25">
      <c r="BP361" s="21">
        <v>359</v>
      </c>
      <c r="BQ361" s="24">
        <v>179.5</v>
      </c>
      <c r="BR361" s="49" t="s">
        <v>0</v>
      </c>
    </row>
    <row r="362" spans="68:70" ht="39.950000000000003" hidden="1" customHeight="1" x14ac:dyDescent="0.25">
      <c r="BP362" s="21">
        <v>360</v>
      </c>
      <c r="BQ362" s="24">
        <v>180</v>
      </c>
      <c r="BR362" s="49" t="s">
        <v>0</v>
      </c>
    </row>
  </sheetData>
  <sheetProtection algorithmName="SHA-512" hashValue="1eqvLp4mK+zWGlzp5TLRmeo6EY8beGZakRIK0++iV8Keq2STq2Wdagh8D2D73RT2MTlQuxdk5jKabAvegvwLzQ==" saltValue="SBd9k4NMDGH+vI9kIzuVMQ==" spinCount="100000" sheet="1" objects="1" scenarios="1" selectLockedCells="1"/>
  <mergeCells count="24">
    <mergeCell ref="R1:R28"/>
    <mergeCell ref="U28:W28"/>
    <mergeCell ref="S1:S28"/>
    <mergeCell ref="E1:E14"/>
    <mergeCell ref="N1:N14"/>
    <mergeCell ref="K1:M14"/>
    <mergeCell ref="X1:X28"/>
    <mergeCell ref="A1:A14"/>
    <mergeCell ref="B1:B14"/>
    <mergeCell ref="I1:I14"/>
    <mergeCell ref="D1:D14"/>
    <mergeCell ref="O1:O14"/>
    <mergeCell ref="C1:C14"/>
    <mergeCell ref="H1:H14"/>
    <mergeCell ref="U2:U27"/>
    <mergeCell ref="T1:T28"/>
    <mergeCell ref="W2:W27"/>
    <mergeCell ref="V2:V27"/>
    <mergeCell ref="U1:W1"/>
    <mergeCell ref="Q1:Q14"/>
    <mergeCell ref="P1:P14"/>
    <mergeCell ref="J1:J14"/>
    <mergeCell ref="G1:G14"/>
    <mergeCell ref="F1:F14"/>
  </mergeCells>
  <phoneticPr fontId="4" type="noConversion"/>
  <dataValidations count="11">
    <dataValidation type="list" allowBlank="1" showInputMessage="1" showErrorMessage="1" sqref="AY29:AY40" xr:uid="{00000000-0002-0000-0000-00001D000000}">
      <formula1>"Yok, Var"</formula1>
    </dataValidation>
    <dataValidation type="list" allowBlank="1" showInputMessage="1" showErrorMessage="1" sqref="N15:N26" xr:uid="{6F358D2D-A20D-445D-9C51-9E1027A06CA6}">
      <formula1>$BR$2:$BR$50</formula1>
    </dataValidation>
    <dataValidation type="list" allowBlank="1" showInputMessage="1" showErrorMessage="1" sqref="R1:R28" xr:uid="{9054E20C-415A-4A28-9A83-E6387959DADB}">
      <formula1>"Ocak, Şubat, Mart, Nisan, Mayıs, Haziran, Temmuz, Ağustos, Eylül, Ekim, Kasım, Aralık, Yıllık Toplam, Yıllık Ortalama"</formula1>
    </dataValidation>
    <dataValidation type="list" allowBlank="1" showInputMessage="1" showErrorMessage="1" sqref="AK18" xr:uid="{E78907BA-7A5C-4BC5-9626-30F7C79A3DA3}">
      <formula1>#REF!</formula1>
    </dataValidation>
    <dataValidation type="list" allowBlank="1" showInputMessage="1" showErrorMessage="1" sqref="D15:G26" xr:uid="{D16C9647-72F6-4D86-BCEE-3739AC9AC5F3}">
      <formula1>$BQ$2:$BQ$362</formula1>
    </dataValidation>
    <dataValidation type="list" allowBlank="1" showInputMessage="1" showErrorMessage="1" sqref="AU1:AU12 H15:I26 AR1:AR12 AT15:AT26" xr:uid="{65FACC1D-9377-4225-8D3E-97700607B264}">
      <formula1>$BP$2:$BP$362</formula1>
    </dataValidation>
    <dataValidation type="list" allowBlank="1" showInputMessage="1" showErrorMessage="1" sqref="J15:J26" xr:uid="{AAFC32F0-9929-41FE-AF13-7DD5CC8062A5}">
      <formula1>$BP$2:$BP$7</formula1>
    </dataValidation>
    <dataValidation type="list" allowBlank="1" showInputMessage="1" showErrorMessage="1" sqref="C15:C26" xr:uid="{BFD331B3-F1D8-4A77-80EF-AF0B1138E199}">
      <formula1>$BP$2:$BP$32</formula1>
    </dataValidation>
    <dataValidation type="list" allowBlank="1" showInputMessage="1" showErrorMessage="1" sqref="A1:A14" xr:uid="{AE81A231-50A0-4C37-89AE-F70005CB0F11}">
      <formula1>$AB$1:$AB$2</formula1>
    </dataValidation>
    <dataValidation type="list" allowBlank="1" showInputMessage="1" showErrorMessage="1" sqref="K15:M26" xr:uid="{8A8500C5-E1AA-414D-818F-21B663F72211}">
      <formula1>$AC$40:$AC$54</formula1>
    </dataValidation>
    <dataValidation type="list" allowBlank="1" showInputMessage="1" showErrorMessage="1" sqref="T1" xr:uid="{F853FCC4-C3B8-4272-9BE3-E548C91B3D0F}">
      <formula1>$Z$22:$Z$35</formula1>
    </dataValidation>
  </dataValidations>
  <printOptions horizontalCentered="1" verticalCentered="1"/>
  <pageMargins left="0" right="0" top="0" bottom="0" header="0" footer="0"/>
  <pageSetup paperSize="8" fitToHeight="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Template/>
  <TotalTime>17</TotalTime>
  <Application>Microsoft Excel</Application>
  <DocSecurity>0</DocSecurity>
  <ScaleCrop>false</ScaleCrop>
  <HeadingPairs>
    <vt:vector size="2" baseType="variant">
      <vt:variant>
        <vt:lpstr>Çalışma Sayfaları</vt:lpstr>
      </vt:variant>
      <vt:variant>
        <vt:i4>1</vt:i4>
      </vt:variant>
    </vt:vector>
  </HeadingPairs>
  <TitlesOfParts>
    <vt:vector size="1" baseType="lpstr">
      <vt:lpstr>Özet Tablo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x</dc:creator>
  <dc:description/>
  <cp:lastModifiedBy>½</cp:lastModifiedBy>
  <cp:lastPrinted>2021-01-27T16:23:43Z</cp:lastPrinted>
  <dcterms:created xsi:type="dcterms:W3CDTF">2015-06-05T18:19:34Z</dcterms:created>
  <dcterms:modified xsi:type="dcterms:W3CDTF">2025-07-14T06:34:18Z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