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BuÇalışmaKitabı" autoCompressPictures="0" defaultThemeVersion="124226"/>
  <mc:AlternateContent xmlns:mc="http://schemas.openxmlformats.org/markup-compatibility/2006">
    <mc:Choice Requires="x15">
      <x15ac:absPath xmlns:x15ac="http://schemas.microsoft.com/office/spreadsheetml/2010/11/ac" url="D:\Arif Gürer\Emek Defteri\Ödenekler Hesabı\01 - Genel Çalışmalar\Ek\ŞH-4857\"/>
    </mc:Choice>
  </mc:AlternateContent>
  <xr:revisionPtr revIDLastSave="0" documentId="13_ncr:1_{ECCB04C1-EB59-430A-BC8B-0734992EEB71}" xr6:coauthVersionLast="47" xr6:coauthVersionMax="47" xr10:uidLastSave="{00000000-0000-0000-0000-000000000000}"/>
  <workbookProtection workbookAlgorithmName="SHA-512" workbookHashValue="Yjc8n40o1qlaD67jZwZEbcN8OU//RL1Mq94QlPjzBVu5VwJtkFm4AWyrZaAk9ygwDB3h0itN61OZdj4AKgBMNw==" workbookSaltValue="ihGLPWlIZ58VqIvfuGm1gA=="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9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4" i="130" l="1"/>
  <c r="AG51" i="130"/>
  <c r="AG48" i="130"/>
  <c r="AG45" i="130"/>
  <c r="AU16" i="130"/>
  <c r="AU17" i="130"/>
  <c r="AU18" i="130"/>
  <c r="AU19" i="130"/>
  <c r="AU20" i="130"/>
  <c r="AU21" i="130"/>
  <c r="AU22" i="130"/>
  <c r="AU23" i="130"/>
  <c r="AU24" i="130"/>
  <c r="AU25" i="130"/>
  <c r="AU26" i="130"/>
  <c r="AU15" i="130"/>
  <c r="AV16" i="130" l="1"/>
  <c r="AV17" i="130"/>
  <c r="AV18" i="130"/>
  <c r="AV19" i="130"/>
  <c r="AV20" i="130"/>
  <c r="AV21" i="130"/>
  <c r="AV22" i="130"/>
  <c r="AV23" i="130"/>
  <c r="AV24" i="130"/>
  <c r="AV25" i="130"/>
  <c r="AV26" i="130"/>
  <c r="AV15" i="130"/>
  <c r="AG2" i="130"/>
  <c r="AG3" i="130"/>
  <c r="AG4" i="130"/>
  <c r="AG5" i="130"/>
  <c r="AG6" i="130"/>
  <c r="AG7" i="130"/>
  <c r="AG8" i="130"/>
  <c r="AG9" i="130"/>
  <c r="AG10" i="130"/>
  <c r="AG11" i="130"/>
  <c r="AG12" i="130"/>
  <c r="AG1" i="130"/>
  <c r="B10" i="130"/>
  <c r="B6" i="130"/>
  <c r="B2" i="130"/>
  <c r="AG53" i="130"/>
  <c r="AG52" i="130"/>
  <c r="AG50" i="130"/>
  <c r="AG49" i="130"/>
  <c r="AG47" i="130"/>
  <c r="AG46" i="130"/>
  <c r="AG44" i="130"/>
  <c r="AG43" i="130"/>
  <c r="AK52" i="130"/>
  <c r="AK53" i="130"/>
  <c r="AK54" i="130"/>
  <c r="AK51" i="130"/>
  <c r="AK50" i="130"/>
  <c r="AK49" i="130"/>
  <c r="AK44" i="130"/>
  <c r="AK45" i="130"/>
  <c r="AK46" i="130"/>
  <c r="AK47" i="130"/>
  <c r="AK48" i="130"/>
  <c r="AK43" i="130"/>
  <c r="AN24" i="130" l="1"/>
  <c r="AN25" i="130"/>
  <c r="AN26" i="130"/>
  <c r="AN23" i="130"/>
  <c r="AL23" i="130"/>
  <c r="AM9" i="130" s="1"/>
  <c r="AN22" i="130"/>
  <c r="AN21" i="130"/>
  <c r="AL21" i="130"/>
  <c r="AM7" i="130" s="1"/>
  <c r="AN16" i="130"/>
  <c r="AN17" i="130"/>
  <c r="AN18" i="130"/>
  <c r="AN19" i="130"/>
  <c r="AN20" i="130"/>
  <c r="AN15" i="130"/>
  <c r="AL15" i="130"/>
  <c r="AM1" i="130" s="1"/>
  <c r="AL24" i="130"/>
  <c r="AM10" i="130" s="1"/>
  <c r="AL25" i="130"/>
  <c r="AM11" i="130" s="1"/>
  <c r="AL26" i="130"/>
  <c r="AM12" i="130" s="1"/>
  <c r="AL22" i="130"/>
  <c r="AM8" i="130" s="1"/>
  <c r="AL16" i="130"/>
  <c r="AM2" i="130" s="1"/>
  <c r="AL17" i="130"/>
  <c r="AM3" i="130" s="1"/>
  <c r="AL18" i="130"/>
  <c r="AM4" i="130" s="1"/>
  <c r="AL19" i="130"/>
  <c r="AM5" i="130" s="1"/>
  <c r="AL20" i="130"/>
  <c r="AM6" i="130" s="1"/>
  <c r="AO5" i="130" l="1"/>
  <c r="AK5" i="130"/>
  <c r="AI5" i="130"/>
  <c r="AO4" i="130"/>
  <c r="AK4" i="130"/>
  <c r="AI4" i="130"/>
  <c r="AO3" i="130"/>
  <c r="AK3" i="130"/>
  <c r="AI3" i="130"/>
  <c r="AI2" i="130"/>
  <c r="AO2" i="130"/>
  <c r="AK2" i="130"/>
  <c r="AO7" i="130"/>
  <c r="AK7" i="130"/>
  <c r="AI7" i="130"/>
  <c r="AO8" i="130"/>
  <c r="AK8" i="130"/>
  <c r="AI8" i="130"/>
  <c r="AO12" i="130"/>
  <c r="AK12" i="130"/>
  <c r="AI12" i="130"/>
  <c r="AO11" i="130"/>
  <c r="AK11" i="130"/>
  <c r="AI11" i="130"/>
  <c r="AO9" i="130"/>
  <c r="AK9" i="130"/>
  <c r="AI9" i="130"/>
  <c r="AO6" i="130"/>
  <c r="AK6" i="130"/>
  <c r="AI6" i="130"/>
  <c r="AO10" i="130"/>
  <c r="AK10" i="130"/>
  <c r="AI10" i="130"/>
  <c r="AI1" i="130"/>
  <c r="AO1" i="130"/>
  <c r="AK1" i="130"/>
  <c r="AX26" i="130"/>
  <c r="AX25" i="130"/>
  <c r="AX24" i="130"/>
  <c r="AX23" i="130"/>
  <c r="AX22" i="130"/>
  <c r="AX15" i="130"/>
  <c r="AX21" i="130"/>
  <c r="AX20" i="130"/>
  <c r="AX19" i="130"/>
  <c r="AX18" i="130"/>
  <c r="AX17" i="130"/>
  <c r="AX16" i="130"/>
  <c r="AS31" i="130"/>
  <c r="AS32" i="130"/>
  <c r="AS33" i="130"/>
  <c r="AS34" i="130"/>
  <c r="AS35" i="130"/>
  <c r="AS36" i="130"/>
  <c r="AS37" i="130"/>
  <c r="AS38" i="130"/>
  <c r="AS39" i="130"/>
  <c r="AS40" i="130"/>
  <c r="AS30" i="130"/>
  <c r="AS29" i="130"/>
  <c r="AQ2" i="130"/>
  <c r="AS2" i="130" s="1"/>
  <c r="AQ3" i="130"/>
  <c r="AQ4" i="130"/>
  <c r="AS4" i="130" s="1"/>
  <c r="AH32" i="130" s="1"/>
  <c r="AQ5" i="130"/>
  <c r="AS5" i="130" s="1"/>
  <c r="AQ6" i="130"/>
  <c r="AS6" i="130" s="1"/>
  <c r="AR20" i="130" s="1"/>
  <c r="AS20" i="130" s="1"/>
  <c r="AG34" i="130" s="1"/>
  <c r="AQ7" i="130"/>
  <c r="AS7" i="130" s="1"/>
  <c r="AR21" i="130" s="1"/>
  <c r="AQ8" i="130"/>
  <c r="AQ9" i="130"/>
  <c r="AS9" i="130" s="1"/>
  <c r="AQ10" i="130"/>
  <c r="AS10" i="130" s="1"/>
  <c r="AR24" i="130" s="1"/>
  <c r="AS24" i="130" s="1"/>
  <c r="AG38" i="130" s="1"/>
  <c r="AQ11" i="130"/>
  <c r="AS11" i="130" s="1"/>
  <c r="AH39" i="130" s="1"/>
  <c r="AI39" i="130" s="1"/>
  <c r="AQ12" i="130"/>
  <c r="AS12" i="130" s="1"/>
  <c r="AQ1" i="130"/>
  <c r="AS1" i="130" s="1"/>
  <c r="AH29" i="130" s="1"/>
  <c r="AS3" i="130"/>
  <c r="AH31" i="130" s="1"/>
  <c r="AW2" i="130"/>
  <c r="AW3" i="130"/>
  <c r="AW4" i="130"/>
  <c r="AW5" i="130"/>
  <c r="AW6" i="130"/>
  <c r="AW7" i="130"/>
  <c r="AW8" i="130"/>
  <c r="AW9" i="130"/>
  <c r="AW10" i="130"/>
  <c r="AW11" i="130"/>
  <c r="AW12" i="130"/>
  <c r="AW1" i="130"/>
  <c r="E27" i="130"/>
  <c r="BM16" i="130"/>
  <c r="BL16" i="130"/>
  <c r="BJ1" i="130"/>
  <c r="BI1" i="130"/>
  <c r="AT40" i="130"/>
  <c r="AX40" i="130" s="1"/>
  <c r="AT39" i="130"/>
  <c r="AX39" i="130" s="1"/>
  <c r="AT38" i="130"/>
  <c r="AU38" i="130" s="1"/>
  <c r="AT37" i="130"/>
  <c r="AY37" i="130" s="1"/>
  <c r="AT36" i="130"/>
  <c r="BO9" i="130" s="1"/>
  <c r="AT35" i="130"/>
  <c r="AX35" i="130" s="1"/>
  <c r="AT34" i="130"/>
  <c r="AU34" i="130" s="1"/>
  <c r="AT33" i="130"/>
  <c r="AY33" i="130" s="1"/>
  <c r="AT32" i="130"/>
  <c r="AU32" i="130" s="1"/>
  <c r="AV32" i="130" s="1"/>
  <c r="AW32" i="130" s="1"/>
  <c r="AT31" i="130"/>
  <c r="AU31" i="130" s="1"/>
  <c r="AT30" i="130"/>
  <c r="AT29" i="130"/>
  <c r="AU29" i="130" s="1"/>
  <c r="AC13" i="130"/>
  <c r="AC34" i="130"/>
  <c r="AC33" i="130" s="1"/>
  <c r="AD26" i="130"/>
  <c r="AC25" i="130"/>
  <c r="AE25" i="130" s="1"/>
  <c r="AC24" i="130"/>
  <c r="AF24" i="130" s="1"/>
  <c r="AC23" i="130"/>
  <c r="AF23" i="130" s="1"/>
  <c r="AC22" i="130"/>
  <c r="AE22" i="130" s="1"/>
  <c r="AC19" i="130"/>
  <c r="AC17" i="130"/>
  <c r="AC18" i="130" s="1"/>
  <c r="AE18" i="130" s="1"/>
  <c r="AE7" i="130" s="1"/>
  <c r="AC16" i="130"/>
  <c r="AE16" i="130" s="1"/>
  <c r="AE5" i="130" s="1"/>
  <c r="AC4" i="130"/>
  <c r="AF4" i="130" s="1"/>
  <c r="AC3" i="130"/>
  <c r="AF3" i="130" s="1"/>
  <c r="AC2" i="130"/>
  <c r="AE2" i="130" s="1"/>
  <c r="AS8" i="130"/>
  <c r="AR22" i="130" s="1"/>
  <c r="U2" i="130"/>
  <c r="BS18" i="130"/>
  <c r="BS19" i="130"/>
  <c r="BS20" i="130"/>
  <c r="BS21" i="130"/>
  <c r="BS22" i="130"/>
  <c r="BS23" i="130"/>
  <c r="BS24" i="130"/>
  <c r="BS25" i="130"/>
  <c r="BS26" i="130"/>
  <c r="BS27" i="130"/>
  <c r="BS28" i="130"/>
  <c r="BS17" i="130"/>
  <c r="G27" i="130"/>
  <c r="F27" i="130"/>
  <c r="D27" i="130"/>
  <c r="AJ55" i="130"/>
  <c r="AQ41" i="130"/>
  <c r="H27" i="130"/>
  <c r="BG3" i="130"/>
  <c r="BG4" i="130"/>
  <c r="BG5" i="130"/>
  <c r="BG6" i="130"/>
  <c r="BG7" i="130"/>
  <c r="BG8" i="130"/>
  <c r="BG9" i="130"/>
  <c r="BG10" i="130"/>
  <c r="BG11" i="130"/>
  <c r="BG12" i="130"/>
  <c r="BG13" i="130"/>
  <c r="BG2" i="130"/>
  <c r="AX2" i="130"/>
  <c r="AX3" i="130"/>
  <c r="AX4" i="130"/>
  <c r="AX5" i="130"/>
  <c r="AX6" i="130"/>
  <c r="AX7" i="130"/>
  <c r="AX8" i="130"/>
  <c r="AX9" i="130"/>
  <c r="AX10" i="130"/>
  <c r="AX11" i="130"/>
  <c r="AX12" i="130"/>
  <c r="AX1" i="130"/>
  <c r="BC3" i="130"/>
  <c r="BO6" i="130"/>
  <c r="BO5" i="130"/>
  <c r="AH15" i="130"/>
  <c r="AI15" i="130" s="1"/>
  <c r="BC6" i="130"/>
  <c r="BC5" i="130"/>
  <c r="BC4" i="130"/>
  <c r="BE3" i="130"/>
  <c r="BO13" i="130" l="1"/>
  <c r="AF22" i="130"/>
  <c r="AE4" i="130"/>
  <c r="AX33" i="130"/>
  <c r="AE3" i="130"/>
  <c r="AE23" i="130"/>
  <c r="AF34" i="130"/>
  <c r="BO10" i="130"/>
  <c r="BO7" i="130"/>
  <c r="AE34" i="130"/>
  <c r="AE17" i="130"/>
  <c r="AE6" i="130" s="1"/>
  <c r="AC26" i="130"/>
  <c r="AF26" i="130" s="1"/>
  <c r="AF2" i="130"/>
  <c r="AF17" i="130"/>
  <c r="AF19" i="130" s="1"/>
  <c r="AF20" i="130" s="1"/>
  <c r="AE24" i="130"/>
  <c r="AY36" i="130"/>
  <c r="AY8" i="130" s="1"/>
  <c r="AU40" i="130"/>
  <c r="AV40" i="130" s="1"/>
  <c r="AW40" i="130" s="1"/>
  <c r="AF18" i="130"/>
  <c r="AF7" i="130" s="1"/>
  <c r="AF16" i="130"/>
  <c r="AF5" i="130" s="1"/>
  <c r="BE4" i="130"/>
  <c r="BE5" i="130" s="1"/>
  <c r="BE6" i="130" s="1"/>
  <c r="AY32" i="130"/>
  <c r="AY4" i="130" s="1"/>
  <c r="AY5" i="130"/>
  <c r="AZ6" i="130" s="1"/>
  <c r="AY40" i="130"/>
  <c r="AY12" i="130" s="1"/>
  <c r="BA13" i="130" s="1"/>
  <c r="AS41" i="130"/>
  <c r="AS42" i="130" s="1"/>
  <c r="AY9" i="130"/>
  <c r="AZ10" i="130" s="1"/>
  <c r="AF25" i="130"/>
  <c r="AX29" i="130"/>
  <c r="BO2" i="130"/>
  <c r="AX37" i="130"/>
  <c r="AX36" i="130"/>
  <c r="AU36" i="130"/>
  <c r="AV36" i="130" s="1"/>
  <c r="AW36" i="130" s="1"/>
  <c r="AX32" i="130"/>
  <c r="AH40" i="130"/>
  <c r="AI40" i="130" s="1"/>
  <c r="AJ40" i="130" s="1"/>
  <c r="AR26" i="130"/>
  <c r="AS26" i="130" s="1"/>
  <c r="AG40" i="130" s="1"/>
  <c r="AH36" i="130"/>
  <c r="AI36" i="130" s="1"/>
  <c r="BE24" i="130" s="1"/>
  <c r="BE27" i="130"/>
  <c r="AY25" i="130"/>
  <c r="AY24" i="130"/>
  <c r="AY23" i="130"/>
  <c r="AY22" i="130"/>
  <c r="AY26" i="130"/>
  <c r="AY21" i="130"/>
  <c r="AY19" i="130"/>
  <c r="AY18" i="130"/>
  <c r="AY17" i="130"/>
  <c r="AY16" i="130"/>
  <c r="AJ15" i="130"/>
  <c r="AK15" i="130" s="1"/>
  <c r="AG16" i="130"/>
  <c r="AU35" i="130"/>
  <c r="AV35" i="130" s="1"/>
  <c r="AW35" i="130" s="1"/>
  <c r="BO4" i="130"/>
  <c r="BO8" i="130"/>
  <c r="BO12" i="130"/>
  <c r="AG13" i="130"/>
  <c r="AG14" i="130" s="1"/>
  <c r="AY38" i="130"/>
  <c r="AY10" i="130" s="1"/>
  <c r="AU30" i="130"/>
  <c r="AV30" i="130" s="1"/>
  <c r="AW30" i="130" s="1"/>
  <c r="BO3" i="130"/>
  <c r="AY30" i="130"/>
  <c r="AY2" i="130" s="1"/>
  <c r="AU39" i="130"/>
  <c r="AV39" i="130" s="1"/>
  <c r="AW39" i="130" s="1"/>
  <c r="AX31" i="130"/>
  <c r="AX30" i="130"/>
  <c r="BO11" i="130"/>
  <c r="AT41" i="130"/>
  <c r="AT42" i="130" s="1"/>
  <c r="AY35" i="130"/>
  <c r="AY7" i="130" s="1"/>
  <c r="AX38" i="130"/>
  <c r="AH30" i="130"/>
  <c r="AI30" i="130" s="1"/>
  <c r="BE18" i="130" s="1"/>
  <c r="AR16" i="130"/>
  <c r="AH38" i="130"/>
  <c r="AI38" i="130" s="1"/>
  <c r="AJ38" i="130" s="1"/>
  <c r="AL38" i="130" s="1"/>
  <c r="AR18" i="130"/>
  <c r="BA20" i="130" s="1"/>
  <c r="AH34" i="130"/>
  <c r="AI34" i="130" s="1"/>
  <c r="AJ34" i="130" s="1"/>
  <c r="AR25" i="130"/>
  <c r="AG55" i="130"/>
  <c r="AH48" i="130"/>
  <c r="AR19" i="130"/>
  <c r="AS19" i="130" s="1"/>
  <c r="AG33" i="130" s="1"/>
  <c r="AH33" i="130"/>
  <c r="AI33" i="130" s="1"/>
  <c r="BE21" i="130" s="1"/>
  <c r="AR23" i="130"/>
  <c r="AS23" i="130" s="1"/>
  <c r="AG37" i="130" s="1"/>
  <c r="AH37" i="130"/>
  <c r="AQ13" i="130"/>
  <c r="AQ14" i="130" s="1"/>
  <c r="AJ39" i="130"/>
  <c r="AL39" i="130" s="1"/>
  <c r="AI31" i="130"/>
  <c r="BE19" i="130" s="1"/>
  <c r="BA26" i="130"/>
  <c r="AH35" i="130"/>
  <c r="AI35" i="130" s="1"/>
  <c r="AJ35" i="130" s="1"/>
  <c r="AR17" i="130"/>
  <c r="AR15" i="130"/>
  <c r="BA17" i="130" s="1"/>
  <c r="AH50" i="130"/>
  <c r="AK55" i="130"/>
  <c r="AK56" i="130" s="1"/>
  <c r="AH53" i="130"/>
  <c r="AH43" i="130"/>
  <c r="AH54" i="130"/>
  <c r="AH49" i="130"/>
  <c r="AH45" i="130"/>
  <c r="AW13" i="130"/>
  <c r="AW14" i="130" s="1"/>
  <c r="AP15" i="130"/>
  <c r="AE33" i="130"/>
  <c r="AF33" i="130"/>
  <c r="AX13" i="130"/>
  <c r="AX14" i="130" s="1"/>
  <c r="BG14" i="130"/>
  <c r="BG15" i="130" s="1"/>
  <c r="BA22" i="130"/>
  <c r="AV34" i="130"/>
  <c r="AW34" i="130" s="1"/>
  <c r="AI29" i="130"/>
  <c r="AJ29" i="130" s="1"/>
  <c r="AI32" i="130"/>
  <c r="BE20" i="130" s="1"/>
  <c r="AV31" i="130"/>
  <c r="AW31" i="130" s="1"/>
  <c r="AS13" i="130"/>
  <c r="AS14" i="130" s="1"/>
  <c r="AS22" i="130"/>
  <c r="AG36" i="130" s="1"/>
  <c r="AY29" i="130"/>
  <c r="AV29" i="130"/>
  <c r="AU37" i="130"/>
  <c r="AU33" i="130"/>
  <c r="AV38" i="130"/>
  <c r="AW38" i="130" s="1"/>
  <c r="AX34" i="130"/>
  <c r="AH52" i="130"/>
  <c r="AS21" i="130"/>
  <c r="AG35" i="130" s="1"/>
  <c r="AY39" i="130"/>
  <c r="AY11" i="130" s="1"/>
  <c r="AY31" i="130"/>
  <c r="AY3" i="130" s="1"/>
  <c r="AY34" i="130"/>
  <c r="AY6" i="130" s="1"/>
  <c r="AH51" i="130"/>
  <c r="AH44" i="130"/>
  <c r="AL27" i="130"/>
  <c r="AL28" i="130" s="1"/>
  <c r="AY20" i="130"/>
  <c r="AH46" i="130"/>
  <c r="AN27" i="130"/>
  <c r="AN28" i="130" s="1"/>
  <c r="AH47" i="130"/>
  <c r="AE19" i="130" l="1"/>
  <c r="AE20" i="130" s="1"/>
  <c r="BA6" i="130"/>
  <c r="BF6" i="130" s="1"/>
  <c r="BH6" i="130" s="1"/>
  <c r="AF6" i="130"/>
  <c r="AF27" i="130"/>
  <c r="AE26" i="130"/>
  <c r="AE27" i="130" s="1"/>
  <c r="BA28" i="130"/>
  <c r="AZ9" i="130"/>
  <c r="BA9" i="130"/>
  <c r="Z8" i="130"/>
  <c r="Y8" i="130" s="1"/>
  <c r="BE28" i="130"/>
  <c r="AJ36" i="130"/>
  <c r="AL36" i="130" s="1"/>
  <c r="BA27" i="130"/>
  <c r="BA10" i="130"/>
  <c r="BF10" i="130" s="1"/>
  <c r="BH10" i="130" s="1"/>
  <c r="AZ5" i="130"/>
  <c r="BA5" i="130"/>
  <c r="AZ13" i="130"/>
  <c r="BF13" i="130" s="1"/>
  <c r="BH13" i="130" s="1"/>
  <c r="BE22" i="130"/>
  <c r="AX41" i="130"/>
  <c r="AX42" i="130" s="1"/>
  <c r="BA23" i="130"/>
  <c r="BA24" i="130"/>
  <c r="BA3" i="130"/>
  <c r="AZ3" i="130"/>
  <c r="AS25" i="130"/>
  <c r="AG39" i="130" s="1"/>
  <c r="AS16" i="130"/>
  <c r="AG30" i="130" s="1"/>
  <c r="BA18" i="130"/>
  <c r="AK39" i="130"/>
  <c r="AM39" i="130" s="1"/>
  <c r="AS17" i="130"/>
  <c r="AG31" i="130" s="1"/>
  <c r="BA19" i="130"/>
  <c r="AS18" i="130"/>
  <c r="AG32" i="130" s="1"/>
  <c r="AR27" i="130"/>
  <c r="AR28" i="130" s="1"/>
  <c r="AH16" i="130"/>
  <c r="AI16" i="130" s="1"/>
  <c r="BO14" i="130"/>
  <c r="BO15" i="130" s="1"/>
  <c r="AZ8" i="130"/>
  <c r="BA8" i="130"/>
  <c r="AZ11" i="130"/>
  <c r="BA11" i="130"/>
  <c r="AU10" i="130"/>
  <c r="BE26" i="130"/>
  <c r="AK38" i="130"/>
  <c r="AM38" i="130" s="1"/>
  <c r="AN38" i="130" s="1"/>
  <c r="BJ26" i="130" s="1"/>
  <c r="AJ33" i="130"/>
  <c r="AL33" i="130" s="1"/>
  <c r="AH41" i="130"/>
  <c r="AH42" i="130" s="1"/>
  <c r="AS15" i="130"/>
  <c r="AG29" i="130" s="1"/>
  <c r="AK40" i="130"/>
  <c r="AL40" i="130"/>
  <c r="AI37" i="130"/>
  <c r="BE25" i="130" s="1"/>
  <c r="AJ31" i="130"/>
  <c r="AU12" i="130"/>
  <c r="AU11" i="130"/>
  <c r="BA4" i="130"/>
  <c r="AZ4" i="130"/>
  <c r="AY41" i="130"/>
  <c r="AY42" i="130" s="1"/>
  <c r="AY1" i="130"/>
  <c r="AJ32" i="130"/>
  <c r="AU7" i="130"/>
  <c r="BE23" i="130"/>
  <c r="AL34" i="130"/>
  <c r="AK34" i="130"/>
  <c r="BA7" i="130"/>
  <c r="AZ7" i="130"/>
  <c r="AW29" i="130"/>
  <c r="AU8" i="130"/>
  <c r="AZ12" i="130"/>
  <c r="BA12" i="130"/>
  <c r="AV33" i="130"/>
  <c r="AW33" i="130" s="1"/>
  <c r="BP6" i="130" s="1"/>
  <c r="BA21" i="130"/>
  <c r="AK35" i="130"/>
  <c r="AL35" i="130"/>
  <c r="AV37" i="130"/>
  <c r="AW37" i="130" s="1"/>
  <c r="BA25" i="130"/>
  <c r="AL29" i="130"/>
  <c r="AK29" i="130"/>
  <c r="AJ30" i="130"/>
  <c r="AU41" i="130"/>
  <c r="AU42" i="130" s="1"/>
  <c r="AU5" i="130"/>
  <c r="AY15" i="130"/>
  <c r="AX27" i="130"/>
  <c r="AX28" i="130" s="1"/>
  <c r="AU3" i="130"/>
  <c r="AU6" i="130"/>
  <c r="AI13" i="130"/>
  <c r="AI14" i="130" s="1"/>
  <c r="AU2" i="130"/>
  <c r="AK13" i="130"/>
  <c r="AK14" i="130" s="1"/>
  <c r="AM13" i="130"/>
  <c r="AM14" i="130" s="1"/>
  <c r="AU1" i="130"/>
  <c r="AU4" i="130"/>
  <c r="AH55" i="130"/>
  <c r="AH56" i="130" s="1"/>
  <c r="AO13" i="130"/>
  <c r="AO14" i="130" s="1"/>
  <c r="BP9" i="130" l="1"/>
  <c r="BP13" i="130"/>
  <c r="BP10" i="130"/>
  <c r="AK36" i="130"/>
  <c r="AM36" i="130" s="1"/>
  <c r="AN36" i="130" s="1"/>
  <c r="BJ24" i="130" s="1"/>
  <c r="BP3" i="130"/>
  <c r="BF9" i="130"/>
  <c r="BH9" i="130" s="1"/>
  <c r="BF3" i="130"/>
  <c r="BH3" i="130" s="1"/>
  <c r="BF8" i="130"/>
  <c r="BH8" i="130" s="1"/>
  <c r="BP5" i="130"/>
  <c r="BF5" i="130"/>
  <c r="BH5" i="130" s="1"/>
  <c r="AJ16" i="130"/>
  <c r="BP8" i="130"/>
  <c r="AO38" i="130"/>
  <c r="AS27" i="130"/>
  <c r="AS28" i="130" s="1"/>
  <c r="BF4" i="130"/>
  <c r="BH4" i="130" s="1"/>
  <c r="BP11" i="130"/>
  <c r="AG17" i="130"/>
  <c r="AK33" i="130"/>
  <c r="AM33" i="130" s="1"/>
  <c r="AN33" i="130" s="1"/>
  <c r="BJ21" i="130" s="1"/>
  <c r="BF11" i="130"/>
  <c r="BH11" i="130" s="1"/>
  <c r="AV41" i="130"/>
  <c r="AV42" i="130" s="1"/>
  <c r="BP4" i="130"/>
  <c r="BF7" i="130"/>
  <c r="BH7" i="130" s="1"/>
  <c r="AG41" i="130"/>
  <c r="AG42" i="130" s="1"/>
  <c r="AU9" i="130"/>
  <c r="AU13" i="130" s="1"/>
  <c r="AU14" i="130" s="1"/>
  <c r="BA29" i="130"/>
  <c r="BA30" i="130" s="1"/>
  <c r="AI41" i="130"/>
  <c r="AI42" i="130" s="1"/>
  <c r="AK31" i="130"/>
  <c r="AL31" i="130"/>
  <c r="AM40" i="130"/>
  <c r="AM34" i="130"/>
  <c r="AN34" i="130" s="1"/>
  <c r="BJ22" i="130" s="1"/>
  <c r="AJ37" i="130"/>
  <c r="AJ41" i="130" s="1"/>
  <c r="AJ42" i="130" s="1"/>
  <c r="AL32" i="130"/>
  <c r="AK32" i="130"/>
  <c r="BA2" i="130"/>
  <c r="BA14" i="130" s="1"/>
  <c r="BA15" i="130" s="1"/>
  <c r="AY13" i="130"/>
  <c r="AY14" i="130" s="1"/>
  <c r="AZ2" i="130"/>
  <c r="AM35" i="130"/>
  <c r="AL30" i="130"/>
  <c r="AK30" i="130"/>
  <c r="BF12" i="130"/>
  <c r="BH12" i="130" s="1"/>
  <c r="BP12" i="130"/>
  <c r="AM29" i="130"/>
  <c r="AN39" i="130"/>
  <c r="BJ27" i="130" s="1"/>
  <c r="BP7" i="130"/>
  <c r="AW41" i="130"/>
  <c r="AW42" i="130" s="1"/>
  <c r="AY27" i="130"/>
  <c r="AY28" i="130" s="1"/>
  <c r="Z12" i="130"/>
  <c r="Y12" i="130" s="1"/>
  <c r="AK16" i="130" l="1"/>
  <c r="AP16" i="130"/>
  <c r="AH17" i="130"/>
  <c r="AI17" i="130" s="1"/>
  <c r="BP2" i="130"/>
  <c r="BP14" i="130" s="1"/>
  <c r="BP15" i="130" s="1"/>
  <c r="AM31" i="130"/>
  <c r="AN31" i="130" s="1"/>
  <c r="BJ19" i="130" s="1"/>
  <c r="AN40" i="130"/>
  <c r="BJ28" i="130" s="1"/>
  <c r="AO39" i="130"/>
  <c r="AL37" i="130"/>
  <c r="AL41" i="130" s="1"/>
  <c r="AL42" i="130" s="1"/>
  <c r="AK37" i="130"/>
  <c r="AK41" i="130" s="1"/>
  <c r="AK42" i="130" s="1"/>
  <c r="BF2" i="130"/>
  <c r="AZ14" i="130"/>
  <c r="AZ15" i="130" s="1"/>
  <c r="AO34" i="130"/>
  <c r="AN29" i="130"/>
  <c r="AO36" i="130"/>
  <c r="AM30" i="130"/>
  <c r="AN35" i="130"/>
  <c r="BJ23" i="130" s="1"/>
  <c r="AO33" i="130"/>
  <c r="AM32" i="130"/>
  <c r="AJ17" i="130" l="1"/>
  <c r="AG18" i="130"/>
  <c r="AH18" i="130" s="1"/>
  <c r="AI18" i="130" s="1"/>
  <c r="AO31" i="130"/>
  <c r="AO35" i="130"/>
  <c r="AM37" i="130"/>
  <c r="AM41" i="130" s="1"/>
  <c r="AM42" i="130" s="1"/>
  <c r="AO40" i="130"/>
  <c r="AO29" i="130"/>
  <c r="BF14" i="130"/>
  <c r="BF15" i="130" s="1"/>
  <c r="BH2" i="130"/>
  <c r="AN30" i="130"/>
  <c r="BJ18" i="130" s="1"/>
  <c r="AN32" i="130"/>
  <c r="BJ20" i="130" s="1"/>
  <c r="AP17" i="130" l="1"/>
  <c r="AK17" i="130"/>
  <c r="AJ18" i="130"/>
  <c r="AG19" i="130"/>
  <c r="AH19" i="130" s="1"/>
  <c r="AI19" i="130" s="1"/>
  <c r="AN37" i="130"/>
  <c r="AO37" i="130" s="1"/>
  <c r="AO32" i="130"/>
  <c r="AO30" i="130"/>
  <c r="BI5" i="130"/>
  <c r="BJ5" i="130" s="1"/>
  <c r="BI2" i="130"/>
  <c r="BJ2" i="130" s="1"/>
  <c r="BK2" i="130" s="1"/>
  <c r="BL2" i="130" s="1"/>
  <c r="BN2" i="130" s="1"/>
  <c r="BI7" i="130"/>
  <c r="BJ7" i="130" s="1"/>
  <c r="BI4" i="130"/>
  <c r="BJ4" i="130" s="1"/>
  <c r="BI12" i="130"/>
  <c r="BJ12" i="130" s="1"/>
  <c r="BK12" i="130" s="1"/>
  <c r="BL12" i="130" s="1"/>
  <c r="BI9" i="130"/>
  <c r="BJ9" i="130" s="1"/>
  <c r="BH14" i="130"/>
  <c r="BH15" i="130" s="1"/>
  <c r="BI3" i="130"/>
  <c r="BJ3" i="130" s="1"/>
  <c r="BI8" i="130"/>
  <c r="BJ8" i="130" s="1"/>
  <c r="BI6" i="130"/>
  <c r="BJ6" i="130" s="1"/>
  <c r="BI11" i="130"/>
  <c r="BJ11" i="130" s="1"/>
  <c r="BI10" i="130"/>
  <c r="BJ10" i="130" s="1"/>
  <c r="BI13" i="130"/>
  <c r="BJ13" i="130" s="1"/>
  <c r="BK5" i="130" l="1"/>
  <c r="BL5" i="130" s="1"/>
  <c r="AG20" i="130"/>
  <c r="AJ19" i="130"/>
  <c r="AK19" i="130" s="1"/>
  <c r="BK9" i="130"/>
  <c r="BL9" i="130" s="1"/>
  <c r="BN9" i="130" s="1"/>
  <c r="BK6" i="130"/>
  <c r="BL6" i="130" s="1"/>
  <c r="BN6" i="130" s="1"/>
  <c r="BK13" i="130"/>
  <c r="BL13" i="130" s="1"/>
  <c r="BN13" i="130" s="1"/>
  <c r="BK8" i="130"/>
  <c r="BL8" i="130" s="1"/>
  <c r="BN8" i="130" s="1"/>
  <c r="AP18" i="130"/>
  <c r="AK18" i="130"/>
  <c r="BM2" i="130"/>
  <c r="BK11" i="130"/>
  <c r="BL11" i="130" s="1"/>
  <c r="BM11" i="130" s="1"/>
  <c r="BJ25" i="130"/>
  <c r="AN41" i="130"/>
  <c r="AN42" i="130" s="1"/>
  <c r="BN12" i="130"/>
  <c r="BM12" i="130"/>
  <c r="BN5" i="130"/>
  <c r="BM5" i="130"/>
  <c r="AH20" i="130"/>
  <c r="AI20" i="130" s="1"/>
  <c r="BK10" i="130"/>
  <c r="BL10" i="130" s="1"/>
  <c r="BK3" i="130"/>
  <c r="BL3" i="130" s="1"/>
  <c r="BK4" i="130"/>
  <c r="BL4" i="130" s="1"/>
  <c r="AO41" i="130"/>
  <c r="AO42" i="130" s="1"/>
  <c r="BK7" i="130"/>
  <c r="BL7" i="130" s="1"/>
  <c r="BM8" i="130" l="1"/>
  <c r="BM9" i="130"/>
  <c r="BM13" i="130"/>
  <c r="BM6" i="130"/>
  <c r="AP19" i="130"/>
  <c r="AJ20" i="130"/>
  <c r="BN11" i="130"/>
  <c r="BN7" i="130"/>
  <c r="BM7" i="130"/>
  <c r="BN4" i="130"/>
  <c r="BM4" i="130"/>
  <c r="BN3" i="130"/>
  <c r="BM3" i="130"/>
  <c r="AG21" i="130"/>
  <c r="BN10" i="130"/>
  <c r="BM10" i="130"/>
  <c r="BM14" i="130" l="1"/>
  <c r="BM15" i="130" s="1"/>
  <c r="AH21" i="130"/>
  <c r="AI21" i="130" s="1"/>
  <c r="AK20" i="130"/>
  <c r="AP20" i="130"/>
  <c r="AG22" i="130" l="1"/>
  <c r="AJ21" i="130"/>
  <c r="AH22" i="130" l="1"/>
  <c r="AI22" i="130" s="1"/>
  <c r="AK21" i="130"/>
  <c r="AP21" i="130"/>
  <c r="AJ22" i="130" l="1"/>
  <c r="AG23" i="130"/>
  <c r="AH23" i="130" l="1"/>
  <c r="AI23" i="130" s="1"/>
  <c r="AP22" i="130"/>
  <c r="AK22" i="130"/>
  <c r="AJ23" i="130" l="1"/>
  <c r="AG24" i="130"/>
  <c r="AK23" i="130" l="1"/>
  <c r="AP23" i="130"/>
  <c r="AH24" i="130"/>
  <c r="AI24" i="130" s="1"/>
  <c r="AG25" i="130" l="1"/>
  <c r="AJ24" i="130"/>
  <c r="AP24" i="130" l="1"/>
  <c r="AK24" i="130"/>
  <c r="AH25" i="130"/>
  <c r="AI25" i="130" s="1"/>
  <c r="AG26" i="130" l="1"/>
  <c r="AJ25" i="130"/>
  <c r="AH26" i="130" l="1"/>
  <c r="AI26" i="130" s="1"/>
  <c r="AP25" i="130"/>
  <c r="AK25" i="130"/>
  <c r="AI27" i="130" l="1"/>
  <c r="AJ26" i="130"/>
  <c r="AJ27" i="130" s="1"/>
  <c r="AP26" i="130" l="1"/>
  <c r="AP27" i="130" s="1"/>
  <c r="AP28" i="130" s="1"/>
  <c r="AK26" i="130"/>
  <c r="AK27" i="130" s="1"/>
  <c r="AV27" i="130"/>
  <c r="AV28" i="130" s="1"/>
  <c r="Z11" i="130" l="1"/>
  <c r="Y11" i="130" s="1"/>
  <c r="BE17" i="130"/>
  <c r="BE29" i="130" s="1"/>
  <c r="BE30" i="130" s="1"/>
  <c r="BJ17" i="130"/>
  <c r="BJ29" i="130" s="1"/>
  <c r="BJ30" i="130" s="1"/>
  <c r="AU27" i="130"/>
  <c r="AU28" i="130" s="1"/>
  <c r="Y1" i="130"/>
  <c r="Z1" i="130"/>
  <c r="AH1" i="130"/>
  <c r="AJ1" i="130"/>
  <c r="AL1" i="130"/>
  <c r="AN1" i="130"/>
  <c r="AP1" i="130"/>
  <c r="AR1" i="130"/>
  <c r="AT1" i="130"/>
  <c r="AV1" i="130"/>
  <c r="Y2" i="130"/>
  <c r="Z2" i="130"/>
  <c r="AH2" i="130"/>
  <c r="AJ2" i="130"/>
  <c r="AL2" i="130"/>
  <c r="AN2" i="130"/>
  <c r="AP2" i="130"/>
  <c r="AR2" i="130"/>
  <c r="AT2" i="130"/>
  <c r="AV2" i="130"/>
  <c r="Y3" i="130"/>
  <c r="Z3" i="130"/>
  <c r="AH3" i="130"/>
  <c r="AJ3" i="130"/>
  <c r="AL3" i="130"/>
  <c r="AN3" i="130"/>
  <c r="AP3" i="130"/>
  <c r="AR3" i="130"/>
  <c r="AT3" i="130"/>
  <c r="AV3" i="130"/>
  <c r="Y4" i="130"/>
  <c r="Z4" i="130"/>
  <c r="AH4" i="130"/>
  <c r="AJ4" i="130"/>
  <c r="AL4" i="130"/>
  <c r="AN4" i="130"/>
  <c r="AP4" i="130"/>
  <c r="AR4" i="130"/>
  <c r="AT4" i="130"/>
  <c r="AV4" i="130"/>
  <c r="Y5" i="130"/>
  <c r="Z5" i="130"/>
  <c r="AH5" i="130"/>
  <c r="AJ5" i="130"/>
  <c r="AL5" i="130"/>
  <c r="AN5" i="130"/>
  <c r="AP5" i="130"/>
  <c r="AR5" i="130"/>
  <c r="AT5" i="130"/>
  <c r="AV5" i="130"/>
  <c r="Y6" i="130"/>
  <c r="Z6" i="130"/>
  <c r="AH6" i="130"/>
  <c r="AJ6" i="130"/>
  <c r="AL6" i="130"/>
  <c r="AN6" i="130"/>
  <c r="AP6" i="130"/>
  <c r="AR6" i="130"/>
  <c r="AT6" i="130"/>
  <c r="AV6" i="130"/>
  <c r="Y7" i="130"/>
  <c r="Z7" i="130"/>
  <c r="AH7" i="130"/>
  <c r="AJ7" i="130"/>
  <c r="AL7" i="130"/>
  <c r="AN7" i="130"/>
  <c r="AP7" i="130"/>
  <c r="AR7" i="130"/>
  <c r="AT7" i="130"/>
  <c r="AV7" i="130"/>
  <c r="AH8" i="130"/>
  <c r="AJ8" i="130"/>
  <c r="AL8" i="130"/>
  <c r="AN8" i="130"/>
  <c r="AP8" i="130"/>
  <c r="AR8" i="130"/>
  <c r="AT8" i="130"/>
  <c r="AV8" i="130"/>
  <c r="Y9" i="130"/>
  <c r="Z9" i="130"/>
  <c r="AH9" i="130"/>
  <c r="AJ9" i="130"/>
  <c r="AL9" i="130"/>
  <c r="AN9" i="130"/>
  <c r="AP9" i="130"/>
  <c r="AR9" i="130"/>
  <c r="AT9" i="130"/>
  <c r="AV9" i="130"/>
  <c r="Y10" i="130"/>
  <c r="Z10" i="130"/>
  <c r="AH10" i="130"/>
  <c r="AJ10" i="130"/>
  <c r="AL10" i="130"/>
  <c r="AN10" i="130"/>
  <c r="AP10" i="130"/>
  <c r="AR10" i="130"/>
  <c r="AT10" i="130"/>
  <c r="AV10" i="130"/>
  <c r="AH11" i="130"/>
  <c r="AJ11" i="130"/>
  <c r="AL11" i="130"/>
  <c r="AN11" i="130"/>
  <c r="AP11" i="130"/>
  <c r="AR11" i="130"/>
  <c r="AT11" i="130"/>
  <c r="AV11" i="130"/>
  <c r="AH12" i="130"/>
  <c r="AJ12" i="130"/>
  <c r="AL12" i="130"/>
  <c r="AN12" i="130"/>
  <c r="AP12" i="130"/>
  <c r="AR12" i="130"/>
  <c r="AT12" i="130"/>
  <c r="AV12" i="130"/>
  <c r="Y13" i="130"/>
  <c r="Z13" i="130"/>
  <c r="AH13" i="130"/>
  <c r="AJ13" i="130"/>
  <c r="AL13" i="130"/>
  <c r="AN13" i="130"/>
  <c r="AP13" i="130"/>
  <c r="AR13" i="130"/>
  <c r="AT13" i="130"/>
  <c r="AV13" i="130"/>
  <c r="Y14" i="130"/>
  <c r="Z14" i="130"/>
  <c r="AH14" i="130"/>
  <c r="AJ14" i="130"/>
  <c r="AL14" i="130"/>
  <c r="AN14" i="130"/>
  <c r="AP14" i="130"/>
  <c r="AR14" i="130"/>
  <c r="AT14" i="130"/>
  <c r="AV14" i="130"/>
  <c r="A15" i="130"/>
  <c r="N15" i="130"/>
  <c r="O15" i="130"/>
  <c r="P15" i="130"/>
  <c r="Y15" i="130"/>
  <c r="Z15" i="130"/>
  <c r="AM15" i="130"/>
  <c r="AO15" i="130"/>
  <c r="AQ15" i="130"/>
  <c r="AT15" i="130"/>
  <c r="A16" i="130"/>
  <c r="N16" i="130"/>
  <c r="O16" i="130"/>
  <c r="P16" i="130"/>
  <c r="Y16" i="130"/>
  <c r="Z16" i="130"/>
  <c r="AM16" i="130"/>
  <c r="AO16" i="130"/>
  <c r="AQ16" i="130"/>
  <c r="AT16" i="130"/>
  <c r="A17" i="130"/>
  <c r="N17" i="130"/>
  <c r="O17" i="130"/>
  <c r="P17" i="130"/>
  <c r="Y17" i="130"/>
  <c r="Z17" i="130"/>
  <c r="AM17" i="130"/>
  <c r="AO17" i="130"/>
  <c r="AQ17" i="130"/>
  <c r="AT17" i="130"/>
  <c r="AZ17" i="130"/>
  <c r="BB17" i="130"/>
  <c r="BC17" i="130"/>
  <c r="BD17" i="130"/>
  <c r="BF17" i="130"/>
  <c r="BG17" i="130"/>
  <c r="BH17" i="130"/>
  <c r="BI17" i="130"/>
  <c r="BK17" i="130"/>
  <c r="BL17" i="130"/>
  <c r="BM17" i="130"/>
  <c r="BN17" i="130"/>
  <c r="BO17" i="130"/>
  <c r="BP17" i="130"/>
  <c r="BQ17" i="130"/>
  <c r="BR17" i="130"/>
  <c r="BT17" i="130"/>
  <c r="A18" i="130"/>
  <c r="N18" i="130"/>
  <c r="O18" i="130"/>
  <c r="P18" i="130"/>
  <c r="Y18" i="130"/>
  <c r="Z18" i="130"/>
  <c r="AM18" i="130"/>
  <c r="AO18" i="130"/>
  <c r="AQ18" i="130"/>
  <c r="AT18" i="130"/>
  <c r="AZ18" i="130"/>
  <c r="BB18" i="130"/>
  <c r="BC18" i="130"/>
  <c r="BD18" i="130"/>
  <c r="BF18" i="130"/>
  <c r="BG18" i="130"/>
  <c r="BH18" i="130"/>
  <c r="BI18" i="130"/>
  <c r="BK18" i="130"/>
  <c r="BL18" i="130"/>
  <c r="BM18" i="130"/>
  <c r="BN18" i="130"/>
  <c r="BO18" i="130"/>
  <c r="BP18" i="130"/>
  <c r="BQ18" i="130"/>
  <c r="BR18" i="130"/>
  <c r="BT18" i="130"/>
  <c r="A19" i="130"/>
  <c r="N19" i="130"/>
  <c r="O19" i="130"/>
  <c r="P19" i="130"/>
  <c r="Y19" i="130"/>
  <c r="Z19" i="130"/>
  <c r="AM19" i="130"/>
  <c r="AO19" i="130"/>
  <c r="AQ19" i="130"/>
  <c r="AT19" i="130"/>
  <c r="AZ19" i="130"/>
  <c r="BB19" i="130"/>
  <c r="BC19" i="130"/>
  <c r="BD19" i="130"/>
  <c r="BF19" i="130"/>
  <c r="BG19" i="130"/>
  <c r="BH19" i="130"/>
  <c r="BI19" i="130"/>
  <c r="BK19" i="130"/>
  <c r="BL19" i="130"/>
  <c r="BM19" i="130"/>
  <c r="BN19" i="130"/>
  <c r="BO19" i="130"/>
  <c r="BP19" i="130"/>
  <c r="BQ19" i="130"/>
  <c r="BR19" i="130"/>
  <c r="BT19" i="130"/>
  <c r="A20" i="130"/>
  <c r="N20" i="130"/>
  <c r="O20" i="130"/>
  <c r="P20" i="130"/>
  <c r="Y20" i="130"/>
  <c r="Z20" i="130"/>
  <c r="AM20" i="130"/>
  <c r="AO20" i="130"/>
  <c r="AQ20" i="130"/>
  <c r="AT20" i="130"/>
  <c r="AZ20" i="130"/>
  <c r="BB20" i="130"/>
  <c r="BC20" i="130"/>
  <c r="BD20" i="130"/>
  <c r="BF20" i="130"/>
  <c r="BG20" i="130"/>
  <c r="BH20" i="130"/>
  <c r="BI20" i="130"/>
  <c r="BK20" i="130"/>
  <c r="BL20" i="130"/>
  <c r="BM20" i="130"/>
  <c r="BN20" i="130"/>
  <c r="BO20" i="130"/>
  <c r="BP20" i="130"/>
  <c r="BQ20" i="130"/>
  <c r="BR20" i="130"/>
  <c r="BT20" i="130"/>
  <c r="A21" i="130"/>
  <c r="N21" i="130"/>
  <c r="O21" i="130"/>
  <c r="P21" i="130"/>
  <c r="AM21" i="130"/>
  <c r="AO21" i="130"/>
  <c r="AQ21" i="130"/>
  <c r="AT21" i="130"/>
  <c r="AZ21" i="130"/>
  <c r="BB21" i="130"/>
  <c r="BC21" i="130"/>
  <c r="BD21" i="130"/>
  <c r="BF21" i="130"/>
  <c r="BG21" i="130"/>
  <c r="BH21" i="130"/>
  <c r="BI21" i="130"/>
  <c r="BK21" i="130"/>
  <c r="BL21" i="130"/>
  <c r="BM21" i="130"/>
  <c r="BN21" i="130"/>
  <c r="BO21" i="130"/>
  <c r="BP21" i="130"/>
  <c r="BQ21" i="130"/>
  <c r="BR21" i="130"/>
  <c r="BT21" i="130"/>
  <c r="A22" i="130"/>
  <c r="N22" i="130"/>
  <c r="O22" i="130"/>
  <c r="P22" i="130"/>
  <c r="AM22" i="130"/>
  <c r="AO22" i="130"/>
  <c r="AQ22" i="130"/>
  <c r="AT22" i="130"/>
  <c r="AZ22" i="130"/>
  <c r="BB22" i="130"/>
  <c r="BC22" i="130"/>
  <c r="BD22" i="130"/>
  <c r="BF22" i="130"/>
  <c r="BG22" i="130"/>
  <c r="BH22" i="130"/>
  <c r="BI22" i="130"/>
  <c r="BK22" i="130"/>
  <c r="BL22" i="130"/>
  <c r="BM22" i="130"/>
  <c r="BN22" i="130"/>
  <c r="BO22" i="130"/>
  <c r="BP22" i="130"/>
  <c r="BQ22" i="130"/>
  <c r="BR22" i="130"/>
  <c r="BT22" i="130"/>
  <c r="A23" i="130"/>
  <c r="N23" i="130"/>
  <c r="O23" i="130"/>
  <c r="P23" i="130"/>
  <c r="AM23" i="130"/>
  <c r="AO23" i="130"/>
  <c r="AQ23" i="130"/>
  <c r="AT23" i="130"/>
  <c r="AZ23" i="130"/>
  <c r="BB23" i="130"/>
  <c r="BC23" i="130"/>
  <c r="BD23" i="130"/>
  <c r="BF23" i="130"/>
  <c r="BG23" i="130"/>
  <c r="BH23" i="130"/>
  <c r="BI23" i="130"/>
  <c r="BK23" i="130"/>
  <c r="BL23" i="130"/>
  <c r="BM23" i="130"/>
  <c r="BN23" i="130"/>
  <c r="BO23" i="130"/>
  <c r="BP23" i="130"/>
  <c r="BQ23" i="130"/>
  <c r="BR23" i="130"/>
  <c r="BT23" i="130"/>
  <c r="A24" i="130"/>
  <c r="N24" i="130"/>
  <c r="O24" i="130"/>
  <c r="P24" i="130"/>
  <c r="AM24" i="130"/>
  <c r="AO24" i="130"/>
  <c r="AQ24" i="130"/>
  <c r="AT24" i="130"/>
  <c r="AZ24" i="130"/>
  <c r="BB24" i="130"/>
  <c r="BC24" i="130"/>
  <c r="BD24" i="130"/>
  <c r="BF24" i="130"/>
  <c r="BG24" i="130"/>
  <c r="BH24" i="130"/>
  <c r="BI24" i="130"/>
  <c r="BK24" i="130"/>
  <c r="BL24" i="130"/>
  <c r="BM24" i="130"/>
  <c r="BN24" i="130"/>
  <c r="BO24" i="130"/>
  <c r="BP24" i="130"/>
  <c r="BQ24" i="130"/>
  <c r="BR24" i="130"/>
  <c r="BT24" i="130"/>
  <c r="A25" i="130"/>
  <c r="N25" i="130"/>
  <c r="O25" i="130"/>
  <c r="P25" i="130"/>
  <c r="AM25" i="130"/>
  <c r="AO25" i="130"/>
  <c r="AQ25" i="130"/>
  <c r="AT25" i="130"/>
  <c r="AZ25" i="130"/>
  <c r="BB25" i="130"/>
  <c r="BC25" i="130"/>
  <c r="BD25" i="130"/>
  <c r="BF25" i="130"/>
  <c r="BG25" i="130"/>
  <c r="BH25" i="130"/>
  <c r="BI25" i="130"/>
  <c r="BK25" i="130"/>
  <c r="BL25" i="130"/>
  <c r="BM25" i="130"/>
  <c r="BN25" i="130"/>
  <c r="BO25" i="130"/>
  <c r="BP25" i="130"/>
  <c r="BQ25" i="130"/>
  <c r="BR25" i="130"/>
  <c r="BT25" i="130"/>
  <c r="A26" i="130"/>
  <c r="N26" i="130"/>
  <c r="O26" i="130"/>
  <c r="P26" i="130"/>
  <c r="AM26" i="130"/>
  <c r="AO26" i="130"/>
  <c r="AQ26" i="130"/>
  <c r="AT26" i="130"/>
  <c r="AZ26" i="130"/>
  <c r="BB26" i="130"/>
  <c r="BC26" i="130"/>
  <c r="BD26" i="130"/>
  <c r="BF26" i="130"/>
  <c r="BG26" i="130"/>
  <c r="BH26" i="130"/>
  <c r="BI26" i="130"/>
  <c r="BK26" i="130"/>
  <c r="BL26" i="130"/>
  <c r="BM26" i="130"/>
  <c r="BN26" i="130"/>
  <c r="BO26" i="130"/>
  <c r="BP26" i="130"/>
  <c r="BQ26" i="130"/>
  <c r="BR26" i="130"/>
  <c r="BT26" i="130"/>
  <c r="N27" i="130"/>
  <c r="O27" i="130"/>
  <c r="P27" i="130"/>
  <c r="AM27" i="130"/>
  <c r="AO27" i="130"/>
  <c r="AQ27" i="130"/>
  <c r="AT27" i="130"/>
  <c r="AZ27" i="130"/>
  <c r="BB27" i="130"/>
  <c r="BC27" i="130"/>
  <c r="BD27" i="130"/>
  <c r="BF27" i="130"/>
  <c r="BG27" i="130"/>
  <c r="BH27" i="130"/>
  <c r="BI27" i="130"/>
  <c r="BK27" i="130"/>
  <c r="BL27" i="130"/>
  <c r="BM27" i="130"/>
  <c r="BN27" i="130"/>
  <c r="BO27" i="130"/>
  <c r="BP27" i="130"/>
  <c r="BQ27" i="130"/>
  <c r="BR27" i="130"/>
  <c r="BT27" i="130"/>
  <c r="A28" i="130"/>
  <c r="N28" i="130"/>
  <c r="O28" i="130"/>
  <c r="P28" i="130"/>
  <c r="AM28" i="130"/>
  <c r="AO28" i="130"/>
  <c r="AQ28" i="130"/>
  <c r="AT28" i="130"/>
  <c r="AZ28" i="130"/>
  <c r="BB28" i="130"/>
  <c r="BC28" i="130"/>
  <c r="BD28" i="130"/>
  <c r="BF28" i="130"/>
  <c r="BG28" i="130"/>
  <c r="BH28" i="130"/>
  <c r="BI28" i="130"/>
  <c r="BK28" i="130"/>
  <c r="BL28" i="130"/>
  <c r="BM28" i="130"/>
  <c r="BN28" i="130"/>
  <c r="BO28" i="130"/>
  <c r="BP28" i="130"/>
  <c r="BQ28" i="130"/>
  <c r="BR28" i="130"/>
  <c r="BT28" i="130"/>
  <c r="AP29" i="130"/>
  <c r="AR29" i="130"/>
  <c r="AZ29" i="130"/>
  <c r="BB29" i="130"/>
  <c r="BC29" i="130"/>
  <c r="BD29" i="130"/>
  <c r="BF29" i="130"/>
  <c r="BG29" i="130"/>
  <c r="BH29" i="130"/>
  <c r="BI29" i="130"/>
  <c r="BK29" i="130"/>
  <c r="BO29" i="130"/>
  <c r="BP29" i="130"/>
  <c r="BQ29" i="130"/>
  <c r="AP30" i="130"/>
  <c r="AR30" i="130"/>
  <c r="AZ30" i="130"/>
  <c r="BB30" i="130"/>
  <c r="BC30" i="130"/>
  <c r="BD30" i="130"/>
  <c r="BF30" i="130"/>
  <c r="BG30" i="130"/>
  <c r="BH30" i="130"/>
  <c r="BI30" i="130"/>
  <c r="BK30" i="130"/>
  <c r="BO30" i="130"/>
  <c r="BP30" i="130"/>
  <c r="BQ30" i="130"/>
  <c r="AP31" i="130"/>
  <c r="AR31" i="130"/>
  <c r="AZ31" i="130"/>
  <c r="BA31" i="130"/>
  <c r="BB31" i="130"/>
  <c r="BC31" i="130"/>
  <c r="BD31" i="130"/>
  <c r="AP32" i="130"/>
  <c r="AR32" i="130"/>
  <c r="AZ32" i="130"/>
  <c r="BA32" i="130"/>
  <c r="BB32" i="130"/>
  <c r="BC32" i="130"/>
  <c r="BD32" i="130"/>
  <c r="AP33" i="130"/>
  <c r="AR33" i="130"/>
  <c r="AZ33" i="130"/>
  <c r="BA33" i="130"/>
  <c r="BB33" i="130"/>
  <c r="BC33" i="130"/>
  <c r="BD33" i="130"/>
  <c r="AP34" i="130"/>
  <c r="AR34" i="130"/>
  <c r="AZ34" i="130"/>
  <c r="BA34" i="130"/>
  <c r="BB34" i="130"/>
  <c r="BC34" i="130"/>
  <c r="BD34" i="130"/>
  <c r="AP35" i="130"/>
  <c r="AR35" i="130"/>
  <c r="AZ35" i="130"/>
  <c r="BA35" i="130"/>
  <c r="BB35" i="130"/>
  <c r="BC35" i="130"/>
  <c r="BD35" i="130"/>
  <c r="AP36" i="130"/>
  <c r="AR36" i="130"/>
  <c r="AZ36" i="130"/>
  <c r="BA36" i="130"/>
  <c r="BB36" i="130"/>
  <c r="BC36" i="130"/>
  <c r="BD36" i="130"/>
  <c r="AP37" i="130"/>
  <c r="AR37" i="130"/>
  <c r="AZ37" i="130"/>
  <c r="BA37" i="130"/>
  <c r="BB37" i="130"/>
  <c r="BC37" i="130"/>
  <c r="BD37" i="130"/>
  <c r="AP38" i="130"/>
  <c r="AR38" i="130"/>
  <c r="AZ38" i="130"/>
  <c r="BA38" i="130"/>
  <c r="BB38" i="130"/>
  <c r="BC38" i="130"/>
  <c r="BD38" i="130"/>
  <c r="AP39" i="130"/>
  <c r="AR39" i="130"/>
  <c r="AZ39" i="130"/>
  <c r="BA39" i="130"/>
  <c r="BB39" i="130"/>
  <c r="BC39" i="130"/>
  <c r="BD39" i="130"/>
  <c r="AP40" i="130"/>
  <c r="AR40" i="130"/>
  <c r="AZ40" i="130"/>
  <c r="BA40" i="130"/>
  <c r="BB40" i="130"/>
  <c r="BC40" i="130"/>
  <c r="BD40" i="130"/>
  <c r="AP41" i="130"/>
  <c r="AR41" i="130"/>
  <c r="AZ41" i="130"/>
  <c r="BA41" i="130"/>
  <c r="BB41" i="130"/>
  <c r="BC41" i="130"/>
  <c r="BD41" i="130"/>
  <c r="AP42" i="130"/>
  <c r="AR42" i="130"/>
  <c r="AZ42" i="130"/>
  <c r="BA42" i="130"/>
  <c r="BB42" i="130"/>
  <c r="BC42" i="130"/>
  <c r="BD42" i="130"/>
  <c r="AI43" i="130"/>
  <c r="AL43" i="130"/>
  <c r="AZ43" i="130"/>
  <c r="BA43" i="130"/>
  <c r="BB43" i="130"/>
  <c r="BC43" i="130"/>
  <c r="BD43" i="130"/>
  <c r="AI44" i="130"/>
  <c r="AL44" i="130"/>
  <c r="AZ44" i="130"/>
  <c r="BA44" i="130"/>
  <c r="BB44" i="130"/>
  <c r="BC44" i="130"/>
  <c r="BD44" i="130"/>
  <c r="AI45" i="130"/>
  <c r="AL45" i="130"/>
  <c r="AI46" i="130"/>
  <c r="AL46" i="130"/>
  <c r="AI47" i="130"/>
  <c r="AL47" i="130"/>
  <c r="AI48" i="130"/>
  <c r="AL48" i="130"/>
  <c r="AI49" i="130"/>
  <c r="AL49" i="130"/>
  <c r="AI50" i="130"/>
  <c r="AL50" i="130"/>
  <c r="AI51" i="130"/>
  <c r="AL51" i="130"/>
  <c r="AI52" i="130"/>
  <c r="AL52" i="130"/>
  <c r="AI53" i="130"/>
  <c r="AL53" i="130"/>
  <c r="AI54" i="130"/>
  <c r="AL54" i="130"/>
  <c r="AI55" i="130"/>
  <c r="AL55" i="130"/>
  <c r="AI56" i="130"/>
  <c r="AL56" i="130"/>
</calcChain>
</file>

<file path=xl/sharedStrings.xml><?xml version="1.0" encoding="utf-8"?>
<sst xmlns="http://schemas.openxmlformats.org/spreadsheetml/2006/main" count="619" uniqueCount="108">
  <si>
    <t>-</t>
  </si>
  <si>
    <t>Yok</t>
  </si>
  <si>
    <t>Doğal Afet Yardımı</t>
  </si>
  <si>
    <t>Kıdem Yardımı</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</si>
  <si>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</si>
  <si>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</si>
  <si>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</si>
  <si>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</si>
  <si>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</si>
  <si>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</si>
  <si>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</si>
  <si>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</si>
  <si>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</si>
  <si>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</si>
  <si>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</si>
  <si>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</si>
  <si>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</si>
  <si>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</si>
  <si>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</si>
  <si>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</si>
  <si>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</si>
  <si>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</si>
  <si>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</si>
  <si>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</si>
  <si>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</si>
  <si>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</si>
  <si>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</si>
  <si>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</si>
  <si>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</si>
  <si>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</si>
  <si>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</si>
  <si>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</si>
  <si>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</si>
  <si>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</si>
  <si>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</si>
  <si>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</si>
  <si>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Ustabaşı</t>
  </si>
  <si>
    <t>Usta</t>
  </si>
  <si>
    <t>Vinç Operatörü</t>
  </si>
  <si>
    <t>Forklift Operatörü</t>
  </si>
  <si>
    <t>İtfaiye Amiri</t>
  </si>
  <si>
    <t>Usta Yardımcısı</t>
  </si>
  <si>
    <t>Gemi Havuzlama Personeli</t>
  </si>
  <si>
    <t>İtfaiyeci</t>
  </si>
  <si>
    <t>Yakıt Yağ ve Atık Personeli</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</si>
  <si>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</si>
  <si>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</si>
  <si>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</si>
  <si>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</si>
  <si>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</si>
  <si>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</si>
  <si>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</si>
  <si>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</si>
  <si>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</si>
  <si>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</si>
  <si>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</si>
  <si>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</si>
  <si>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</si>
  <si>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</si>
  <si>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</si>
  <si>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6 iş günü ücretli sosyal izin verilir.
b) İşçilere, gerekli ve geçerli mazeretleri hâlinde işverenin takdirine bağlı olarak yılda 6 aya kadar ücretsiz sosyal izin verilebilir. Genel müdürün uygun görmesi hâlinde 12 aya kadar uzatılabilir.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</si>
  <si>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</si>
  <si>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</si>
  <si>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</si>
  <si>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t>
  </si>
  <si>
    <t>Yıllık Ortalama</t>
  </si>
  <si>
    <t>Tersane Saha Personeli</t>
  </si>
  <si>
    <t xml:space="preserve">   Kıdem Yardımı</t>
  </si>
  <si>
    <t xml:space="preserve">   Yemek Yardımı</t>
  </si>
  <si>
    <t xml:space="preserve">   Nakdi Yardımlar
   Sürekliliği Olmayan Yardımlar</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</si>
  <si>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</si>
  <si>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</si>
  <si>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</si>
  <si>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</si>
  <si>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</si>
  <si>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</si>
  <si>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</si>
  <si>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</si>
  <si>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</si>
  <si>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</si>
  <si>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</si>
  <si>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</si>
  <si>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</si>
  <si>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</si>
  <si>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</si>
  <si>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 xml:space="preserve">   BES Kesintisi</t>
  </si>
  <si>
    <t>Satış Görevlisi</t>
  </si>
  <si>
    <t>Toplam</t>
  </si>
  <si>
    <t>Ortalama</t>
  </si>
  <si>
    <t>Fazla Çalışma (% 50)</t>
  </si>
  <si>
    <t>Fazla Sürelerle Çalışma (% 25)</t>
  </si>
  <si>
    <t>Resmi Tatillerde Çalışma (% 100)</t>
  </si>
  <si>
    <t>Gece Çalışma (% 12)</t>
  </si>
  <si>
    <r>
      <t xml:space="preserve">   Resmi Tatillerde Çalışma
   </t>
    </r>
    <r>
      <rPr>
        <b/>
        <sz val="16"/>
        <rFont val="Calibri"/>
        <family val="2"/>
        <charset val="162"/>
        <scheme val="minor"/>
      </rPr>
      <t>% 100</t>
    </r>
  </si>
  <si>
    <r>
      <t xml:space="preserve">   Sonraki Ayın 15'inde
   Fazla Çalışma (Gündüz-Gece-Resmi Tatil)
   Yemek Yardımı
   </t>
    </r>
    <r>
      <rPr>
        <b/>
        <sz val="16"/>
        <rFont val="Calibri"/>
        <family val="2"/>
        <charset val="162"/>
        <scheme val="minor"/>
      </rPr>
      <t>Net</t>
    </r>
  </si>
  <si>
    <t xml:space="preserve">   Engellilik İndirimi</t>
  </si>
  <si>
    <t>Amir</t>
  </si>
  <si>
    <t>Gişe</t>
  </si>
  <si>
    <t>Çıma</t>
  </si>
  <si>
    <r>
      <t xml:space="preserve">   Gece Çalışma
   </t>
    </r>
    <r>
      <rPr>
        <b/>
        <sz val="16"/>
        <rFont val="Calibri"/>
        <family val="2"/>
        <charset val="162"/>
        <scheme val="minor"/>
      </rPr>
      <t>% 15</t>
    </r>
  </si>
  <si>
    <r>
      <t xml:space="preserve">   Fazla Sürelerle Çalışma
   </t>
    </r>
    <r>
      <rPr>
        <b/>
        <sz val="16"/>
        <rFont val="Calibri"/>
        <family val="2"/>
        <charset val="162"/>
        <scheme val="minor"/>
      </rPr>
      <t>% 30</t>
    </r>
  </si>
  <si>
    <r>
      <t xml:space="preserve">   Fazla Çalışma
   </t>
    </r>
    <r>
      <rPr>
        <b/>
        <sz val="16"/>
        <rFont val="Calibri"/>
        <family val="2"/>
        <charset val="162"/>
        <scheme val="minor"/>
      </rPr>
      <t>% 60</t>
    </r>
  </si>
  <si>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</si>
  <si>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</si>
  <si>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</si>
  <si>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</si>
  <si>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</si>
  <si>
    <r>
      <t xml:space="preserve">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(6.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t>
    </r>
    <r>
      <rPr>
        <b/>
        <sz val="16"/>
        <color theme="0"/>
        <rFont val="Calibri"/>
        <family val="2"/>
        <charset val="162"/>
        <scheme val="minor"/>
      </rPr>
      <t>50’ye kadar ise 1</t>
    </r>
    <r>
      <rPr>
        <sz val="16"/>
        <color theme="0"/>
        <rFont val="Calibri"/>
        <family val="2"/>
        <charset val="162"/>
        <scheme val="minor"/>
      </rPr>
      <t xml:space="preserve">,
</t>
    </r>
    <r>
      <rPr>
        <b/>
        <sz val="16"/>
        <color theme="0"/>
        <rFont val="Calibri"/>
        <family val="2"/>
        <charset val="162"/>
        <scheme val="minor"/>
      </rPr>
      <t>51 ile 100 arasında</t>
    </r>
    <r>
      <rPr>
        <sz val="16"/>
        <color theme="0"/>
        <rFont val="Calibri"/>
        <family val="2"/>
        <charset val="162"/>
        <scheme val="minor"/>
      </rPr>
      <t xml:space="preserve"> ise </t>
    </r>
    <r>
      <rPr>
        <b/>
        <sz val="16"/>
        <color theme="0"/>
        <rFont val="Calibri"/>
        <family val="2"/>
        <charset val="162"/>
        <scheme val="minor"/>
      </rPr>
      <t>en çok 2</t>
    </r>
    <r>
      <rPr>
        <sz val="16"/>
        <color theme="0"/>
        <rFont val="Calibri"/>
        <family val="2"/>
        <charset val="162"/>
        <scheme val="minor"/>
      </rPr>
      <t xml:space="preserve">,
</t>
    </r>
    <r>
      <rPr>
        <b/>
        <sz val="16"/>
        <color theme="0"/>
        <rFont val="Calibri"/>
        <family val="2"/>
        <charset val="162"/>
        <scheme val="minor"/>
      </rPr>
      <t>101 ile 500 arasında</t>
    </r>
    <r>
      <rPr>
        <sz val="16"/>
        <color theme="0"/>
        <rFont val="Calibri"/>
        <family val="2"/>
        <charset val="162"/>
        <scheme val="minor"/>
      </rPr>
      <t xml:space="preserve"> ise </t>
    </r>
    <r>
      <rPr>
        <b/>
        <sz val="16"/>
        <color theme="0"/>
        <rFont val="Calibri"/>
        <family val="2"/>
        <charset val="162"/>
        <scheme val="minor"/>
      </rPr>
      <t>en çok 3</t>
    </r>
    <r>
      <rPr>
        <sz val="16"/>
        <color theme="0"/>
        <rFont val="Calibri"/>
        <family val="2"/>
        <charset val="162"/>
        <scheme val="minor"/>
      </rPr>
      <t xml:space="preserve">,
</t>
    </r>
    <r>
      <rPr>
        <b/>
        <sz val="16"/>
        <color theme="0"/>
        <rFont val="Calibri"/>
        <family val="2"/>
        <charset val="162"/>
        <scheme val="minor"/>
      </rPr>
      <t>501 ile 1000 arasında</t>
    </r>
    <r>
      <rPr>
        <sz val="16"/>
        <color theme="0"/>
        <rFont val="Calibri"/>
        <family val="2"/>
        <charset val="162"/>
        <scheme val="minor"/>
      </rPr>
      <t xml:space="preserve"> ise </t>
    </r>
    <r>
      <rPr>
        <b/>
        <sz val="16"/>
        <color theme="0"/>
        <rFont val="Calibri"/>
        <family val="2"/>
        <charset val="162"/>
        <scheme val="minor"/>
      </rPr>
      <t>en çok 4</t>
    </r>
    <r>
      <rPr>
        <sz val="16"/>
        <color theme="0"/>
        <rFont val="Calibri"/>
        <family val="2"/>
        <charset val="162"/>
        <scheme val="minor"/>
      </rPr>
      <t xml:space="preserve">,
</t>
    </r>
    <r>
      <rPr>
        <b/>
        <sz val="16"/>
        <color theme="0"/>
        <rFont val="Calibri"/>
        <family val="2"/>
        <charset val="162"/>
        <scheme val="minor"/>
      </rPr>
      <t>1001 ile 2000 arasında</t>
    </r>
    <r>
      <rPr>
        <sz val="16"/>
        <color theme="0"/>
        <rFont val="Calibri"/>
        <family val="2"/>
        <charset val="162"/>
        <scheme val="minor"/>
      </rPr>
      <t xml:space="preserve"> ise </t>
    </r>
    <r>
      <rPr>
        <b/>
        <sz val="16"/>
        <color theme="0"/>
        <rFont val="Calibri"/>
        <family val="2"/>
        <charset val="162"/>
        <scheme val="minor"/>
      </rPr>
      <t>en çok 6</t>
    </r>
    <r>
      <rPr>
        <sz val="16"/>
        <color theme="0"/>
        <rFont val="Calibri"/>
        <family val="2"/>
        <charset val="162"/>
        <scheme val="minor"/>
      </rPr>
      <t xml:space="preserve">,
</t>
    </r>
    <r>
      <rPr>
        <b/>
        <sz val="16"/>
        <color theme="0"/>
        <rFont val="Calibri"/>
        <family val="2"/>
        <charset val="162"/>
        <scheme val="minor"/>
      </rPr>
      <t>2000’den fazla</t>
    </r>
    <r>
      <rPr>
        <sz val="16"/>
        <color theme="0"/>
        <rFont val="Calibri"/>
        <family val="2"/>
        <charset val="162"/>
        <scheme val="minor"/>
      </rPr>
      <t xml:space="preserve"> ise </t>
    </r>
    <r>
      <rPr>
        <b/>
        <sz val="16"/>
        <color theme="0"/>
        <rFont val="Calibri"/>
        <family val="2"/>
        <charset val="162"/>
        <scheme val="minor"/>
      </rPr>
      <t>en çok 8</t>
    </r>
    <r>
      <rPr>
        <sz val="16"/>
        <color theme="0"/>
        <rFont val="Calibri"/>
        <family val="2"/>
        <charset val="162"/>
        <scheme val="minor"/>
      </rPr>
      <t xml:space="preserve"> işyeri sendika temsilcisini işyerinde çalışan üyeleri arasından atayarak </t>
    </r>
    <r>
      <rPr>
        <b/>
        <sz val="16"/>
        <color theme="0"/>
        <rFont val="Calibri"/>
        <family val="2"/>
        <charset val="162"/>
        <scheme val="minor"/>
      </rPr>
      <t>15 gün içinde</t>
    </r>
    <r>
      <rPr>
        <sz val="16"/>
        <color theme="0"/>
        <rFont val="Calibri"/>
        <family val="2"/>
        <charset val="162"/>
        <scheme val="minor"/>
      </rPr>
      <t xml:space="preserve"> kimliklerini işverene bildirir. Bunlardan </t>
    </r>
    <r>
      <rPr>
        <b/>
        <sz val="16"/>
        <color theme="0"/>
        <rFont val="Calibri"/>
        <family val="2"/>
        <charset val="162"/>
        <scheme val="minor"/>
      </rPr>
      <t>biri baş temsilci</t>
    </r>
    <r>
      <rPr>
        <sz val="16"/>
        <color theme="0"/>
        <rFont val="Calibri"/>
        <family val="2"/>
        <charset val="162"/>
        <scheme val="minor"/>
      </rPr>
      <t xml:space="preserve"> olarak görevlendirilebilir. Temsilcilerin görevi, sendikanın yetkisi süresince devam eder.
(6356 sayılı Sendikalar ve Toplu İş Sözleşmesi Kanunu / Madde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</si>
</sst>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000000"/>
    <numFmt numFmtId="172" formatCode="0.0"/>
  </numFmts>
  <fonts count="16"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sz val="20"/>
      <name val="Calibri"/>
      <family val="2"/>
      <charset val="162"/>
      <scheme val="minor"/>
    </font>
    <font>
      <sz val="20"/>
      <color rgb="FFFF0000"/>
      <name val="Calibri"/>
      <family val="2"/>
      <charset val="162"/>
      <scheme val="minor"/>
    </font>
    <font>
      <b/>
      <sz val="22"/>
      <name val="Calibri"/>
      <family val="2"/>
      <charset val="162"/>
      <scheme val="minor"/>
    </font>
    <font>
      <b/>
      <sz val="22"/>
      <color rgb="FFFF0000"/>
      <name val="Calibri"/>
      <family val="2"/>
      <charset val="162"/>
      <scheme val="minor"/>
    </font>
    <font>
      <sz val="15"/>
      <name val="Calibri"/>
      <family val="2"/>
      <charset val="162"/>
      <scheme val="minor"/>
    </font>
    <font>
      <b/>
      <sz val="14"/>
      <name val="Calibri"/>
      <family val="2"/>
      <charset val="162"/>
      <scheme val="minor"/>
    </font>
    <font>
      <sz val="16"/>
      <color theme="0"/>
      <name val="Calibri"/>
      <family val="2"/>
      <charset val="162"/>
      <scheme val="minor"/>
    </font>
    <font>
      <b/>
      <sz val="16"/>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82">
    <xf numFmtId="0" fontId="0" fillId="0" borderId="0" xfId="0"/>
    <xf numFmtId="170" fontId="9" fillId="2" borderId="10" xfId="2" applyNumberFormat="1" applyFont="1" applyFill="1" applyBorder="1" applyAlignment="1" applyProtection="1">
      <alignment vertical="center" textRotation="90" wrapText="1"/>
      <protection hidden="1"/>
    </xf>
    <xf numFmtId="0" fontId="5" fillId="2" borderId="1" xfId="2" applyFont="1" applyFill="1" applyBorder="1" applyAlignment="1" applyProtection="1">
      <alignment horizontal="center" vertical="center" wrapText="1"/>
      <protection hidden="1"/>
    </xf>
    <xf numFmtId="0" fontId="5" fillId="0" borderId="0" xfId="2" applyFont="1" applyAlignment="1" applyProtection="1">
      <alignment horizontal="center" vertical="center" wrapText="1"/>
      <protection hidden="1"/>
    </xf>
    <xf numFmtId="170" fontId="9" fillId="2" borderId="12" xfId="2" applyNumberFormat="1" applyFont="1" applyFill="1" applyBorder="1" applyAlignment="1" applyProtection="1">
      <alignment vertical="center" textRotation="90" wrapText="1"/>
      <protection hidden="1"/>
    </xf>
    <xf numFmtId="4" fontId="5" fillId="2" borderId="1" xfId="2" applyNumberFormat="1" applyFont="1" applyFill="1" applyBorder="1" applyAlignment="1" applyProtection="1">
      <alignment horizontal="center" vertical="center" wrapText="1"/>
      <protection hidden="1"/>
    </xf>
    <xf numFmtId="169" fontId="12" fillId="2" borderId="1" xfId="2" applyNumberFormat="1" applyFont="1" applyFill="1" applyBorder="1" applyAlignment="1" applyProtection="1">
      <alignment horizontal="center" vertical="center" wrapText="1"/>
      <protection hidden="1"/>
    </xf>
    <xf numFmtId="2" fontId="6" fillId="2" borderId="1" xfId="0" applyNumberFormat="1" applyFont="1" applyFill="1" applyBorder="1" applyAlignment="1" applyProtection="1">
      <alignment horizontal="center" vertical="center" wrapText="1"/>
      <protection hidden="1"/>
    </xf>
    <xf numFmtId="166" fontId="10" fillId="4" borderId="1" xfId="2" applyNumberFormat="1" applyFont="1" applyFill="1" applyBorder="1" applyAlignment="1" applyProtection="1">
      <alignment horizontal="center" vertical="center" wrapText="1"/>
      <protection hidden="1"/>
    </xf>
    <xf numFmtId="166" fontId="11" fillId="4" borderId="1" xfId="2" applyNumberFormat="1" applyFont="1" applyFill="1" applyBorder="1" applyAlignment="1" applyProtection="1">
      <alignment horizontal="center" vertical="center" wrapText="1"/>
      <protection hidden="1"/>
    </xf>
    <xf numFmtId="4" fontId="12" fillId="2" borderId="1" xfId="2" applyNumberFormat="1" applyFont="1" applyFill="1" applyBorder="1" applyAlignment="1" applyProtection="1">
      <alignment horizontal="center" vertical="center" wrapText="1"/>
      <protection hidden="1"/>
    </xf>
    <xf numFmtId="4" fontId="13" fillId="2" borderId="1" xfId="2" applyNumberFormat="1" applyFont="1" applyFill="1" applyBorder="1" applyAlignment="1" applyProtection="1">
      <alignment horizontal="center" vertical="center" wrapText="1"/>
      <protection hidden="1"/>
    </xf>
    <xf numFmtId="172" fontId="5" fillId="2" borderId="1" xfId="2" applyNumberFormat="1" applyFont="1" applyFill="1" applyBorder="1" applyAlignment="1" applyProtection="1">
      <alignment horizontal="center" vertical="center" wrapText="1"/>
      <protection hidden="1"/>
    </xf>
    <xf numFmtId="1" fontId="5" fillId="2" borderId="1" xfId="2" applyNumberFormat="1" applyFont="1" applyFill="1" applyBorder="1" applyAlignment="1" applyProtection="1">
      <alignment horizontal="center" vertical="center" wrapText="1"/>
      <protection hidden="1"/>
    </xf>
    <xf numFmtId="166" fontId="10" fillId="2" borderId="1" xfId="2" applyNumberFormat="1" applyFont="1" applyFill="1" applyBorder="1" applyAlignment="1" applyProtection="1">
      <alignment horizontal="center" vertical="center" wrapText="1"/>
      <protection hidden="1"/>
    </xf>
    <xf numFmtId="166" fontId="11" fillId="2" borderId="1" xfId="2" applyNumberFormat="1" applyFont="1" applyFill="1" applyBorder="1" applyAlignment="1" applyProtection="1">
      <alignment horizontal="center" vertical="center" wrapText="1"/>
      <protection hidden="1"/>
    </xf>
    <xf numFmtId="0" fontId="14" fillId="0" borderId="0" xfId="2" applyFont="1" applyFill="1" applyBorder="1" applyAlignment="1" applyProtection="1">
      <alignment horizontal="center" vertical="center" wrapText="1"/>
      <protection hidden="1"/>
    </xf>
    <xf numFmtId="166" fontId="14" fillId="0" borderId="0" xfId="2" applyNumberFormat="1" applyFont="1" applyFill="1" applyBorder="1" applyAlignment="1" applyProtection="1">
      <alignment horizontal="center" vertical="center" wrapText="1"/>
      <protection hidden="1"/>
    </xf>
    <xf numFmtId="166" fontId="14" fillId="0" borderId="0" xfId="3" applyNumberFormat="1" applyFont="1" applyFill="1" applyBorder="1" applyAlignment="1" applyProtection="1">
      <alignment horizontal="center" vertical="center" wrapText="1"/>
      <protection hidden="1"/>
    </xf>
    <xf numFmtId="168" fontId="14" fillId="0" borderId="0" xfId="2" applyNumberFormat="1" applyFont="1" applyFill="1" applyBorder="1" applyAlignment="1" applyProtection="1">
      <alignment horizontal="center" vertical="center" wrapText="1"/>
      <protection hidden="1"/>
    </xf>
    <xf numFmtId="169" fontId="14" fillId="0" borderId="0" xfId="2" applyNumberFormat="1" applyFont="1" applyFill="1" applyBorder="1" applyAlignment="1" applyProtection="1">
      <alignment horizontal="center" vertical="center" wrapText="1"/>
      <protection hidden="1"/>
    </xf>
    <xf numFmtId="169" fontId="14" fillId="0" borderId="0" xfId="4"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vertical="center" wrapText="1"/>
      <protection hidden="1"/>
    </xf>
    <xf numFmtId="167" fontId="14" fillId="0" borderId="0" xfId="2" applyNumberFormat="1" applyFont="1" applyFill="1" applyBorder="1" applyAlignment="1" applyProtection="1">
      <alignment horizontal="center" vertical="center" wrapText="1"/>
      <protection hidden="1"/>
    </xf>
    <xf numFmtId="0" fontId="14" fillId="0" borderId="0" xfId="3" applyFont="1" applyFill="1" applyBorder="1" applyAlignment="1" applyProtection="1">
      <alignment horizontal="center" vertical="center" wrapText="1"/>
      <protection hidden="1"/>
    </xf>
    <xf numFmtId="2" fontId="14" fillId="0" borderId="0" xfId="3" applyNumberFormat="1" applyFont="1" applyFill="1" applyBorder="1" applyAlignment="1" applyProtection="1">
      <alignment horizontal="center" vertical="center" wrapText="1"/>
      <protection hidden="1"/>
    </xf>
    <xf numFmtId="166" fontId="14" fillId="0" borderId="0" xfId="4" applyNumberFormat="1" applyFont="1" applyFill="1" applyBorder="1" applyAlignment="1" applyProtection="1">
      <alignment horizontal="center" vertical="center" wrapText="1"/>
      <protection hidden="1"/>
    </xf>
    <xf numFmtId="4" fontId="14" fillId="0" borderId="0" xfId="2" applyNumberFormat="1" applyFont="1" applyFill="1" applyBorder="1" applyAlignment="1" applyProtection="1">
      <alignment horizontal="center" vertical="center" wrapText="1"/>
      <protection hidden="1"/>
    </xf>
    <xf numFmtId="164" fontId="14" fillId="0" borderId="0" xfId="2" applyNumberFormat="1" applyFont="1" applyFill="1" applyBorder="1" applyAlignment="1" applyProtection="1">
      <alignment horizontal="center" vertical="center" wrapText="1"/>
      <protection hidden="1"/>
    </xf>
    <xf numFmtId="164" fontId="14" fillId="0" borderId="0" xfId="0" applyNumberFormat="1" applyFont="1" applyFill="1" applyBorder="1" applyAlignment="1" applyProtection="1">
      <alignment horizontal="center" vertical="center" wrapText="1"/>
      <protection hidden="1"/>
    </xf>
    <xf numFmtId="165" fontId="14" fillId="0" borderId="0" xfId="0" applyNumberFormat="1" applyFont="1" applyFill="1" applyBorder="1" applyAlignment="1" applyProtection="1">
      <alignment horizontal="center" vertical="center" wrapText="1"/>
      <protection hidden="1"/>
    </xf>
    <xf numFmtId="166" fontId="14" fillId="0" borderId="0" xfId="0" applyNumberFormat="1" applyFont="1" applyFill="1" applyBorder="1" applyAlignment="1" applyProtection="1">
      <alignment horizontal="center" vertical="center" wrapText="1"/>
      <protection hidden="1"/>
    </xf>
    <xf numFmtId="3" fontId="14" fillId="0" borderId="0" xfId="2" applyNumberFormat="1" applyFont="1" applyFill="1" applyBorder="1" applyAlignment="1" applyProtection="1">
      <alignment horizontal="center" vertical="center" wrapText="1"/>
      <protection hidden="1"/>
    </xf>
    <xf numFmtId="165" fontId="14" fillId="0" borderId="0" xfId="2" applyNumberFormat="1" applyFont="1" applyFill="1" applyBorder="1" applyAlignment="1" applyProtection="1">
      <alignment horizontal="center" vertical="center" wrapText="1"/>
      <protection hidden="1"/>
    </xf>
    <xf numFmtId="171" fontId="14" fillId="0" borderId="0" xfId="2"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right"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0" xfId="2"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right" vertical="center" wrapText="1"/>
      <protection hidden="1"/>
    </xf>
    <xf numFmtId="49" fontId="14" fillId="0" borderId="0" xfId="3" applyNumberFormat="1" applyFont="1" applyFill="1" applyBorder="1" applyAlignment="1" applyProtection="1">
      <alignment horizontal="center" vertical="center" wrapText="1"/>
      <protection hidden="1"/>
    </xf>
    <xf numFmtId="1" fontId="5" fillId="3" borderId="1" xfId="2" applyNumberFormat="1" applyFont="1" applyFill="1" applyBorder="1" applyAlignment="1" applyProtection="1">
      <alignment horizontal="center" vertical="center" wrapText="1"/>
      <protection locked="0" hidden="1"/>
    </xf>
    <xf numFmtId="172" fontId="5" fillId="3" borderId="1" xfId="3" applyNumberFormat="1" applyFont="1" applyFill="1" applyBorder="1" applyAlignment="1" applyProtection="1">
      <alignment horizontal="center" vertical="center" wrapText="1"/>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wrapText="1"/>
      <protection locked="0" hidden="1"/>
    </xf>
    <xf numFmtId="0" fontId="7" fillId="0" borderId="0" xfId="2" applyFont="1" applyAlignment="1" applyProtection="1">
      <alignment horizontal="center" vertical="center" wrapText="1"/>
      <protection hidden="1"/>
    </xf>
    <xf numFmtId="0" fontId="14" fillId="0" borderId="0" xfId="2" applyFont="1" applyFill="1" applyAlignment="1" applyProtection="1">
      <alignment horizontal="center" vertical="center" wrapText="1"/>
      <protection hidden="1"/>
    </xf>
    <xf numFmtId="0" fontId="14" fillId="0" borderId="0" xfId="2" applyFont="1" applyFill="1" applyAlignment="1" applyProtection="1">
      <alignment horizontal="right" vertical="center" wrapText="1"/>
      <protection hidden="1"/>
    </xf>
    <xf numFmtId="0" fontId="7" fillId="2" borderId="10"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7" fillId="2" borderId="12" xfId="0" applyFont="1" applyFill="1" applyBorder="1" applyAlignment="1" applyProtection="1">
      <alignment horizontal="center" vertical="center" wrapText="1"/>
      <protection hidden="1"/>
    </xf>
    <xf numFmtId="2" fontId="5" fillId="2" borderId="1" xfId="2" applyNumberFormat="1" applyFont="1" applyFill="1" applyBorder="1" applyAlignment="1" applyProtection="1">
      <alignment horizontal="center" textRotation="90" wrapText="1"/>
      <protection hidden="1"/>
    </xf>
    <xf numFmtId="2" fontId="5" fillId="2" borderId="1" xfId="0" applyNumberFormat="1" applyFont="1" applyFill="1" applyBorder="1" applyAlignment="1" applyProtection="1">
      <alignment horizontal="center" textRotation="90" wrapText="1"/>
      <protection hidden="1"/>
    </xf>
    <xf numFmtId="2" fontId="5" fillId="2" borderId="5" xfId="2" applyNumberFormat="1" applyFont="1" applyFill="1" applyBorder="1" applyAlignment="1" applyProtection="1">
      <alignment horizontal="center" textRotation="90" wrapText="1"/>
      <protection hidden="1"/>
    </xf>
    <xf numFmtId="2" fontId="5" fillId="2" borderId="6" xfId="2" applyNumberFormat="1" applyFont="1" applyFill="1" applyBorder="1" applyAlignment="1" applyProtection="1">
      <alignment horizontal="center" textRotation="90" wrapText="1"/>
      <protection hidden="1"/>
    </xf>
    <xf numFmtId="2" fontId="5" fillId="2" borderId="7" xfId="2" applyNumberFormat="1" applyFont="1" applyFill="1" applyBorder="1" applyAlignment="1" applyProtection="1">
      <alignment horizontal="center" textRotation="90" wrapText="1"/>
      <protection hidden="1"/>
    </xf>
    <xf numFmtId="2" fontId="5" fillId="2" borderId="8" xfId="2" applyNumberFormat="1" applyFont="1" applyFill="1" applyBorder="1" applyAlignment="1" applyProtection="1">
      <alignment horizontal="center" textRotation="90" wrapText="1"/>
      <protection hidden="1"/>
    </xf>
    <xf numFmtId="2" fontId="5" fillId="2" borderId="0" xfId="2" applyNumberFormat="1" applyFont="1" applyFill="1" applyBorder="1" applyAlignment="1" applyProtection="1">
      <alignment horizontal="center" textRotation="90" wrapText="1"/>
      <protection hidden="1"/>
    </xf>
    <xf numFmtId="2" fontId="5" fillId="2" borderId="9" xfId="2" applyNumberFormat="1" applyFont="1" applyFill="1" applyBorder="1" applyAlignment="1" applyProtection="1">
      <alignment horizontal="center" textRotation="90" wrapText="1"/>
      <protection hidden="1"/>
    </xf>
    <xf numFmtId="2" fontId="5" fillId="2" borderId="2" xfId="2" applyNumberFormat="1" applyFont="1" applyFill="1" applyBorder="1" applyAlignment="1" applyProtection="1">
      <alignment horizontal="center" textRotation="90" wrapText="1"/>
      <protection hidden="1"/>
    </xf>
    <xf numFmtId="2" fontId="5" fillId="2" borderId="3" xfId="2" applyNumberFormat="1" applyFont="1" applyFill="1" applyBorder="1" applyAlignment="1" applyProtection="1">
      <alignment horizontal="center" textRotation="90" wrapText="1"/>
      <protection hidden="1"/>
    </xf>
    <xf numFmtId="2" fontId="5" fillId="2" borderId="4" xfId="2" applyNumberFormat="1" applyFont="1" applyFill="1" applyBorder="1" applyAlignment="1" applyProtection="1">
      <alignment horizontal="center" textRotation="90"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0" xfId="0" applyFont="1" applyFill="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3" borderId="1" xfId="2" applyFont="1" applyFill="1" applyBorder="1" applyAlignment="1" applyProtection="1">
      <alignment horizontal="center" vertical="center" textRotation="90" wrapText="1"/>
      <protection locked="0"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2" fontId="7" fillId="2" borderId="10" xfId="2" applyNumberFormat="1" applyFont="1" applyFill="1" applyBorder="1" applyAlignment="1" applyProtection="1">
      <alignment horizontal="center" textRotation="90" wrapText="1"/>
      <protection hidden="1"/>
    </xf>
    <xf numFmtId="2" fontId="7" fillId="2" borderId="11" xfId="2" applyNumberFormat="1" applyFont="1" applyFill="1" applyBorder="1" applyAlignment="1" applyProtection="1">
      <alignment horizontal="center" textRotation="90" wrapText="1"/>
      <protection hidden="1"/>
    </xf>
    <xf numFmtId="2" fontId="7" fillId="2" borderId="12" xfId="2" applyNumberFormat="1" applyFont="1" applyFill="1" applyBorder="1" applyAlignment="1" applyProtection="1">
      <alignment horizontal="center" textRotation="90" wrapText="1"/>
      <protection hidden="1"/>
    </xf>
    <xf numFmtId="2" fontId="5" fillId="2" borderId="10" xfId="2" applyNumberFormat="1" applyFont="1" applyFill="1" applyBorder="1" applyAlignment="1" applyProtection="1">
      <alignment horizontal="center" textRotation="90" wrapText="1"/>
      <protection hidden="1"/>
    </xf>
    <xf numFmtId="2" fontId="5" fillId="2" borderId="11" xfId="2" applyNumberFormat="1" applyFont="1" applyFill="1" applyBorder="1" applyAlignment="1" applyProtection="1">
      <alignment horizontal="center" textRotation="90" wrapText="1"/>
      <protection hidden="1"/>
    </xf>
    <xf numFmtId="2" fontId="5" fillId="2" borderId="12" xfId="2" applyNumberFormat="1" applyFont="1" applyFill="1" applyBorder="1" applyAlignment="1" applyProtection="1">
      <alignment horizontal="center" textRotation="90" wrapText="1"/>
      <protection hidden="1"/>
    </xf>
    <xf numFmtId="0" fontId="5" fillId="3" borderId="1" xfId="0" applyFont="1" applyFill="1" applyBorder="1" applyAlignment="1" applyProtection="1">
      <alignment horizontal="center" vertical="center" textRotation="90" wrapText="1"/>
      <protection locked="0" hidden="1"/>
    </xf>
    <xf numFmtId="2" fontId="8" fillId="3" borderId="1" xfId="2" applyNumberFormat="1" applyFont="1" applyFill="1" applyBorder="1" applyAlignment="1" applyProtection="1">
      <alignment horizontal="center" vertical="center" textRotation="90" wrapText="1"/>
      <protection locked="0" hidden="1"/>
    </xf>
    <xf numFmtId="170" fontId="9" fillId="2" borderId="11" xfId="2" applyNumberFormat="1" applyFont="1" applyFill="1" applyBorder="1" applyAlignment="1" applyProtection="1">
      <alignment horizontal="center" vertical="center" textRotation="90" wrapText="1"/>
      <protection hidden="1"/>
    </xf>
  </cellXfs>
  <cellStyles count="6">
    <cellStyle name="Açıklama Metni" xfId="1" builtinId="53" customBuiltin="1"/>
    <cellStyle name="Normal" xfId="0" builtinId="0"/>
    <cellStyle name="Normal 2" xfId="2" xr:uid="{00000000-0005-0000-0000-000002000000}"/>
    <cellStyle name="Normal 2 2" xfId="3" xr:uid="{00000000-0005-0000-0000-000003000000}"/>
    <cellStyle name="Virgül 2" xfId="5" xr:uid="{00000000-0005-0000-0000-000004000000}"/>
    <cellStyle name="Yüzde 2" xfId="4" xr:uid="{00000000-0005-0000-0000-000005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0"/>
            <c:invertIfNegative val="0"/>
            <c:bubble3D val="0"/>
            <c:spPr>
              <a:solidFill>
                <a:schemeClr val="tx1"/>
              </a:solidFill>
              <a:ln>
                <a:noFill/>
              </a:ln>
              <a:effectLst/>
            </c:spPr>
            <c:extLst>
              <c:ext xmlns:c16="http://schemas.microsoft.com/office/drawing/2014/chart" uri="{C3380CC4-5D6E-409C-BE32-E72D297353CC}">
                <c16:uniqueId val="{00000035-7CFE-44BF-A422-9711557B250B}"/>
              </c:ext>
            </c:extLst>
          </c:dPt>
          <c:dPt>
            <c:idx val="11"/>
            <c:invertIfNegative val="0"/>
            <c:bubble3D val="0"/>
            <c:spPr>
              <a:solidFill>
                <a:srgbClr val="C00000"/>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chemeClr val="bg1">
                  <a:lumMod val="50000"/>
                </a:schemeClr>
              </a:solidFill>
              <a:ln>
                <a:noFill/>
              </a:ln>
              <a:effectLst/>
            </c:spPr>
            <c:extLst>
              <c:ext xmlns:c16="http://schemas.microsoft.com/office/drawing/2014/chart" uri="{C3380CC4-5D6E-409C-BE32-E72D297353CC}">
                <c16:uniqueId val="{00000036-B11B-4591-90FE-4D23434FBFCF}"/>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Tablo'!$X$1:$X$18</c:f>
              <c:strCache>
                <c:ptCount val="18"/>
                <c:pt idx="0">
                  <c:v>Normal Çalışma</c:v>
                </c:pt>
                <c:pt idx="1">
                  <c:v>Kıdem Yardımı</c:v>
                </c:pt>
                <c:pt idx="2">
                  <c:v>Fazla Çalışma (% 50)</c:v>
                </c:pt>
                <c:pt idx="3">
                  <c:v>Fazla Sürelerle Çalışma (% 25)</c:v>
                </c:pt>
                <c:pt idx="4">
                  <c:v>Resmi Tatillerde Çalışma (% 100)</c:v>
                </c:pt>
                <c:pt idx="5">
                  <c:v>Gece Çalışma (% 12)</c:v>
                </c:pt>
                <c:pt idx="6">
                  <c:v>Yemek Yardımı</c:v>
                </c:pt>
                <c:pt idx="7">
                  <c:v>Ulaşım Yardımı</c:v>
                </c:pt>
                <c:pt idx="8">
                  <c:v>İkramiye Yardımı</c:v>
                </c:pt>
                <c:pt idx="9">
                  <c:v>Sosyal Yardım</c:v>
                </c:pt>
                <c:pt idx="10">
                  <c:v>Nakdi Yardımlar</c:v>
                </c:pt>
                <c:pt idx="11">
                  <c:v>Sendika Üyelik Aidatı Kesintisi</c:v>
                </c:pt>
                <c:pt idx="12">
                  <c:v>BES Kesintisi</c:v>
                </c:pt>
                <c:pt idx="13">
                  <c:v>Damga Vergisi Kesintisi</c:v>
                </c:pt>
                <c:pt idx="14">
                  <c:v>SGK Prim Kesintisi</c:v>
                </c:pt>
                <c:pt idx="15">
                  <c:v>SGK İşsizlik Primi Kesintisi</c:v>
                </c:pt>
                <c:pt idx="16">
                  <c:v>Gelir Vergisi Kesintisi</c:v>
                </c:pt>
                <c:pt idx="17">
                  <c:v>İşveren Maliyeti</c:v>
                </c:pt>
              </c:strCache>
            </c:strRef>
          </c:cat>
          <c:val>
            <c:numRef>
              <c:f>'Özet Tablo'!$Y$1:$Y$18</c:f>
              <c:numCache>
                <c:formatCode>#,##0.00\ "₺"</c:formatCode>
                <c:ptCount val="18"/>
                <c:pt idx="0">
                  <c:v>39266.400106115158</c:v>
                </c:pt>
                <c:pt idx="1">
                  <c:v>0</c:v>
                </c:pt>
                <c:pt idx="2">
                  <c:v>0</c:v>
                </c:pt>
                <c:pt idx="3">
                  <c:v>0</c:v>
                </c:pt>
                <c:pt idx="4">
                  <c:v>0</c:v>
                </c:pt>
                <c:pt idx="5">
                  <c:v>0</c:v>
                </c:pt>
                <c:pt idx="6">
                  <c:v>5920.2</c:v>
                </c:pt>
                <c:pt idx="7">
                  <c:v>2094.0277777777778</c:v>
                </c:pt>
                <c:pt idx="8">
                  <c:v>13037.748397245077</c:v>
                </c:pt>
                <c:pt idx="9">
                  <c:v>3687.5572668804834</c:v>
                </c:pt>
                <c:pt idx="10">
                  <c:v>208.33333333333334</c:v>
                </c:pt>
                <c:pt idx="11">
                  <c:v>1803.4799999999998</c:v>
                </c:pt>
                <c:pt idx="12">
                  <c:v>0</c:v>
                </c:pt>
                <c:pt idx="13">
                  <c:v>491.69585017121739</c:v>
                </c:pt>
                <c:pt idx="14">
                  <c:v>13008.738672459871</c:v>
                </c:pt>
                <c:pt idx="15">
                  <c:v>929.19561946141937</c:v>
                </c:pt>
                <c:pt idx="16">
                  <c:v>14002.870000000003</c:v>
                </c:pt>
                <c:pt idx="17">
                  <c:v>113037.10966725535</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Tablo'!$X$19:$X$20</c:f>
              <c:strCache>
                <c:ptCount val="2"/>
                <c:pt idx="0">
                  <c:v>Kazançlar</c:v>
                </c:pt>
                <c:pt idx="1">
                  <c:v>Kesintiler</c:v>
                </c:pt>
              </c:strCache>
            </c:strRef>
          </c:cat>
          <c:val>
            <c:numRef>
              <c:f>'Özet Tablo'!$Y$19:$Y$20</c:f>
              <c:numCache>
                <c:formatCode>#,##0.00\ "₺"</c:formatCode>
                <c:ptCount val="2"/>
                <c:pt idx="0">
                  <c:v>66791.581804049405</c:v>
                </c:pt>
                <c:pt idx="1">
                  <c:v>30235.980142092536</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17</xdr:col>
      <xdr:colOff>53463</xdr:colOff>
      <xdr:row>0</xdr:row>
      <xdr:rowOff>70921</xdr:rowOff>
    </xdr:from>
    <xdr:to>
      <xdr:col>17</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4966692</xdr:colOff>
      <xdr:row>8</xdr:row>
      <xdr:rowOff>125886</xdr:rowOff>
    </xdr:from>
    <xdr:to>
      <xdr:col>17</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W363"/>
  <sheetViews>
    <sheetView showGridLines="0" showRowColHeaders="0" tabSelected="1" showWhiteSpace="0" zoomScale="40" zoomScaleNormal="40" zoomScaleSheetLayoutView="40" zoomScalePageLayoutView="55" workbookViewId="0">
      <pane xSplit="2" topLeftCell="C1" activePane="topRight" state="frozen"/>
      <selection activeCell="A6" sqref="A6"/>
      <selection pane="topRight" sqref="A1:A14"/>
    </sheetView>
  </sheetViews>
  <sheetFormatPr defaultColWidth="0" defaultRowHeight="0" customHeight="1" zeroHeight="1" x14ac:dyDescent="0.25"/>
  <cols>
    <col min="1" max="13" width="12.7109375" style="3" customWidth="1"/>
    <col min="14" max="16" width="25.7109375" style="3" customWidth="1"/>
    <col min="17" max="17" width="12.7109375" style="3" customWidth="1"/>
    <col min="18" max="18" width="110.7109375" style="3" customWidth="1"/>
    <col min="19" max="19" width="12.7109375" style="3" customWidth="1"/>
    <col min="20" max="20" width="5.7109375" style="3" customWidth="1"/>
    <col min="21" max="21" width="80.7109375" style="3" customWidth="1"/>
    <col min="22" max="22" width="5.7109375" style="3" customWidth="1"/>
    <col min="23" max="23" width="1.7109375" style="45" customWidth="1"/>
    <col min="24" max="26" width="0.140625" style="16" customWidth="1"/>
    <col min="27" max="75" width="25.7109375" style="16" hidden="1" customWidth="1"/>
    <col min="76" max="16384" width="25.7109375" style="46" hidden="1"/>
  </cols>
  <sheetData>
    <row r="1" spans="1:75" ht="39.950000000000003" customHeight="1" x14ac:dyDescent="0.25">
      <c r="A1" s="80" t="s">
        <v>97</v>
      </c>
      <c r="B1" s="1"/>
      <c r="C1" s="51" t="s">
        <v>67</v>
      </c>
      <c r="D1" s="51" t="s">
        <v>101</v>
      </c>
      <c r="E1" s="51" t="s">
        <v>100</v>
      </c>
      <c r="F1" s="52" t="s">
        <v>93</v>
      </c>
      <c r="G1" s="51" t="s">
        <v>99</v>
      </c>
      <c r="H1" s="51" t="s">
        <v>68</v>
      </c>
      <c r="I1" s="53" t="s">
        <v>69</v>
      </c>
      <c r="J1" s="54"/>
      <c r="K1" s="55"/>
      <c r="L1" s="51" t="s">
        <v>85</v>
      </c>
      <c r="M1" s="51" t="s">
        <v>95</v>
      </c>
      <c r="N1" s="76" t="s">
        <v>82</v>
      </c>
      <c r="O1" s="76" t="s">
        <v>94</v>
      </c>
      <c r="P1" s="73" t="s">
        <v>80</v>
      </c>
      <c r="Q1" s="68" t="s">
        <v>65</v>
      </c>
      <c r="R1" s="72"/>
      <c r="S1" s="79" t="s">
        <v>50</v>
      </c>
      <c r="T1" s="65"/>
      <c r="U1" s="66"/>
      <c r="V1" s="67"/>
      <c r="W1" s="48"/>
      <c r="X1" s="16" t="s">
        <v>30</v>
      </c>
      <c r="Y1" s="17">
        <f t="shared" ref="Y1:Y3" ca="1" si="0">IF(Z1&gt;0,Z1,Z1*-1)</f>
        <v>39266.400106115158</v>
      </c>
      <c r="Z1" s="17">
        <f ca="1">COUNTIF(Q1,"Ocak")*(AQ15)
+COUNTIF(Q1,"Şubat")*(AQ16)
+COUNTIF(Q1,"Mart")*(AQ17)
+COUNTIF(Q1,"Nisan")*(AQ18)
+COUNTIF(Q1,"Mayıs")*(AQ19)
+COUNTIF(Q1,"Haziran")*(AQ20)
+COUNTIF(Q1,"Temmuz")*(AQ21)
+COUNTIF(Q1,"Ağustos")*(AQ22)
+COUNTIF(Q1,"Eylül")*(AQ23)
+COUNTIF(Q1,"Ekim")*(AQ24)
+COUNTIF(Q1,"Kasım")*(AQ25)
+COUNTIF(Q1,"Aralık")*(AQ26)
+COUNTIF(Q1,"Yıllık Toplam")*(AQ27)
+COUNTIF(Q1,"Yıllık Ortalama")*(AQ28)</f>
        <v>39266.400106115158</v>
      </c>
      <c r="AG1" s="17">
        <f t="shared" ref="AG1:AG12" si="1">(75*C15)</f>
        <v>0</v>
      </c>
      <c r="AH1" s="17">
        <f t="shared" ref="AH1:AH12" ca="1" si="2">(AG1*BT17)</f>
        <v>0</v>
      </c>
      <c r="AI1" s="17">
        <f t="shared" ref="AI1:AI12" si="3">(AL15/7.5*1.6*D15)</f>
        <v>0</v>
      </c>
      <c r="AJ1" s="17">
        <f t="shared" ref="AJ1:AJ12" ca="1" si="4">(AI1*BT17)</f>
        <v>0</v>
      </c>
      <c r="AK1" s="17">
        <f t="shared" ref="AK1:AK12" si="5">(AL15/7.5*1.3*E15)</f>
        <v>0</v>
      </c>
      <c r="AL1" s="17">
        <f t="shared" ref="AL1:AL12" ca="1" si="6">(AK1*BT17)</f>
        <v>0</v>
      </c>
      <c r="AM1" s="17">
        <f>(AL15/7.5*2*F15)</f>
        <v>0</v>
      </c>
      <c r="AN1" s="17">
        <f t="shared" ref="AN1:AN12" ca="1" si="7">(AM1*BT17)</f>
        <v>0</v>
      </c>
      <c r="AO1" s="17">
        <f t="shared" ref="AO1:AO12" si="8">(AL15/7.5*0.15*G15)</f>
        <v>0</v>
      </c>
      <c r="AP1" s="17">
        <f t="shared" ref="AP1:AP12" ca="1" si="9">(AO1*BT17)</f>
        <v>0</v>
      </c>
      <c r="AQ1" s="17">
        <f t="shared" ref="AQ1:AQ12" si="10">(240*H15)</f>
        <v>6240</v>
      </c>
      <c r="AR1" s="17">
        <f t="shared" ref="AR1:AR12" ca="1" si="11">(AS1+AG29+AK29+AL29+AP29)</f>
        <v>5920.2000000000007</v>
      </c>
      <c r="AS1" s="17">
        <f>(AQ1)</f>
        <v>6240</v>
      </c>
      <c r="AT1" s="18">
        <f t="shared" ref="AT1:AT12" ca="1" si="12">(BF17*L15+AU1)*-1</f>
        <v>0</v>
      </c>
      <c r="AU1" s="18">
        <f t="shared" ref="AU1:AU12" si="13">(AI1+AK1+AM1+AO1+AQ1-AI29)*(L15*-1)</f>
        <v>0</v>
      </c>
      <c r="AV1" s="18">
        <f ca="1">(AT1+AU1)</f>
        <v>0</v>
      </c>
      <c r="AW1" s="18">
        <f t="shared" ref="AW1:AW12" si="14">COUNTIF(M15,"Yok")*(0)
+COUNTIF(M15,"1. Derece")*($AC$36)
+COUNTIF(M15,"2. Derece")*($AC$37)
+COUNTIF(M15,"3. Derece")*($AC$38)</f>
        <v>0</v>
      </c>
      <c r="AX1" s="17">
        <f>(0)</f>
        <v>0</v>
      </c>
      <c r="AY1" s="17">
        <f t="shared" ref="AY1:AY12" si="15">(AY29-AX1)</f>
        <v>26005.5</v>
      </c>
      <c r="BI1" s="17">
        <f>(0)</f>
        <v>0</v>
      </c>
      <c r="BJ1" s="19">
        <f>(0%)</f>
        <v>0</v>
      </c>
    </row>
    <row r="2" spans="1:75" ht="39.950000000000003" customHeight="1" x14ac:dyDescent="0.25">
      <c r="A2" s="80"/>
      <c r="B2" s="81">
        <f>COUNTIF($A$1,"Amir")*($Y$21)
+COUNTIF($A$1,"Gişe")*($Y$22)
+COUNTIF($A$1,"Çıma")*($Y$23)
+COUNTIF($A$1,"Satış Görevlisi")*($Y$24)
+COUNTIF($A$1,"Ustabaşı")*($Y$25)
+COUNTIF($A$1,"İtfaiye Amiri")*($Y$26)
+COUNTIF($A$1,"Usta")*($Y$27)
+COUNTIF($A$1,"Vinç Operatörü")*($Y$28)
+COUNTIF($A$1,"Forklift Operatörü")*($Y$29)
+COUNTIF($A$1,"İtfaiyeci")*($Y$30)
+COUNTIF($A$1,"Usta Yardımcısı")*($Y$31)
+COUNTIF($A$1,"Gemi Havuzlama Personeli")*($Y$32)
+COUNTIF($A$1,"Yakıt Yağ ve Atık Personeli")*($Y$33)
+COUNTIF($A$1,"Tersane Saha Personeli")*($Y$34)</f>
        <v>1750</v>
      </c>
      <c r="C2" s="51"/>
      <c r="D2" s="51"/>
      <c r="E2" s="51"/>
      <c r="F2" s="52"/>
      <c r="G2" s="51"/>
      <c r="H2" s="51"/>
      <c r="I2" s="56"/>
      <c r="J2" s="57"/>
      <c r="K2" s="58"/>
      <c r="L2" s="51"/>
      <c r="M2" s="51"/>
      <c r="N2" s="77"/>
      <c r="O2" s="77"/>
      <c r="P2" s="74"/>
      <c r="Q2" s="68"/>
      <c r="R2" s="72"/>
      <c r="S2" s="79"/>
      <c r="T2" s="62"/>
      <c r="U2" s="64" t="str">
        <f>IF($S$1="Analık Hâli İzni",$AA$35,
IF($S$1="Annelik İzni",$AA$36,
IF($S$1="Babalık İzni",$AA$37,
IF($S$1="Cenaze İzni",$AA$38,
IF($S$1="Doğal Afet İzni",$AA$39,
IF($S$1="Engelli Çocuk İzni",$AA$40,
IF($S$1="Evlat Edinme İzni",$AA$41,
IF($S$1="Evlilik İzni",$AA$42,
IF($S$1="İş Arama İzni",$AA$43,
IF($S$1="Mazeret İzni",$AA$44,
IF($S$1="Süt İzni",$AA$45,
IF($S$1="Ücretli Sendikal İzin ve Sendika Temsilci Sayısı",$AA$46,
IF($S$1="Ücretli Yıllık İzin",$AA$47,
IF($S$1="Yol İzni",$AA$48))))))))))))))</f>
        <v>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v>
      </c>
      <c r="V2" s="63"/>
      <c r="W2" s="49"/>
      <c r="X2" s="16" t="s">
        <v>3</v>
      </c>
      <c r="Y2" s="17">
        <f t="shared" ca="1" si="0"/>
        <v>0</v>
      </c>
      <c r="Z2" s="17">
        <f ca="1">COUNTIF(Q1,"Ocak")*(AH1)
+COUNTIF(Q1,"Şubat")*(AH2)
+COUNTIF(Q1,"Mart")*(AH3)
+COUNTIF(Q1,"Nisan")*(AH4)
+COUNTIF(Q1,"Mayıs")*(AH5)
+COUNTIF(Q1,"Haziran")*(AH6)
+COUNTIF(Q1,"Temmuz")*(AH7)
+COUNTIF(Q1,"Ağustos")*(AH8)
+COUNTIF(Q1,"Eylül")*(AH9)
+COUNTIF(Q1,"Ekim")*(AH10)
+COUNTIF(Q1,"Kasım")*(AH11)
+COUNTIF(Q1,"Aralık")*(AH12)
+COUNTIF(Q1,"Yıllık Toplam")*(AH13)
+COUNTIF(Q1,"Yıllık Ortalama")*(AH14)</f>
        <v>0</v>
      </c>
      <c r="AC2" s="20">
        <f>(10%)</f>
        <v>0.1</v>
      </c>
      <c r="AD2" s="16" t="s">
        <v>0</v>
      </c>
      <c r="AE2" s="17">
        <f>($AE$8*$AC$2)</f>
        <v>2600.5500000000002</v>
      </c>
      <c r="AF2" s="17">
        <f>($AF$8*$AC$2)</f>
        <v>2600.5500000000002</v>
      </c>
      <c r="AG2" s="17">
        <f t="shared" si="1"/>
        <v>0</v>
      </c>
      <c r="AH2" s="17">
        <f t="shared" ca="1" si="2"/>
        <v>0</v>
      </c>
      <c r="AI2" s="17">
        <f t="shared" si="3"/>
        <v>0</v>
      </c>
      <c r="AJ2" s="17">
        <f t="shared" ca="1" si="4"/>
        <v>0</v>
      </c>
      <c r="AK2" s="17">
        <f t="shared" si="5"/>
        <v>0</v>
      </c>
      <c r="AL2" s="17">
        <f t="shared" ca="1" si="6"/>
        <v>0</v>
      </c>
      <c r="AM2" s="17">
        <f t="shared" ref="AM2:AM12" si="16">(AL16/7.5*2*F16)</f>
        <v>0</v>
      </c>
      <c r="AN2" s="17">
        <f t="shared" ca="1" si="7"/>
        <v>0</v>
      </c>
      <c r="AO2" s="17">
        <f t="shared" si="8"/>
        <v>0</v>
      </c>
      <c r="AP2" s="17">
        <f t="shared" ca="1" si="9"/>
        <v>0</v>
      </c>
      <c r="AQ2" s="17">
        <f t="shared" si="10"/>
        <v>6240</v>
      </c>
      <c r="AR2" s="17">
        <f t="shared" ca="1" si="11"/>
        <v>5920.2000000000007</v>
      </c>
      <c r="AS2" s="17">
        <f t="shared" ref="AS2:AS12" si="17">(AQ2)</f>
        <v>6240</v>
      </c>
      <c r="AT2" s="18">
        <f t="shared" ca="1" si="12"/>
        <v>0</v>
      </c>
      <c r="AU2" s="18">
        <f t="shared" si="13"/>
        <v>0</v>
      </c>
      <c r="AV2" s="18">
        <f t="shared" ref="AV2:AV12" ca="1" si="18">(AT2+AU2)</f>
        <v>0</v>
      </c>
      <c r="AW2" s="18">
        <f t="shared" si="14"/>
        <v>0</v>
      </c>
      <c r="AX2" s="17">
        <f>(0)</f>
        <v>0</v>
      </c>
      <c r="AY2" s="17">
        <f t="shared" si="15"/>
        <v>26005.5</v>
      </c>
      <c r="AZ2" s="17">
        <f t="shared" ref="AZ2:AZ13" si="19">(AY1*0.14*-1)</f>
        <v>-3640.7700000000004</v>
      </c>
      <c r="BA2" s="17">
        <f t="shared" ref="BA2:BA13" si="20">(AY1*0.01*-1)</f>
        <v>-260.05500000000001</v>
      </c>
      <c r="BB2" s="21">
        <v>0.15</v>
      </c>
      <c r="BC2" s="17">
        <v>0</v>
      </c>
      <c r="BD2" s="17">
        <v>158000</v>
      </c>
      <c r="BE2" s="17">
        <v>0</v>
      </c>
      <c r="BF2" s="17">
        <f t="shared" ref="BF2:BF13" si="21">(AT29+AZ2+BA2)</f>
        <v>22104.674999999999</v>
      </c>
      <c r="BG2" s="17">
        <f>(0)</f>
        <v>0</v>
      </c>
      <c r="BH2" s="17">
        <f>(BF2-BG2)</f>
        <v>22104.674999999999</v>
      </c>
      <c r="BI2" s="17">
        <f>SUM(BH$2:$BH2)</f>
        <v>22104.674999999999</v>
      </c>
      <c r="BJ2" s="19">
        <f t="shared" ref="BJ2:BJ13" si="22">IF(BI2&lt;=$BD$2,$BB$2,
IF(BI2&gt;$BD$4,
IF(BI2&gt;$BD$5,$BB$6,$BB$5),
IF(BI2&lt;$BD$3,$BB$3,$BB$4)))</f>
        <v>0.15</v>
      </c>
      <c r="BK2" s="22">
        <f>IF(BJ2-BJ1=0,0,1)</f>
        <v>1</v>
      </c>
      <c r="BL2" s="23">
        <f t="shared" ref="BL2:BL13" si="23">IF(BK2=0,BJ2,(VLOOKUP($BJ2,$BB$2:$BE$6,2,0)-BI1)/BH2*BJ1+(BI2-VLOOKUP($BJ2,$BB$2:$BE$6,2,0))/BH2*BJ2)</f>
        <v>0.15</v>
      </c>
      <c r="BM2" s="17">
        <f>(ROUND(BH2*BL2,2)+VLOOKUP(BJ2,$BB$2:$BE$6,4,0))</f>
        <v>3315.7</v>
      </c>
      <c r="BN2" s="23">
        <f>(100+(100*0.00759*-1)+(100*0.01*-1)+(100*0.01*-1)+(100+100*0.14*-1+100*0.01*-1)*BL2*-1)/100</f>
        <v>0.84491000000000005</v>
      </c>
      <c r="BO2" s="17">
        <f t="shared" ref="BO2:BO13" si="24">AT29</f>
        <v>26005.5</v>
      </c>
      <c r="BP2" s="17">
        <f t="shared" ref="BP2:BP13" si="25">AT29+AW29+AZ2+BA2</f>
        <v>22104.674999999999</v>
      </c>
      <c r="BU2" s="16">
        <v>0</v>
      </c>
      <c r="BV2" s="24">
        <v>0</v>
      </c>
      <c r="BW2" s="25">
        <v>0</v>
      </c>
    </row>
    <row r="3" spans="1:75" ht="39.950000000000003" customHeight="1" x14ac:dyDescent="0.25">
      <c r="A3" s="80"/>
      <c r="B3" s="81"/>
      <c r="C3" s="51"/>
      <c r="D3" s="51"/>
      <c r="E3" s="51"/>
      <c r="F3" s="52"/>
      <c r="G3" s="51"/>
      <c r="H3" s="51"/>
      <c r="I3" s="56"/>
      <c r="J3" s="57"/>
      <c r="K3" s="58"/>
      <c r="L3" s="51"/>
      <c r="M3" s="51"/>
      <c r="N3" s="77"/>
      <c r="O3" s="77"/>
      <c r="P3" s="74"/>
      <c r="Q3" s="68"/>
      <c r="R3" s="72"/>
      <c r="S3" s="79"/>
      <c r="T3" s="62"/>
      <c r="U3" s="64"/>
      <c r="V3" s="63"/>
      <c r="W3" s="49"/>
      <c r="X3" s="16" t="s">
        <v>89</v>
      </c>
      <c r="Y3" s="17">
        <f t="shared" ca="1" si="0"/>
        <v>0</v>
      </c>
      <c r="Z3" s="17">
        <f ca="1">COUNTIF(Q1,"Ocak")*(AJ1)
+COUNTIF(Q1,"Şubat")*(AJ2)
+COUNTIF(Q1,"Mart")*(AJ3)
+COUNTIF(Q1,"Nisan")*(AJ4)
+COUNTIF(Q1,"Mayıs")*(AJ5)
+COUNTIF(Q1,"Haziran")*(AJ6)
+COUNTIF(Q1,"Temmuz")*(AJ7)
+COUNTIF(Q1,"Ağustos")*(AJ8)
+COUNTIF(Q1,"Eylül")*(AJ9)
+COUNTIF(Q1,"Ekim")*(AJ10)
+COUNTIF(Q1,"Kasım")*(AJ11)
+COUNTIF(Q1,"Aralık")*(AJ12)
+COUNTIF(Q1,"Yıllık Toplam")*(AJ13)
+COUNTIF(Q1,"Yıllık Ortalama")*(AJ14)</f>
        <v>0</v>
      </c>
      <c r="AC3" s="20">
        <f>(2%)</f>
        <v>0.02</v>
      </c>
      <c r="AD3" s="16" t="s">
        <v>0</v>
      </c>
      <c r="AE3" s="17">
        <f>($AE$8*$AC$3)</f>
        <v>520.11</v>
      </c>
      <c r="AF3" s="17">
        <f>($AF$8*$AC$3)</f>
        <v>520.11</v>
      </c>
      <c r="AG3" s="17">
        <f t="shared" si="1"/>
        <v>0</v>
      </c>
      <c r="AH3" s="17">
        <f t="shared" ca="1" si="2"/>
        <v>0</v>
      </c>
      <c r="AI3" s="17">
        <f t="shared" si="3"/>
        <v>0</v>
      </c>
      <c r="AJ3" s="17">
        <f t="shared" ca="1" si="4"/>
        <v>0</v>
      </c>
      <c r="AK3" s="17">
        <f t="shared" si="5"/>
        <v>0</v>
      </c>
      <c r="AL3" s="17">
        <f t="shared" ca="1" si="6"/>
        <v>0</v>
      </c>
      <c r="AM3" s="17">
        <f t="shared" si="16"/>
        <v>0</v>
      </c>
      <c r="AN3" s="17">
        <f t="shared" ca="1" si="7"/>
        <v>0</v>
      </c>
      <c r="AO3" s="17">
        <f t="shared" si="8"/>
        <v>0</v>
      </c>
      <c r="AP3" s="17">
        <f t="shared" ca="1" si="9"/>
        <v>0</v>
      </c>
      <c r="AQ3" s="17">
        <f t="shared" si="10"/>
        <v>6240</v>
      </c>
      <c r="AR3" s="17">
        <f t="shared" ca="1" si="11"/>
        <v>5920.2000000000007</v>
      </c>
      <c r="AS3" s="17">
        <f t="shared" si="17"/>
        <v>6240</v>
      </c>
      <c r="AT3" s="18">
        <f t="shared" ca="1" si="12"/>
        <v>0</v>
      </c>
      <c r="AU3" s="18">
        <f t="shared" si="13"/>
        <v>0</v>
      </c>
      <c r="AV3" s="18">
        <f t="shared" ca="1" si="18"/>
        <v>0</v>
      </c>
      <c r="AW3" s="18">
        <f t="shared" si="14"/>
        <v>0</v>
      </c>
      <c r="AX3" s="17">
        <f>(0)</f>
        <v>0</v>
      </c>
      <c r="AY3" s="17">
        <f t="shared" si="15"/>
        <v>26005.5</v>
      </c>
      <c r="AZ3" s="17">
        <f t="shared" si="19"/>
        <v>-3640.7700000000004</v>
      </c>
      <c r="BA3" s="17">
        <f t="shared" si="20"/>
        <v>-260.05500000000001</v>
      </c>
      <c r="BB3" s="21">
        <v>0.2</v>
      </c>
      <c r="BC3" s="17">
        <f>$BD$2</f>
        <v>158000</v>
      </c>
      <c r="BD3" s="17">
        <v>330000</v>
      </c>
      <c r="BE3" s="17">
        <f>(BD2-BC2)*BB2+BE2</f>
        <v>23700</v>
      </c>
      <c r="BF3" s="17">
        <f t="shared" si="21"/>
        <v>22104.674999999999</v>
      </c>
      <c r="BG3" s="17">
        <f>(0)</f>
        <v>0</v>
      </c>
      <c r="BH3" s="17">
        <f t="shared" ref="BH3:BH13" si="26">(BF3-BG3)</f>
        <v>22104.674999999999</v>
      </c>
      <c r="BI3" s="17">
        <f>SUM(BH$2:$BH3)</f>
        <v>44209.35</v>
      </c>
      <c r="BJ3" s="19">
        <f t="shared" si="22"/>
        <v>0.15</v>
      </c>
      <c r="BK3" s="22">
        <f t="shared" ref="BK3:BK13" si="27">IF(BJ3-BJ2=0,0,1)</f>
        <v>0</v>
      </c>
      <c r="BL3" s="23">
        <f t="shared" si="23"/>
        <v>0.15</v>
      </c>
      <c r="BM3" s="17">
        <f>(ROUND(BH3*BL3,2))</f>
        <v>3315.7</v>
      </c>
      <c r="BN3" s="23">
        <f t="shared" ref="BN3:BN13" si="28">(100+(100*0.00759*-1)+(100*0.01*-1)+(100*0.01*-1)+(100+100*0.14*-1+100*0.01*-1)*BL3*-1)/100</f>
        <v>0.84491000000000005</v>
      </c>
      <c r="BO3" s="17">
        <f t="shared" si="24"/>
        <v>26005.5</v>
      </c>
      <c r="BP3" s="17">
        <f t="shared" si="25"/>
        <v>22104.674999999999</v>
      </c>
      <c r="BU3" s="16">
        <v>1</v>
      </c>
      <c r="BV3" s="24">
        <v>0.5</v>
      </c>
      <c r="BW3" s="25">
        <v>0.03</v>
      </c>
    </row>
    <row r="4" spans="1:75" ht="39.950000000000003" customHeight="1" x14ac:dyDescent="0.25">
      <c r="A4" s="80"/>
      <c r="B4" s="81"/>
      <c r="C4" s="51"/>
      <c r="D4" s="51"/>
      <c r="E4" s="51"/>
      <c r="F4" s="52"/>
      <c r="G4" s="51"/>
      <c r="H4" s="51"/>
      <c r="I4" s="56"/>
      <c r="J4" s="57"/>
      <c r="K4" s="58"/>
      <c r="L4" s="51"/>
      <c r="M4" s="51"/>
      <c r="N4" s="77"/>
      <c r="O4" s="77"/>
      <c r="P4" s="74"/>
      <c r="Q4" s="68"/>
      <c r="R4" s="72"/>
      <c r="S4" s="79"/>
      <c r="T4" s="62"/>
      <c r="U4" s="64"/>
      <c r="V4" s="63"/>
      <c r="W4" s="49"/>
      <c r="X4" s="16" t="s">
        <v>90</v>
      </c>
      <c r="Y4" s="17">
        <f t="shared" ref="Y4" ca="1" si="29">IF(Z4&gt;0,Z4,Z4*-1)</f>
        <v>0</v>
      </c>
      <c r="Z4" s="17">
        <f ca="1">COUNTIF(Q1,"Ocak")*(AL1)
+COUNTIF(Q1,"Şubat")*(AL2)
+COUNTIF(Q1,"Mart")*(AL3)
+COUNTIF(Q1,"Nisan")*(AL4)
+COUNTIF(Q1,"Mayıs")*(AL5)
+COUNTIF(Q1,"Haziran")*(AL6)
+COUNTIF(Q1,"Temmuz")*(AL7)
+COUNTIF(Q1,"Ağustos")*(AL8)
+COUNTIF(Q1,"Eylül")*(AL9)
+COUNTIF(Q1,"Ekim")*(AL10)
+COUNTIF(Q1,"Kasım")*(AL11)
+COUNTIF(Q1,"Aralık")*(AL12)
+COUNTIF(Q1,"Yıllık Toplam")*(AL13)
+COUNTIF(Q1,"Yıllık Ortalama")*(AL14)</f>
        <v>0</v>
      </c>
      <c r="AC4" s="20">
        <f>(1%)</f>
        <v>0.01</v>
      </c>
      <c r="AD4" s="16" t="s">
        <v>0</v>
      </c>
      <c r="AE4" s="17">
        <f>($AE$8*$AC$4)</f>
        <v>260.05500000000001</v>
      </c>
      <c r="AF4" s="17">
        <f>($AF$8*$AC$4)</f>
        <v>260.05500000000001</v>
      </c>
      <c r="AG4" s="17">
        <f t="shared" si="1"/>
        <v>0</v>
      </c>
      <c r="AH4" s="17">
        <f t="shared" ca="1" si="2"/>
        <v>0</v>
      </c>
      <c r="AI4" s="17">
        <f t="shared" si="3"/>
        <v>0</v>
      </c>
      <c r="AJ4" s="17">
        <f t="shared" ca="1" si="4"/>
        <v>0</v>
      </c>
      <c r="AK4" s="17">
        <f t="shared" si="5"/>
        <v>0</v>
      </c>
      <c r="AL4" s="17">
        <f t="shared" ca="1" si="6"/>
        <v>0</v>
      </c>
      <c r="AM4" s="17">
        <f t="shared" si="16"/>
        <v>0</v>
      </c>
      <c r="AN4" s="17">
        <f t="shared" ca="1" si="7"/>
        <v>0</v>
      </c>
      <c r="AO4" s="17">
        <f t="shared" si="8"/>
        <v>0</v>
      </c>
      <c r="AP4" s="17">
        <f t="shared" ca="1" si="9"/>
        <v>0</v>
      </c>
      <c r="AQ4" s="17">
        <f t="shared" si="10"/>
        <v>6240</v>
      </c>
      <c r="AR4" s="17">
        <f t="shared" ca="1" si="11"/>
        <v>5920.2000000000007</v>
      </c>
      <c r="AS4" s="17">
        <f t="shared" si="17"/>
        <v>6240</v>
      </c>
      <c r="AT4" s="18">
        <f t="shared" ca="1" si="12"/>
        <v>0</v>
      </c>
      <c r="AU4" s="18">
        <f t="shared" si="13"/>
        <v>0</v>
      </c>
      <c r="AV4" s="18">
        <f t="shared" ca="1" si="18"/>
        <v>0</v>
      </c>
      <c r="AW4" s="18">
        <f t="shared" si="14"/>
        <v>0</v>
      </c>
      <c r="AX4" s="17">
        <f>(0)</f>
        <v>0</v>
      </c>
      <c r="AY4" s="17">
        <f t="shared" si="15"/>
        <v>26005.5</v>
      </c>
      <c r="AZ4" s="17">
        <f t="shared" si="19"/>
        <v>-3640.7700000000004</v>
      </c>
      <c r="BA4" s="17">
        <f t="shared" si="20"/>
        <v>-260.05500000000001</v>
      </c>
      <c r="BB4" s="21">
        <v>0.27</v>
      </c>
      <c r="BC4" s="17">
        <f>$BD$3</f>
        <v>330000</v>
      </c>
      <c r="BD4" s="17">
        <v>1200000</v>
      </c>
      <c r="BE4" s="17">
        <f>(BD3-BC3)*BB3+BE3</f>
        <v>58100</v>
      </c>
      <c r="BF4" s="17">
        <f t="shared" si="21"/>
        <v>22104.674999999999</v>
      </c>
      <c r="BG4" s="17">
        <f>(0)</f>
        <v>0</v>
      </c>
      <c r="BH4" s="17">
        <f t="shared" si="26"/>
        <v>22104.674999999999</v>
      </c>
      <c r="BI4" s="17">
        <f>SUM(BH$2:$BH4)</f>
        <v>66314.024999999994</v>
      </c>
      <c r="BJ4" s="19">
        <f t="shared" si="22"/>
        <v>0.15</v>
      </c>
      <c r="BK4" s="22">
        <f t="shared" si="27"/>
        <v>0</v>
      </c>
      <c r="BL4" s="23">
        <f t="shared" si="23"/>
        <v>0.15</v>
      </c>
      <c r="BM4" s="17">
        <f t="shared" ref="BM4:BM13" si="30">(ROUND(BH4*BL4,2))</f>
        <v>3315.7</v>
      </c>
      <c r="BN4" s="23">
        <f t="shared" si="28"/>
        <v>0.84491000000000005</v>
      </c>
      <c r="BO4" s="17">
        <f t="shared" si="24"/>
        <v>26005.5</v>
      </c>
      <c r="BP4" s="17">
        <f t="shared" si="25"/>
        <v>22104.674999999999</v>
      </c>
      <c r="BU4" s="16">
        <v>2</v>
      </c>
      <c r="BV4" s="24">
        <v>1</v>
      </c>
      <c r="BW4" s="25">
        <v>0.04</v>
      </c>
    </row>
    <row r="5" spans="1:75" ht="39.950000000000003" customHeight="1" x14ac:dyDescent="0.25">
      <c r="A5" s="80"/>
      <c r="B5" s="81"/>
      <c r="C5" s="51"/>
      <c r="D5" s="51"/>
      <c r="E5" s="51"/>
      <c r="F5" s="52"/>
      <c r="G5" s="51"/>
      <c r="H5" s="51"/>
      <c r="I5" s="56"/>
      <c r="J5" s="57"/>
      <c r="K5" s="58"/>
      <c r="L5" s="51"/>
      <c r="M5" s="51"/>
      <c r="N5" s="77"/>
      <c r="O5" s="77"/>
      <c r="P5" s="74"/>
      <c r="Q5" s="68"/>
      <c r="R5" s="72"/>
      <c r="S5" s="79"/>
      <c r="T5" s="62"/>
      <c r="U5" s="64"/>
      <c r="V5" s="63"/>
      <c r="W5" s="49"/>
      <c r="X5" s="16" t="s">
        <v>91</v>
      </c>
      <c r="Y5" s="17">
        <f t="shared" ref="Y5:Y10" ca="1" si="31">IF(Z5&gt;0,Z5,Z5*-1)</f>
        <v>0</v>
      </c>
      <c r="Z5" s="17">
        <f ca="1">COUNTIF(Q1,"Ocak")*(AN1)
+COUNTIF(Q1,"Şubat")*(AN2)
+COUNTIF(Q1,"Mart")*(AN3)
+COUNTIF(Q1,"Nisan")*(AN4)
+COUNTIF(Q1,"Mayıs")*(AN5)
+COUNTIF(Q1,"Haziran")*(AN6)
+COUNTIF(Q1,"Temmuz")*(AN7)
+COUNTIF(Q1,"Ağustos")*(AN8)
+COUNTIF(Q1,"Eylül")*(AN9)
+COUNTIF(Q1,"Ekim")*(AN10)
+COUNTIF(Q1,"Kasım")*(AN11)
+COUNTIF(Q1,"Aralık")*(AN12)
+COUNTIF(Q1,"Yıllık Toplam")*(AN13)
+COUNTIF(Q1,"Yıllık Ortalama")*(AN14)</f>
        <v>0</v>
      </c>
      <c r="AC5" s="16" t="s">
        <v>0</v>
      </c>
      <c r="AD5" s="16" t="s">
        <v>0</v>
      </c>
      <c r="AE5" s="17">
        <f>($AE$16)</f>
        <v>2301.539788</v>
      </c>
      <c r="AF5" s="17">
        <f>($AF$16)</f>
        <v>2301.539788</v>
      </c>
      <c r="AG5" s="17">
        <f t="shared" si="1"/>
        <v>0</v>
      </c>
      <c r="AH5" s="17">
        <f t="shared" ca="1" si="2"/>
        <v>0</v>
      </c>
      <c r="AI5" s="17">
        <f t="shared" si="3"/>
        <v>0</v>
      </c>
      <c r="AJ5" s="17">
        <f t="shared" ca="1" si="4"/>
        <v>0</v>
      </c>
      <c r="AK5" s="17">
        <f t="shared" si="5"/>
        <v>0</v>
      </c>
      <c r="AL5" s="17">
        <f t="shared" ca="1" si="6"/>
        <v>0</v>
      </c>
      <c r="AM5" s="17">
        <f t="shared" si="16"/>
        <v>0</v>
      </c>
      <c r="AN5" s="17">
        <f t="shared" ca="1" si="7"/>
        <v>0</v>
      </c>
      <c r="AO5" s="17">
        <f t="shared" si="8"/>
        <v>0</v>
      </c>
      <c r="AP5" s="17">
        <f t="shared" ca="1" si="9"/>
        <v>0</v>
      </c>
      <c r="AQ5" s="17">
        <f t="shared" si="10"/>
        <v>6240</v>
      </c>
      <c r="AR5" s="17">
        <f t="shared" ca="1" si="11"/>
        <v>5920.2000000000007</v>
      </c>
      <c r="AS5" s="17">
        <f t="shared" si="17"/>
        <v>6240</v>
      </c>
      <c r="AT5" s="18">
        <f t="shared" ca="1" si="12"/>
        <v>0</v>
      </c>
      <c r="AU5" s="18">
        <f t="shared" si="13"/>
        <v>0</v>
      </c>
      <c r="AV5" s="18">
        <f t="shared" ca="1" si="18"/>
        <v>0</v>
      </c>
      <c r="AW5" s="18">
        <f t="shared" si="14"/>
        <v>0</v>
      </c>
      <c r="AX5" s="17">
        <f>(0)</f>
        <v>0</v>
      </c>
      <c r="AY5" s="17">
        <f t="shared" si="15"/>
        <v>26005.5</v>
      </c>
      <c r="AZ5" s="17">
        <f t="shared" si="19"/>
        <v>-3640.7700000000004</v>
      </c>
      <c r="BA5" s="17">
        <f t="shared" si="20"/>
        <v>-260.05500000000001</v>
      </c>
      <c r="BB5" s="21">
        <v>0.35</v>
      </c>
      <c r="BC5" s="17">
        <f>$BD$4</f>
        <v>1200000</v>
      </c>
      <c r="BD5" s="17">
        <v>4300000</v>
      </c>
      <c r="BE5" s="17">
        <f>(BD4-BC4)*BB4+BE4</f>
        <v>293000</v>
      </c>
      <c r="BF5" s="17">
        <f t="shared" si="21"/>
        <v>22104.674999999999</v>
      </c>
      <c r="BG5" s="17">
        <f>(0)</f>
        <v>0</v>
      </c>
      <c r="BH5" s="17">
        <f t="shared" si="26"/>
        <v>22104.674999999999</v>
      </c>
      <c r="BI5" s="17">
        <f>SUM(BH$2:$BH5)</f>
        <v>88418.7</v>
      </c>
      <c r="BJ5" s="19">
        <f t="shared" si="22"/>
        <v>0.15</v>
      </c>
      <c r="BK5" s="22">
        <f t="shared" si="27"/>
        <v>0</v>
      </c>
      <c r="BL5" s="23">
        <f t="shared" si="23"/>
        <v>0.15</v>
      </c>
      <c r="BM5" s="17">
        <f t="shared" si="30"/>
        <v>3315.7</v>
      </c>
      <c r="BN5" s="23">
        <f t="shared" si="28"/>
        <v>0.84491000000000005</v>
      </c>
      <c r="BO5" s="17">
        <f t="shared" si="24"/>
        <v>26005.5</v>
      </c>
      <c r="BP5" s="17">
        <f t="shared" si="25"/>
        <v>22104.674999999999</v>
      </c>
      <c r="BU5" s="16">
        <v>3</v>
      </c>
      <c r="BV5" s="24">
        <v>1.5</v>
      </c>
      <c r="BW5" s="25">
        <v>0.05</v>
      </c>
    </row>
    <row r="6" spans="1:75" ht="39.950000000000003" customHeight="1" x14ac:dyDescent="0.25">
      <c r="A6" s="80"/>
      <c r="B6" s="81">
        <f>COUNTIF($A$1,"Amir")*($Z$21)
+COUNTIF($A$1,"Gişe")*($Z$22)
+COUNTIF($A$1,"Çıma")*($Z$23)
+COUNTIF($A$1,"Satış Görevlisi")*($Z$24)
+COUNTIF($A$1,"Ustabaşı")*($Z$25)
+COUNTIF($A$1,"İtfaiye Amiri")*($Z$26)
+COUNTIF($A$1,"Usta")*($Z$27)
+COUNTIF($A$1,"Vinç Operatörü")*($Z$28)
+COUNTIF($A$1,"Forklift Operatörü")*($Z$29)
+COUNTIF($A$1,"İtfaiyeci")*($Z$30)
+COUNTIF($A$1,"Usta Yardımcısı")*($Z$31)
+COUNTIF($A$1,"Gemi Havuzlama Personeli")*($Z$32)
+COUNTIF($A$1,"Yakıt Yağ ve Atık Personeli")*($Z$33)
+COUNTIF($A$1,"Tersane Saha Personeli")*($Z$34)</f>
        <v>2065</v>
      </c>
      <c r="C6" s="51"/>
      <c r="D6" s="51"/>
      <c r="E6" s="51"/>
      <c r="F6" s="52"/>
      <c r="G6" s="51"/>
      <c r="H6" s="51"/>
      <c r="I6" s="56"/>
      <c r="J6" s="57"/>
      <c r="K6" s="58"/>
      <c r="L6" s="51"/>
      <c r="M6" s="51"/>
      <c r="N6" s="77"/>
      <c r="O6" s="77"/>
      <c r="P6" s="74"/>
      <c r="Q6" s="68"/>
      <c r="R6" s="72"/>
      <c r="S6" s="79"/>
      <c r="T6" s="62"/>
      <c r="U6" s="64"/>
      <c r="V6" s="63"/>
      <c r="W6" s="49"/>
      <c r="X6" s="16" t="s">
        <v>92</v>
      </c>
      <c r="Y6" s="17">
        <f t="shared" ca="1" si="31"/>
        <v>0</v>
      </c>
      <c r="Z6" s="17">
        <f ca="1">COUNTIF(Q1,"Ocak")*(AP1)
+COUNTIF(Q1,"Şubat")*(AP2)
+COUNTIF(Q1,"Mart")*(AP3)
+COUNTIF(Q1,"Nisan")*(AP4)
+COUNTIF(Q1,"Mayıs")*(AP5)
+COUNTIF(Q1,"Haziran")*(AP6)
+COUNTIF(Q1,"Temmuz")*(AP7)
+COUNTIF(Q1,"Ağustos")*(AP8)
+COUNTIF(Q1,"Eylül")*(AP9)
+COUNTIF(Q1,"Ekim")*(AP10)
+COUNTIF(Q1,"Kasım")*(AP11)
+COUNTIF(Q1,"Aralık")*(AP12)
+COUNTIF(Q1,"Yıllık Toplam")*(AP13)
+COUNTIF(Q1,"Yıllık Ortalama")*(AP14)</f>
        <v>0</v>
      </c>
      <c r="AC6" s="16" t="s">
        <v>0</v>
      </c>
      <c r="AD6" s="16" t="s">
        <v>0</v>
      </c>
      <c r="AE6" s="17">
        <f>($AE$17)</f>
        <v>506.27800000000002</v>
      </c>
      <c r="AF6" s="17">
        <f>($AF$17)</f>
        <v>506.27800000000002</v>
      </c>
      <c r="AG6" s="17">
        <f t="shared" si="1"/>
        <v>0</v>
      </c>
      <c r="AH6" s="17">
        <f t="shared" ca="1" si="2"/>
        <v>0</v>
      </c>
      <c r="AI6" s="17">
        <f t="shared" si="3"/>
        <v>0</v>
      </c>
      <c r="AJ6" s="17">
        <f t="shared" ca="1" si="4"/>
        <v>0</v>
      </c>
      <c r="AK6" s="17">
        <f t="shared" si="5"/>
        <v>0</v>
      </c>
      <c r="AL6" s="17">
        <f t="shared" ca="1" si="6"/>
        <v>0</v>
      </c>
      <c r="AM6" s="17">
        <f t="shared" si="16"/>
        <v>0</v>
      </c>
      <c r="AN6" s="17">
        <f t="shared" ca="1" si="7"/>
        <v>0</v>
      </c>
      <c r="AO6" s="17">
        <f t="shared" si="8"/>
        <v>0</v>
      </c>
      <c r="AP6" s="17">
        <f t="shared" ca="1" si="9"/>
        <v>0</v>
      </c>
      <c r="AQ6" s="17">
        <f t="shared" si="10"/>
        <v>6240</v>
      </c>
      <c r="AR6" s="17">
        <f t="shared" ca="1" si="11"/>
        <v>5920.2000000000007</v>
      </c>
      <c r="AS6" s="17">
        <f t="shared" si="17"/>
        <v>6240</v>
      </c>
      <c r="AT6" s="18">
        <f t="shared" ca="1" si="12"/>
        <v>0</v>
      </c>
      <c r="AU6" s="18">
        <f t="shared" si="13"/>
        <v>0</v>
      </c>
      <c r="AV6" s="18">
        <f t="shared" ca="1" si="18"/>
        <v>0</v>
      </c>
      <c r="AW6" s="18">
        <f t="shared" si="14"/>
        <v>0</v>
      </c>
      <c r="AX6" s="17">
        <f>(0)</f>
        <v>0</v>
      </c>
      <c r="AY6" s="17">
        <f t="shared" si="15"/>
        <v>26005.5</v>
      </c>
      <c r="AZ6" s="17">
        <f t="shared" si="19"/>
        <v>-3640.7700000000004</v>
      </c>
      <c r="BA6" s="17">
        <f t="shared" si="20"/>
        <v>-260.05500000000001</v>
      </c>
      <c r="BB6" s="21">
        <v>0.4</v>
      </c>
      <c r="BC6" s="26">
        <f>$BD$5</f>
        <v>4300000</v>
      </c>
      <c r="BD6" s="17">
        <v>999999999</v>
      </c>
      <c r="BE6" s="17">
        <f>(BD5-BC5)*BB5+BE5</f>
        <v>1378000</v>
      </c>
      <c r="BF6" s="17">
        <f t="shared" si="21"/>
        <v>22104.674999999999</v>
      </c>
      <c r="BG6" s="17">
        <f>(0)</f>
        <v>0</v>
      </c>
      <c r="BH6" s="17">
        <f t="shared" si="26"/>
        <v>22104.674999999999</v>
      </c>
      <c r="BI6" s="17">
        <f>SUM(BH$2:$BH6)</f>
        <v>110523.375</v>
      </c>
      <c r="BJ6" s="19">
        <f t="shared" si="22"/>
        <v>0.15</v>
      </c>
      <c r="BK6" s="22">
        <f t="shared" si="27"/>
        <v>0</v>
      </c>
      <c r="BL6" s="23">
        <f t="shared" si="23"/>
        <v>0.15</v>
      </c>
      <c r="BM6" s="17">
        <f t="shared" si="30"/>
        <v>3315.7</v>
      </c>
      <c r="BN6" s="23">
        <f t="shared" si="28"/>
        <v>0.84491000000000005</v>
      </c>
      <c r="BO6" s="17">
        <f t="shared" si="24"/>
        <v>26005.5</v>
      </c>
      <c r="BP6" s="17">
        <f t="shared" si="25"/>
        <v>22104.674999999999</v>
      </c>
      <c r="BU6" s="16">
        <v>4</v>
      </c>
      <c r="BV6" s="24">
        <v>2</v>
      </c>
      <c r="BW6" s="25">
        <v>0.06</v>
      </c>
    </row>
    <row r="7" spans="1:75" ht="39.950000000000003" customHeight="1" x14ac:dyDescent="0.25">
      <c r="A7" s="80"/>
      <c r="B7" s="81"/>
      <c r="C7" s="51"/>
      <c r="D7" s="51"/>
      <c r="E7" s="51"/>
      <c r="F7" s="52"/>
      <c r="G7" s="51"/>
      <c r="H7" s="51"/>
      <c r="I7" s="56"/>
      <c r="J7" s="57"/>
      <c r="K7" s="58"/>
      <c r="L7" s="51"/>
      <c r="M7" s="51"/>
      <c r="N7" s="77"/>
      <c r="O7" s="77"/>
      <c r="P7" s="74"/>
      <c r="Q7" s="68"/>
      <c r="R7" s="72"/>
      <c r="S7" s="79"/>
      <c r="T7" s="62"/>
      <c r="U7" s="64"/>
      <c r="V7" s="63"/>
      <c r="W7" s="49"/>
      <c r="X7" s="16" t="s">
        <v>6</v>
      </c>
      <c r="Y7" s="17">
        <f t="shared" ca="1" si="31"/>
        <v>5920.2</v>
      </c>
      <c r="Z7" s="17">
        <f ca="1">COUNTIF(Q1,"Ocak")*(AR1)
+COUNTIF(Q1,"Şubat")*(AR2)
+COUNTIF(Q1,"Mart")*(AR3)
+COUNTIF(Q1,"Nisan")*(AR4)
+COUNTIF(Q1,"Mayıs")*(AR5)
+COUNTIF(Q1,"Haziran")*(AR6)
+COUNTIF(Q1,"Temmuz")*(AR7)
+COUNTIF(Q1,"Ağustos")*(AR8)
+COUNTIF(Q1,"Eylül")*(AR9)
+COUNTIF(Q1,"Ekim")*(AR10)
+COUNTIF(Q1,"Kasım")*(AR11)
+COUNTIF(Q1,"Aralık")*(AR12)
+COUNTIF(Q1,"Yıllık Toplam")*(AR13)
+COUNTIF(Q1,"Yıllık Ortalama")*(AR14)</f>
        <v>5920.2</v>
      </c>
      <c r="AC7" s="16" t="s">
        <v>0</v>
      </c>
      <c r="AD7" s="16" t="s">
        <v>0</v>
      </c>
      <c r="AE7" s="17">
        <f>($AE$18)</f>
        <v>253.13900000000001</v>
      </c>
      <c r="AF7" s="17">
        <f>($AF$18)</f>
        <v>253.13900000000001</v>
      </c>
      <c r="AG7" s="17">
        <f t="shared" si="1"/>
        <v>0</v>
      </c>
      <c r="AH7" s="17">
        <f t="shared" ca="1" si="2"/>
        <v>0</v>
      </c>
      <c r="AI7" s="17">
        <f t="shared" si="3"/>
        <v>0</v>
      </c>
      <c r="AJ7" s="17">
        <f t="shared" ca="1" si="4"/>
        <v>0</v>
      </c>
      <c r="AK7" s="17">
        <f t="shared" si="5"/>
        <v>0</v>
      </c>
      <c r="AL7" s="17">
        <f t="shared" ca="1" si="6"/>
        <v>0</v>
      </c>
      <c r="AM7" s="17">
        <f t="shared" si="16"/>
        <v>0</v>
      </c>
      <c r="AN7" s="17">
        <f t="shared" ca="1" si="7"/>
        <v>0</v>
      </c>
      <c r="AO7" s="17">
        <f t="shared" si="8"/>
        <v>0</v>
      </c>
      <c r="AP7" s="17">
        <f t="shared" ca="1" si="9"/>
        <v>0</v>
      </c>
      <c r="AQ7" s="17">
        <f t="shared" si="10"/>
        <v>6240</v>
      </c>
      <c r="AR7" s="17">
        <f t="shared" ca="1" si="11"/>
        <v>5920.2000000000007</v>
      </c>
      <c r="AS7" s="17">
        <f t="shared" si="17"/>
        <v>6240</v>
      </c>
      <c r="AT7" s="18">
        <f t="shared" ca="1" si="12"/>
        <v>0</v>
      </c>
      <c r="AU7" s="18">
        <f t="shared" si="13"/>
        <v>0</v>
      </c>
      <c r="AV7" s="18">
        <f t="shared" ca="1" si="18"/>
        <v>0</v>
      </c>
      <c r="AW7" s="18">
        <f t="shared" si="14"/>
        <v>0</v>
      </c>
      <c r="AX7" s="17">
        <f>(0)</f>
        <v>0</v>
      </c>
      <c r="AY7" s="17">
        <f t="shared" si="15"/>
        <v>26005.5</v>
      </c>
      <c r="AZ7" s="17">
        <f t="shared" si="19"/>
        <v>-3640.7700000000004</v>
      </c>
      <c r="BA7" s="17">
        <f t="shared" si="20"/>
        <v>-260.05500000000001</v>
      </c>
      <c r="BB7" s="17" t="s">
        <v>0</v>
      </c>
      <c r="BC7" s="17" t="s">
        <v>0</v>
      </c>
      <c r="BD7" s="17" t="s">
        <v>0</v>
      </c>
      <c r="BE7" s="17" t="s">
        <v>0</v>
      </c>
      <c r="BF7" s="17">
        <f t="shared" si="21"/>
        <v>22104.674999999999</v>
      </c>
      <c r="BG7" s="17">
        <f>(0)</f>
        <v>0</v>
      </c>
      <c r="BH7" s="17">
        <f t="shared" si="26"/>
        <v>22104.674999999999</v>
      </c>
      <c r="BI7" s="17">
        <f>SUM(BH$2:$BH7)</f>
        <v>132628.04999999999</v>
      </c>
      <c r="BJ7" s="19">
        <f t="shared" si="22"/>
        <v>0.15</v>
      </c>
      <c r="BK7" s="22">
        <f t="shared" si="27"/>
        <v>0</v>
      </c>
      <c r="BL7" s="23">
        <f t="shared" si="23"/>
        <v>0.15</v>
      </c>
      <c r="BM7" s="17">
        <f t="shared" si="30"/>
        <v>3315.7</v>
      </c>
      <c r="BN7" s="23">
        <f t="shared" si="28"/>
        <v>0.84491000000000005</v>
      </c>
      <c r="BO7" s="17">
        <f t="shared" si="24"/>
        <v>26005.5</v>
      </c>
      <c r="BP7" s="17">
        <f t="shared" si="25"/>
        <v>22104.674999999999</v>
      </c>
      <c r="BU7" s="16">
        <v>5</v>
      </c>
      <c r="BV7" s="24">
        <v>2.5</v>
      </c>
      <c r="BW7" s="25">
        <v>7.0000000000000007E-2</v>
      </c>
    </row>
    <row r="8" spans="1:75" ht="39.950000000000003" customHeight="1" x14ac:dyDescent="0.25">
      <c r="A8" s="80"/>
      <c r="B8" s="81"/>
      <c r="C8" s="51"/>
      <c r="D8" s="51"/>
      <c r="E8" s="51"/>
      <c r="F8" s="52"/>
      <c r="G8" s="51"/>
      <c r="H8" s="51"/>
      <c r="I8" s="56"/>
      <c r="J8" s="57"/>
      <c r="K8" s="58"/>
      <c r="L8" s="51"/>
      <c r="M8" s="51"/>
      <c r="N8" s="77"/>
      <c r="O8" s="77"/>
      <c r="P8" s="74"/>
      <c r="Q8" s="68"/>
      <c r="R8" s="72"/>
      <c r="S8" s="79"/>
      <c r="T8" s="62"/>
      <c r="U8" s="64"/>
      <c r="V8" s="63"/>
      <c r="W8" s="49"/>
      <c r="X8" s="16" t="s">
        <v>29</v>
      </c>
      <c r="Y8" s="17">
        <f t="shared" si="31"/>
        <v>2094.0277777777778</v>
      </c>
      <c r="Z8" s="17">
        <f>COUNTIF(Q1,"Ocak")*(AS29)
+COUNTIF(Q1,"Şubat")*(AS30)
+COUNTIF(Q1,"Mart")*(AS31)
+COUNTIF(Q1,"Nisan")*(AS32)
+COUNTIF(Q1,"Mayıs")*(AS33)
+COUNTIF(Q1,"Haziran")*(AS34)
+COUNTIF(Q1,"Temmuz")*(AS35)
+COUNTIF(Q1,"Ağustos")*(AS36)
+COUNTIF(Q1,"Eylül")*(AS37)
+COUNTIF(Q1,"Ekim")*(AS38)
+COUNTIF(Q1,"Kasım")*(AS39)
+COUNTIF(Q1,"Aralık")*(AS40)
+COUNTIF(Q1,"Yıllık Toplam")*(AS41)
+COUNTIF(Q1,"Yıllık Ortalama")*(AS42)</f>
        <v>2094.0277777777778</v>
      </c>
      <c r="AC8" s="17" t="s">
        <v>0</v>
      </c>
      <c r="AD8" s="16" t="s">
        <v>0</v>
      </c>
      <c r="AE8" s="17">
        <v>26005.5</v>
      </c>
      <c r="AF8" s="17">
        <v>26005.5</v>
      </c>
      <c r="AG8" s="17">
        <f t="shared" si="1"/>
        <v>0</v>
      </c>
      <c r="AH8" s="17">
        <f t="shared" ca="1" si="2"/>
        <v>0</v>
      </c>
      <c r="AI8" s="17">
        <f t="shared" si="3"/>
        <v>0</v>
      </c>
      <c r="AJ8" s="17">
        <f t="shared" ca="1" si="4"/>
        <v>0</v>
      </c>
      <c r="AK8" s="17">
        <f t="shared" si="5"/>
        <v>0</v>
      </c>
      <c r="AL8" s="17">
        <f t="shared" ca="1" si="6"/>
        <v>0</v>
      </c>
      <c r="AM8" s="17">
        <f t="shared" si="16"/>
        <v>0</v>
      </c>
      <c r="AN8" s="17">
        <f t="shared" ca="1" si="7"/>
        <v>0</v>
      </c>
      <c r="AO8" s="17">
        <f t="shared" si="8"/>
        <v>0</v>
      </c>
      <c r="AP8" s="17">
        <f t="shared" ca="1" si="9"/>
        <v>0</v>
      </c>
      <c r="AQ8" s="17">
        <f t="shared" si="10"/>
        <v>6240</v>
      </c>
      <c r="AR8" s="17">
        <f t="shared" ca="1" si="11"/>
        <v>5920.2000000000007</v>
      </c>
      <c r="AS8" s="17">
        <f t="shared" si="17"/>
        <v>6240</v>
      </c>
      <c r="AT8" s="18">
        <f t="shared" ca="1" si="12"/>
        <v>0</v>
      </c>
      <c r="AU8" s="18">
        <f t="shared" si="13"/>
        <v>0</v>
      </c>
      <c r="AV8" s="18">
        <f t="shared" ca="1" si="18"/>
        <v>0</v>
      </c>
      <c r="AW8" s="18">
        <f t="shared" si="14"/>
        <v>0</v>
      </c>
      <c r="AX8" s="17">
        <f>(0)</f>
        <v>0</v>
      </c>
      <c r="AY8" s="17">
        <f t="shared" si="15"/>
        <v>26005.5</v>
      </c>
      <c r="AZ8" s="17">
        <f t="shared" si="19"/>
        <v>-3640.7700000000004</v>
      </c>
      <c r="BA8" s="17">
        <f t="shared" si="20"/>
        <v>-260.05500000000001</v>
      </c>
      <c r="BB8" s="17" t="s">
        <v>0</v>
      </c>
      <c r="BC8" s="17" t="s">
        <v>0</v>
      </c>
      <c r="BD8" s="17" t="s">
        <v>0</v>
      </c>
      <c r="BE8" s="17" t="s">
        <v>0</v>
      </c>
      <c r="BF8" s="17">
        <f t="shared" si="21"/>
        <v>22104.674999999999</v>
      </c>
      <c r="BG8" s="17">
        <f>(0)</f>
        <v>0</v>
      </c>
      <c r="BH8" s="17">
        <f t="shared" si="26"/>
        <v>22104.674999999999</v>
      </c>
      <c r="BI8" s="17">
        <f>SUM(BH$2:$BH8)</f>
        <v>154732.72499999998</v>
      </c>
      <c r="BJ8" s="19">
        <f t="shared" si="22"/>
        <v>0.15</v>
      </c>
      <c r="BK8" s="22">
        <f t="shared" si="27"/>
        <v>0</v>
      </c>
      <c r="BL8" s="23">
        <f t="shared" si="23"/>
        <v>0.15</v>
      </c>
      <c r="BM8" s="17">
        <f t="shared" si="30"/>
        <v>3315.7</v>
      </c>
      <c r="BN8" s="23">
        <f t="shared" si="28"/>
        <v>0.84491000000000005</v>
      </c>
      <c r="BO8" s="17">
        <f t="shared" si="24"/>
        <v>26005.5</v>
      </c>
      <c r="BP8" s="17">
        <f t="shared" si="25"/>
        <v>22104.674999999999</v>
      </c>
      <c r="BU8" s="16">
        <v>6</v>
      </c>
      <c r="BV8" s="24">
        <v>3</v>
      </c>
      <c r="BW8" s="25">
        <v>0.08</v>
      </c>
    </row>
    <row r="9" spans="1:75" ht="39.950000000000003" customHeight="1" x14ac:dyDescent="0.25">
      <c r="A9" s="80"/>
      <c r="B9" s="81"/>
      <c r="C9" s="51"/>
      <c r="D9" s="51"/>
      <c r="E9" s="51"/>
      <c r="F9" s="52"/>
      <c r="G9" s="51"/>
      <c r="H9" s="51"/>
      <c r="I9" s="56"/>
      <c r="J9" s="57"/>
      <c r="K9" s="58"/>
      <c r="L9" s="51"/>
      <c r="M9" s="51"/>
      <c r="N9" s="77"/>
      <c r="O9" s="77"/>
      <c r="P9" s="74"/>
      <c r="Q9" s="68"/>
      <c r="R9" s="72"/>
      <c r="S9" s="79"/>
      <c r="T9" s="62"/>
      <c r="U9" s="64"/>
      <c r="V9" s="63"/>
      <c r="W9" s="49"/>
      <c r="X9" s="16" t="s">
        <v>34</v>
      </c>
      <c r="Y9" s="17">
        <f t="shared" ca="1" si="31"/>
        <v>13037.748397245077</v>
      </c>
      <c r="Z9" s="17">
        <f ca="1">COUNTIF(Q1,"Ocak")*(AI43)
+COUNTIF(Q1,"Şubat")*(AI44)
+COUNTIF(Q1,"Mart")*(AI45)
+COUNTIF(Q1,"Nisan")*(AI46)
+COUNTIF(Q1,"Mayıs")*(AI47)
+COUNTIF(Q1,"Haziran")*(AI48)
+COUNTIF(Q1,"Temmuz")*(AI49)
+COUNTIF(Q1,"Ağustos")*(AI50)
+COUNTIF(Q1,"Eylül")*(AI51)
+COUNTIF(Q1,"Ekim")*(AI52)
+COUNTIF(Q1,"Kasım")*(AI53)
+COUNTIF(Q1,"Aralık")*(AI54)
+COUNTIF(Q1,"Yıllık Toplam")*(AI55)
+COUNTIF(Q1,"Yıllık Ortalama")*(AI56)</f>
        <v>13037.748397245077</v>
      </c>
      <c r="AC9" s="17" t="s">
        <v>0</v>
      </c>
      <c r="AD9" s="16" t="s">
        <v>0</v>
      </c>
      <c r="AE9" s="17">
        <v>0</v>
      </c>
      <c r="AF9" s="17">
        <v>0</v>
      </c>
      <c r="AG9" s="17">
        <f t="shared" si="1"/>
        <v>0</v>
      </c>
      <c r="AH9" s="17">
        <f t="shared" ca="1" si="2"/>
        <v>0</v>
      </c>
      <c r="AI9" s="17">
        <f t="shared" si="3"/>
        <v>0</v>
      </c>
      <c r="AJ9" s="17">
        <f t="shared" ca="1" si="4"/>
        <v>0</v>
      </c>
      <c r="AK9" s="17">
        <f t="shared" si="5"/>
        <v>0</v>
      </c>
      <c r="AL9" s="17">
        <f t="shared" ca="1" si="6"/>
        <v>0</v>
      </c>
      <c r="AM9" s="17">
        <f t="shared" si="16"/>
        <v>0</v>
      </c>
      <c r="AN9" s="17">
        <f t="shared" ca="1" si="7"/>
        <v>0</v>
      </c>
      <c r="AO9" s="17">
        <f t="shared" si="8"/>
        <v>0</v>
      </c>
      <c r="AP9" s="17">
        <f t="shared" ca="1" si="9"/>
        <v>0</v>
      </c>
      <c r="AQ9" s="17">
        <f t="shared" si="10"/>
        <v>6240</v>
      </c>
      <c r="AR9" s="17">
        <f t="shared" ca="1" si="11"/>
        <v>5920.2000000000007</v>
      </c>
      <c r="AS9" s="17">
        <f t="shared" si="17"/>
        <v>6240</v>
      </c>
      <c r="AT9" s="18">
        <f t="shared" ca="1" si="12"/>
        <v>0</v>
      </c>
      <c r="AU9" s="18">
        <f t="shared" si="13"/>
        <v>0</v>
      </c>
      <c r="AV9" s="18">
        <f t="shared" ca="1" si="18"/>
        <v>0</v>
      </c>
      <c r="AW9" s="18">
        <f t="shared" si="14"/>
        <v>0</v>
      </c>
      <c r="AX9" s="17">
        <f>(0)</f>
        <v>0</v>
      </c>
      <c r="AY9" s="17">
        <f t="shared" si="15"/>
        <v>26005.5</v>
      </c>
      <c r="AZ9" s="17">
        <f t="shared" si="19"/>
        <v>-3640.7700000000004</v>
      </c>
      <c r="BA9" s="17">
        <f t="shared" si="20"/>
        <v>-260.05500000000001</v>
      </c>
      <c r="BB9" s="17" t="s">
        <v>0</v>
      </c>
      <c r="BC9" s="17" t="s">
        <v>0</v>
      </c>
      <c r="BD9" s="17" t="s">
        <v>0</v>
      </c>
      <c r="BE9" s="17" t="s">
        <v>0</v>
      </c>
      <c r="BF9" s="17">
        <f t="shared" si="21"/>
        <v>22104.674999999999</v>
      </c>
      <c r="BG9" s="17">
        <f>(0)</f>
        <v>0</v>
      </c>
      <c r="BH9" s="17">
        <f t="shared" si="26"/>
        <v>22104.674999999999</v>
      </c>
      <c r="BI9" s="17">
        <f>SUM(BH$2:$BH9)</f>
        <v>176837.39999999997</v>
      </c>
      <c r="BJ9" s="19">
        <f t="shared" si="22"/>
        <v>0.2</v>
      </c>
      <c r="BK9" s="22">
        <f t="shared" si="27"/>
        <v>1</v>
      </c>
      <c r="BL9" s="23">
        <f t="shared" si="23"/>
        <v>0.19260953847998205</v>
      </c>
      <c r="BM9" s="17">
        <f t="shared" si="30"/>
        <v>4257.57</v>
      </c>
      <c r="BN9" s="23">
        <f t="shared" si="28"/>
        <v>0.80869189229201521</v>
      </c>
      <c r="BO9" s="17">
        <f t="shared" si="24"/>
        <v>26005.5</v>
      </c>
      <c r="BP9" s="17">
        <f t="shared" si="25"/>
        <v>22104.674999999999</v>
      </c>
      <c r="BU9" s="16">
        <v>7</v>
      </c>
      <c r="BV9" s="24">
        <v>3.5</v>
      </c>
      <c r="BW9" s="25">
        <v>0.09</v>
      </c>
    </row>
    <row r="10" spans="1:75" ht="39.950000000000003" customHeight="1" x14ac:dyDescent="0.25">
      <c r="A10" s="80"/>
      <c r="B10" s="81">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C10" s="51"/>
      <c r="D10" s="51"/>
      <c r="E10" s="51"/>
      <c r="F10" s="52"/>
      <c r="G10" s="51"/>
      <c r="H10" s="51"/>
      <c r="I10" s="56"/>
      <c r="J10" s="57"/>
      <c r="K10" s="58"/>
      <c r="L10" s="51"/>
      <c r="M10" s="51"/>
      <c r="N10" s="77"/>
      <c r="O10" s="77"/>
      <c r="P10" s="74"/>
      <c r="Q10" s="68"/>
      <c r="R10" s="72"/>
      <c r="S10" s="79"/>
      <c r="T10" s="62"/>
      <c r="U10" s="64"/>
      <c r="V10" s="63"/>
      <c r="W10" s="49"/>
      <c r="X10" s="16" t="s">
        <v>7</v>
      </c>
      <c r="Y10" s="17">
        <f t="shared" ca="1" si="31"/>
        <v>3687.5572668804834</v>
      </c>
      <c r="Z10" s="17">
        <f ca="1">COUNTIF(Q1,"Ocak")*(AL43)
+COUNTIF(Q1,"Şubat")*(AL44)
+COUNTIF(Q1,"Mart")*(AL45)
+COUNTIF(Q1,"Nisan")*(AL46)
+COUNTIF(Q1,"Mayıs")*(AL47)
+COUNTIF(Q1,"Haziran")*(AL48)
+COUNTIF(Q1,"Temmuz")*(AL49)
+COUNTIF(Q1,"Ağustos")*(AL50)
+COUNTIF(Q1,"Eylül")*(AL51)
+COUNTIF(Q1,"Ekim")*(AL52)
+COUNTIF(Q1,"Kasım")*(AL53)
+COUNTIF(Q1,"Aralık")*(AL54)
+COUNTIF(Q1,"Yıllık Toplam")*(AL55)
+COUNTIF(Q1,"Yıllık Ortalama")*(AL56)</f>
        <v>3687.5572668804834</v>
      </c>
      <c r="AC10" s="17" t="s">
        <v>0</v>
      </c>
      <c r="AD10" s="16" t="s">
        <v>0</v>
      </c>
      <c r="AE10" s="17">
        <v>126</v>
      </c>
      <c r="AF10" s="17">
        <v>126</v>
      </c>
      <c r="AG10" s="17">
        <f t="shared" si="1"/>
        <v>0</v>
      </c>
      <c r="AH10" s="17">
        <f t="shared" ca="1" si="2"/>
        <v>0</v>
      </c>
      <c r="AI10" s="17">
        <f t="shared" si="3"/>
        <v>0</v>
      </c>
      <c r="AJ10" s="17">
        <f t="shared" ca="1" si="4"/>
        <v>0</v>
      </c>
      <c r="AK10" s="17">
        <f t="shared" si="5"/>
        <v>0</v>
      </c>
      <c r="AL10" s="17">
        <f t="shared" ca="1" si="6"/>
        <v>0</v>
      </c>
      <c r="AM10" s="17">
        <f t="shared" si="16"/>
        <v>0</v>
      </c>
      <c r="AN10" s="17">
        <f t="shared" ca="1" si="7"/>
        <v>0</v>
      </c>
      <c r="AO10" s="17">
        <f t="shared" si="8"/>
        <v>0</v>
      </c>
      <c r="AP10" s="17">
        <f t="shared" ca="1" si="9"/>
        <v>0</v>
      </c>
      <c r="AQ10" s="17">
        <f t="shared" si="10"/>
        <v>6240</v>
      </c>
      <c r="AR10" s="17">
        <f t="shared" ca="1" si="11"/>
        <v>5920.2000000000007</v>
      </c>
      <c r="AS10" s="17">
        <f t="shared" si="17"/>
        <v>6240</v>
      </c>
      <c r="AT10" s="18">
        <f t="shared" ca="1" si="12"/>
        <v>0</v>
      </c>
      <c r="AU10" s="18">
        <f t="shared" si="13"/>
        <v>0</v>
      </c>
      <c r="AV10" s="18">
        <f t="shared" ca="1" si="18"/>
        <v>0</v>
      </c>
      <c r="AW10" s="18">
        <f t="shared" si="14"/>
        <v>0</v>
      </c>
      <c r="AX10" s="17">
        <f>(0)</f>
        <v>0</v>
      </c>
      <c r="AY10" s="17">
        <f t="shared" si="15"/>
        <v>26005.5</v>
      </c>
      <c r="AZ10" s="17">
        <f t="shared" si="19"/>
        <v>-3640.7700000000004</v>
      </c>
      <c r="BA10" s="17">
        <f t="shared" si="20"/>
        <v>-260.05500000000001</v>
      </c>
      <c r="BB10" s="17" t="s">
        <v>0</v>
      </c>
      <c r="BC10" s="17" t="s">
        <v>0</v>
      </c>
      <c r="BD10" s="17" t="s">
        <v>0</v>
      </c>
      <c r="BE10" s="17" t="s">
        <v>0</v>
      </c>
      <c r="BF10" s="17">
        <f t="shared" si="21"/>
        <v>22104.674999999999</v>
      </c>
      <c r="BG10" s="17">
        <f>(0)</f>
        <v>0</v>
      </c>
      <c r="BH10" s="17">
        <f t="shared" si="26"/>
        <v>22104.674999999999</v>
      </c>
      <c r="BI10" s="17">
        <f>SUM(BH$2:$BH10)</f>
        <v>198942.07499999995</v>
      </c>
      <c r="BJ10" s="19">
        <f t="shared" si="22"/>
        <v>0.2</v>
      </c>
      <c r="BK10" s="22">
        <f t="shared" si="27"/>
        <v>0</v>
      </c>
      <c r="BL10" s="23">
        <f t="shared" si="23"/>
        <v>0.2</v>
      </c>
      <c r="BM10" s="17">
        <f t="shared" si="30"/>
        <v>4420.9399999999996</v>
      </c>
      <c r="BN10" s="23">
        <f t="shared" si="28"/>
        <v>0.80240999999999996</v>
      </c>
      <c r="BO10" s="17">
        <f t="shared" si="24"/>
        <v>26005.5</v>
      </c>
      <c r="BP10" s="17">
        <f t="shared" si="25"/>
        <v>22104.674999999999</v>
      </c>
      <c r="BU10" s="16">
        <v>8</v>
      </c>
      <c r="BV10" s="24">
        <v>4</v>
      </c>
      <c r="BW10" s="25">
        <v>0.1</v>
      </c>
    </row>
    <row r="11" spans="1:75" ht="39.950000000000003" customHeight="1" x14ac:dyDescent="0.25">
      <c r="A11" s="80"/>
      <c r="B11" s="81"/>
      <c r="C11" s="51"/>
      <c r="D11" s="51"/>
      <c r="E11" s="51"/>
      <c r="F11" s="52"/>
      <c r="G11" s="51"/>
      <c r="H11" s="51"/>
      <c r="I11" s="56"/>
      <c r="J11" s="57"/>
      <c r="K11" s="58"/>
      <c r="L11" s="51"/>
      <c r="M11" s="51"/>
      <c r="N11" s="77"/>
      <c r="O11" s="77"/>
      <c r="P11" s="74"/>
      <c r="Q11" s="68"/>
      <c r="R11" s="72"/>
      <c r="S11" s="79"/>
      <c r="T11" s="62"/>
      <c r="U11" s="64"/>
      <c r="V11" s="63"/>
      <c r="W11" s="49"/>
      <c r="X11" s="16" t="s">
        <v>45</v>
      </c>
      <c r="Y11" s="17">
        <f t="shared" ref="Y11:Y20" si="32">IF(Z11&gt;0,Z11,Z11*-1)</f>
        <v>208.33333333333334</v>
      </c>
      <c r="Z11" s="17">
        <f>COUNTIF(Q1,"Ocak")*(AV15)
+COUNTIF(Q1,"Şubat")*(AV16)
+COUNTIF(Q1,"Mart")*(AV17)
+COUNTIF(Q1,"Nisan")*(AV18)
+COUNTIF(Q1,"Mayıs")*(AV19)
+COUNTIF(Q1,"Haziran")*(AV20)
+COUNTIF(Q1,"Temmuz")*(AV21)
+COUNTIF(Q1,"Ağustos")*(AV22)
+COUNTIF(Q1,"Eylül")*(AV23)
+COUNTIF(Q1,"Ekim")*(AV24)
+COUNTIF(Q1,"Kasım")*(AV25)
+COUNTIF(Q1,"Aralık")*(AV26)
+COUNTIF(Q1,"Yıllık Toplam")*(AV27)
+COUNTIF(Q1,"Yıllık Ortalama")*(AV28)</f>
        <v>208.33333333333334</v>
      </c>
      <c r="AC11" s="17" t="s">
        <v>0</v>
      </c>
      <c r="AD11" s="16" t="s">
        <v>0</v>
      </c>
      <c r="AE11" s="17">
        <v>1000</v>
      </c>
      <c r="AF11" s="17">
        <v>1000</v>
      </c>
      <c r="AG11" s="17">
        <f t="shared" si="1"/>
        <v>0</v>
      </c>
      <c r="AH11" s="17">
        <f t="shared" ca="1" si="2"/>
        <v>0</v>
      </c>
      <c r="AI11" s="17">
        <f t="shared" si="3"/>
        <v>0</v>
      </c>
      <c r="AJ11" s="17">
        <f t="shared" ca="1" si="4"/>
        <v>0</v>
      </c>
      <c r="AK11" s="17">
        <f t="shared" si="5"/>
        <v>0</v>
      </c>
      <c r="AL11" s="17">
        <f t="shared" ca="1" si="6"/>
        <v>0</v>
      </c>
      <c r="AM11" s="17">
        <f t="shared" si="16"/>
        <v>0</v>
      </c>
      <c r="AN11" s="17">
        <f t="shared" ca="1" si="7"/>
        <v>0</v>
      </c>
      <c r="AO11" s="17">
        <f t="shared" si="8"/>
        <v>0</v>
      </c>
      <c r="AP11" s="17">
        <f t="shared" ca="1" si="9"/>
        <v>0</v>
      </c>
      <c r="AQ11" s="17">
        <f t="shared" si="10"/>
        <v>6240</v>
      </c>
      <c r="AR11" s="17">
        <f t="shared" ca="1" si="11"/>
        <v>5920.2000000000007</v>
      </c>
      <c r="AS11" s="17">
        <f t="shared" si="17"/>
        <v>6240</v>
      </c>
      <c r="AT11" s="18">
        <f t="shared" ca="1" si="12"/>
        <v>0</v>
      </c>
      <c r="AU11" s="18">
        <f t="shared" si="13"/>
        <v>0</v>
      </c>
      <c r="AV11" s="18">
        <f t="shared" ca="1" si="18"/>
        <v>0</v>
      </c>
      <c r="AW11" s="18">
        <f t="shared" si="14"/>
        <v>0</v>
      </c>
      <c r="AX11" s="17">
        <f>(0)</f>
        <v>0</v>
      </c>
      <c r="AY11" s="17">
        <f t="shared" si="15"/>
        <v>26005.5</v>
      </c>
      <c r="AZ11" s="17">
        <f t="shared" si="19"/>
        <v>-3640.7700000000004</v>
      </c>
      <c r="BA11" s="17">
        <f t="shared" si="20"/>
        <v>-260.05500000000001</v>
      </c>
      <c r="BB11" s="17" t="s">
        <v>0</v>
      </c>
      <c r="BC11" s="17" t="s">
        <v>0</v>
      </c>
      <c r="BD11" s="17" t="s">
        <v>0</v>
      </c>
      <c r="BE11" s="17" t="s">
        <v>0</v>
      </c>
      <c r="BF11" s="17">
        <f t="shared" si="21"/>
        <v>22104.674999999999</v>
      </c>
      <c r="BG11" s="17">
        <f>(0)</f>
        <v>0</v>
      </c>
      <c r="BH11" s="17">
        <f t="shared" si="26"/>
        <v>22104.674999999999</v>
      </c>
      <c r="BI11" s="17">
        <f>SUM(BH$2:$BH11)</f>
        <v>221046.74999999994</v>
      </c>
      <c r="BJ11" s="19">
        <f t="shared" si="22"/>
        <v>0.2</v>
      </c>
      <c r="BK11" s="22">
        <f t="shared" si="27"/>
        <v>0</v>
      </c>
      <c r="BL11" s="23">
        <f t="shared" si="23"/>
        <v>0.2</v>
      </c>
      <c r="BM11" s="17">
        <f t="shared" si="30"/>
        <v>4420.9399999999996</v>
      </c>
      <c r="BN11" s="23">
        <f t="shared" si="28"/>
        <v>0.80240999999999996</v>
      </c>
      <c r="BO11" s="17">
        <f t="shared" si="24"/>
        <v>26005.5</v>
      </c>
      <c r="BP11" s="17">
        <f t="shared" si="25"/>
        <v>22104.674999999999</v>
      </c>
      <c r="BU11" s="16">
        <v>9</v>
      </c>
      <c r="BV11" s="24">
        <v>4.5</v>
      </c>
      <c r="BW11" s="25">
        <v>0.11</v>
      </c>
    </row>
    <row r="12" spans="1:75" ht="39.950000000000003" customHeight="1" x14ac:dyDescent="0.25">
      <c r="A12" s="80"/>
      <c r="B12" s="81"/>
      <c r="C12" s="51"/>
      <c r="D12" s="51"/>
      <c r="E12" s="51"/>
      <c r="F12" s="52"/>
      <c r="G12" s="51"/>
      <c r="H12" s="51"/>
      <c r="I12" s="56"/>
      <c r="J12" s="57"/>
      <c r="K12" s="58"/>
      <c r="L12" s="51"/>
      <c r="M12" s="51"/>
      <c r="N12" s="77"/>
      <c r="O12" s="77"/>
      <c r="P12" s="74"/>
      <c r="Q12" s="68"/>
      <c r="R12" s="72"/>
      <c r="S12" s="79"/>
      <c r="T12" s="62"/>
      <c r="U12" s="64"/>
      <c r="V12" s="63"/>
      <c r="W12" s="49"/>
      <c r="X12" s="16" t="s">
        <v>46</v>
      </c>
      <c r="Y12" s="17">
        <f t="shared" si="32"/>
        <v>1803.4799999999998</v>
      </c>
      <c r="Z12" s="17">
        <f>COUNTIF(Q1,"Ocak")*(AX15)*-1
+COUNTIF(Q1,"Şubat")*(AX16)*-1
+COUNTIF(Q1,"Mart")*(AX17)*-1
+COUNTIF(Q1,"Nisan")*(AX18)*-1
+COUNTIF(Q1,"Mayıs")*(AX19)*-1
+COUNTIF(Q1,"Haziran")*(AX20)*-1
+COUNTIF(Q1,"Temmuz")*(AX21)*-1
+COUNTIF(Q1,"Ağustos")*(AX22)*-1
+COUNTIF(Q1,"Eylül")*(AX23)*-1
+COUNTIF(Q1,"Ekim")*(AX24)*-1
+COUNTIF(Q1,"Kasım")*(AX25)*-1
+COUNTIF(Q1,"Aralık")*(AX26)*-1
+COUNTIF(Q1,"Yıllık Toplam")*(AX27)*-1
+COUNTIF(Q1,"Yıllık Ortalama")*(AX28)*-1</f>
        <v>1803.4799999999998</v>
      </c>
      <c r="AC12" s="17" t="s">
        <v>0</v>
      </c>
      <c r="AD12" s="16" t="s">
        <v>0</v>
      </c>
      <c r="AE12" s="17">
        <v>1000</v>
      </c>
      <c r="AF12" s="17">
        <v>1000</v>
      </c>
      <c r="AG12" s="17">
        <f t="shared" si="1"/>
        <v>0</v>
      </c>
      <c r="AH12" s="17">
        <f t="shared" ca="1" si="2"/>
        <v>0</v>
      </c>
      <c r="AI12" s="17">
        <f t="shared" si="3"/>
        <v>0</v>
      </c>
      <c r="AJ12" s="17">
        <f t="shared" ca="1" si="4"/>
        <v>0</v>
      </c>
      <c r="AK12" s="17">
        <f t="shared" si="5"/>
        <v>0</v>
      </c>
      <c r="AL12" s="17">
        <f t="shared" ca="1" si="6"/>
        <v>0</v>
      </c>
      <c r="AM12" s="17">
        <f t="shared" si="16"/>
        <v>0</v>
      </c>
      <c r="AN12" s="17">
        <f t="shared" ca="1" si="7"/>
        <v>0</v>
      </c>
      <c r="AO12" s="17">
        <f t="shared" si="8"/>
        <v>0</v>
      </c>
      <c r="AP12" s="17">
        <f t="shared" ca="1" si="9"/>
        <v>0</v>
      </c>
      <c r="AQ12" s="17">
        <f t="shared" si="10"/>
        <v>6240</v>
      </c>
      <c r="AR12" s="17">
        <f t="shared" ca="1" si="11"/>
        <v>5920.2000000000007</v>
      </c>
      <c r="AS12" s="17">
        <f t="shared" si="17"/>
        <v>6240</v>
      </c>
      <c r="AT12" s="18">
        <f t="shared" ca="1" si="12"/>
        <v>0</v>
      </c>
      <c r="AU12" s="18">
        <f t="shared" si="13"/>
        <v>0</v>
      </c>
      <c r="AV12" s="18">
        <f t="shared" ca="1" si="18"/>
        <v>0</v>
      </c>
      <c r="AW12" s="18">
        <f t="shared" si="14"/>
        <v>0</v>
      </c>
      <c r="AX12" s="17">
        <f>(0)</f>
        <v>0</v>
      </c>
      <c r="AY12" s="17">
        <f t="shared" si="15"/>
        <v>26005.5</v>
      </c>
      <c r="AZ12" s="17">
        <f t="shared" si="19"/>
        <v>-3640.7700000000004</v>
      </c>
      <c r="BA12" s="17">
        <f t="shared" si="20"/>
        <v>-260.05500000000001</v>
      </c>
      <c r="BB12" s="17" t="s">
        <v>0</v>
      </c>
      <c r="BC12" s="17" t="s">
        <v>0</v>
      </c>
      <c r="BD12" s="17" t="s">
        <v>0</v>
      </c>
      <c r="BE12" s="17" t="s">
        <v>0</v>
      </c>
      <c r="BF12" s="17">
        <f t="shared" si="21"/>
        <v>22104.674999999999</v>
      </c>
      <c r="BG12" s="17">
        <f>(0)</f>
        <v>0</v>
      </c>
      <c r="BH12" s="17">
        <f t="shared" si="26"/>
        <v>22104.674999999999</v>
      </c>
      <c r="BI12" s="17">
        <f>SUM(BH$2:$BH12)</f>
        <v>243151.42499999993</v>
      </c>
      <c r="BJ12" s="19">
        <f t="shared" si="22"/>
        <v>0.2</v>
      </c>
      <c r="BK12" s="22">
        <f t="shared" si="27"/>
        <v>0</v>
      </c>
      <c r="BL12" s="23">
        <f t="shared" si="23"/>
        <v>0.2</v>
      </c>
      <c r="BM12" s="17">
        <f t="shared" si="30"/>
        <v>4420.9399999999996</v>
      </c>
      <c r="BN12" s="23">
        <f t="shared" si="28"/>
        <v>0.80240999999999996</v>
      </c>
      <c r="BO12" s="17">
        <f t="shared" si="24"/>
        <v>26005.5</v>
      </c>
      <c r="BP12" s="17">
        <f t="shared" si="25"/>
        <v>22104.674999999999</v>
      </c>
      <c r="BU12" s="16">
        <v>10</v>
      </c>
      <c r="BV12" s="24">
        <v>5</v>
      </c>
      <c r="BW12" s="25">
        <v>0.12</v>
      </c>
    </row>
    <row r="13" spans="1:75" ht="39.950000000000003" customHeight="1" x14ac:dyDescent="0.25">
      <c r="A13" s="80"/>
      <c r="B13" s="81"/>
      <c r="C13" s="51"/>
      <c r="D13" s="51"/>
      <c r="E13" s="51"/>
      <c r="F13" s="52"/>
      <c r="G13" s="51"/>
      <c r="H13" s="51"/>
      <c r="I13" s="56"/>
      <c r="J13" s="57"/>
      <c r="K13" s="58"/>
      <c r="L13" s="51"/>
      <c r="M13" s="51"/>
      <c r="N13" s="77"/>
      <c r="O13" s="77"/>
      <c r="P13" s="74"/>
      <c r="Q13" s="68"/>
      <c r="R13" s="72"/>
      <c r="S13" s="79"/>
      <c r="T13" s="62"/>
      <c r="U13" s="64"/>
      <c r="V13" s="63"/>
      <c r="W13" s="49"/>
      <c r="X13" s="16" t="s">
        <v>31</v>
      </c>
      <c r="Y13" s="17">
        <f t="shared" ca="1" si="32"/>
        <v>0</v>
      </c>
      <c r="Z13" s="17">
        <f ca="1">COUNTIF(Q1,"Ocak")*(AV1)*-1
+COUNTIF(Q1,"Şubat")*(AV2)*-1
+COUNTIF(Q1,"Mart")*(AV3)*-1
+COUNTIF(Q1,"Nisan")*(AV4)*-1
+COUNTIF(Q1,"Mayıs")*(AV5)*-1
+COUNTIF(Q1,"Haziran")*(AV6)*-1
+COUNTIF(Q1,"Temmuz")*(AV7)*-1
+COUNTIF(Q1,"Ağustos")*(AV8)*-1
+COUNTIF(Q1,"Eylül")*(AV9)*-1
+COUNTIF(Q1,"Ekim")*(AV10)*-1
+COUNTIF(Q1,"Kasım")*(AV11)*-1
+COUNTIF(Q1,"Aralık")*(AV12)*-1
+COUNTIF(Q1,"Yıllık Toplam")*(AV13)*-1
+COUNTIF(Q1,"Yıllık Ortalama")*(AV14)*-1</f>
        <v>0</v>
      </c>
      <c r="AC13" s="20">
        <f>(23.65%)</f>
        <v>0.23649999999999999</v>
      </c>
      <c r="AD13" s="16" t="s">
        <v>0</v>
      </c>
      <c r="AE13" s="17">
        <v>158</v>
      </c>
      <c r="AF13" s="17">
        <v>158</v>
      </c>
      <c r="AG13" s="17">
        <f t="shared" ref="AG13:AH13" si="33">(AG1+AG2+AG3+AG4+AG5+AG6+AG7+AG8+AG9+AG10+AG11+AG12)</f>
        <v>0</v>
      </c>
      <c r="AH13" s="17">
        <f t="shared" ca="1" si="33"/>
        <v>0</v>
      </c>
      <c r="AI13" s="17">
        <f t="shared" ref="AI13:AJ13" si="34">(AI1+AI2+AI3+AI4+AI5+AI6+AI7+AI8+AI9+AI10+AI11+AI12)</f>
        <v>0</v>
      </c>
      <c r="AJ13" s="17">
        <f t="shared" ca="1" si="34"/>
        <v>0</v>
      </c>
      <c r="AK13" s="17">
        <f t="shared" ref="AK13:AL13" si="35">(AK1+AK2+AK3+AK4+AK5+AK6+AK7+AK8+AK9+AK10+AK11+AK12)</f>
        <v>0</v>
      </c>
      <c r="AL13" s="17">
        <f t="shared" ca="1" si="35"/>
        <v>0</v>
      </c>
      <c r="AM13" s="17">
        <f t="shared" ref="AM13:AN13" si="36">(AM1+AM2+AM3+AM4+AM5+AM6+AM7+AM8+AM9+AM10+AM11+AM12)</f>
        <v>0</v>
      </c>
      <c r="AN13" s="17">
        <f t="shared" ca="1" si="36"/>
        <v>0</v>
      </c>
      <c r="AO13" s="17">
        <f t="shared" ref="AO13:AP13" si="37">(AO1+AO2+AO3+AO4+AO5+AO6+AO7+AO8+AO9+AO10+AO11+AO12)</f>
        <v>0</v>
      </c>
      <c r="AP13" s="17">
        <f t="shared" ca="1" si="37"/>
        <v>0</v>
      </c>
      <c r="AQ13" s="17">
        <f>(AQ1+AQ2+AQ3+AQ4+AQ5+AQ6+AQ7+AQ8+AQ9+AQ10+AQ11+AQ12)</f>
        <v>74880</v>
      </c>
      <c r="AR13" s="17">
        <f ca="1">(AR1+AR2+AR3+AR4+AR5+AR6+AR7+AR8+AR9+AR10+AR11+AR12)</f>
        <v>71042.399999999994</v>
      </c>
      <c r="AS13" s="17">
        <f>(AS1+AS2+AS3+AS4+AS5+AS6+AS7+AS8+AS9+AS10+AS11+AS12)</f>
        <v>74880</v>
      </c>
      <c r="AT13" s="17">
        <f t="shared" ref="AT13:AV13" ca="1" si="38">(AT1+AT2+AT3+AT4+AT5+AT6+AT7+AT8+AT9+AT10+AT11+AT12)</f>
        <v>0</v>
      </c>
      <c r="AU13" s="17">
        <f t="shared" si="38"/>
        <v>0</v>
      </c>
      <c r="AV13" s="17">
        <f t="shared" ca="1" si="38"/>
        <v>0</v>
      </c>
      <c r="AW13" s="17">
        <f t="shared" ref="AW13" si="39">(AW1+AW2+AW3+AW4+AW5+AW6+AW7+AW8+AW9+AW10+AW11+AW12)</f>
        <v>0</v>
      </c>
      <c r="AX13" s="17">
        <f t="shared" ref="AX13" si="40">(AX1+AX2+AX3+AX4+AX5+AX6+AX7+AX8+AX9+AX10+AX11+AX12)</f>
        <v>0</v>
      </c>
      <c r="AY13" s="17">
        <f t="shared" ref="AY13" si="41">(AY1+AY2+AY3+AY4+AY5+AY6+AY7+AY8+AY9+AY10+AY11+AY12)</f>
        <v>312066</v>
      </c>
      <c r="AZ13" s="17">
        <f t="shared" si="19"/>
        <v>-3640.7700000000004</v>
      </c>
      <c r="BA13" s="17">
        <f t="shared" si="20"/>
        <v>-260.05500000000001</v>
      </c>
      <c r="BB13" s="17" t="s">
        <v>0</v>
      </c>
      <c r="BC13" s="17" t="s">
        <v>0</v>
      </c>
      <c r="BD13" s="17" t="s">
        <v>0</v>
      </c>
      <c r="BE13" s="17" t="s">
        <v>0</v>
      </c>
      <c r="BF13" s="17">
        <f t="shared" si="21"/>
        <v>22104.674999999999</v>
      </c>
      <c r="BG13" s="17">
        <f>(0)</f>
        <v>0</v>
      </c>
      <c r="BH13" s="17">
        <f t="shared" si="26"/>
        <v>22104.674999999999</v>
      </c>
      <c r="BI13" s="17">
        <f>SUM(BH$2:$BH13)</f>
        <v>265256.09999999992</v>
      </c>
      <c r="BJ13" s="19">
        <f t="shared" si="22"/>
        <v>0.2</v>
      </c>
      <c r="BK13" s="22">
        <f t="shared" si="27"/>
        <v>0</v>
      </c>
      <c r="BL13" s="23">
        <f t="shared" si="23"/>
        <v>0.2</v>
      </c>
      <c r="BM13" s="17">
        <f t="shared" si="30"/>
        <v>4420.9399999999996</v>
      </c>
      <c r="BN13" s="23">
        <f t="shared" si="28"/>
        <v>0.80240999999999996</v>
      </c>
      <c r="BO13" s="17">
        <f t="shared" si="24"/>
        <v>26005.5</v>
      </c>
      <c r="BP13" s="17">
        <f t="shared" si="25"/>
        <v>22104.674999999999</v>
      </c>
      <c r="BU13" s="16">
        <v>11</v>
      </c>
      <c r="BV13" s="24">
        <v>5.5</v>
      </c>
      <c r="BW13" s="25">
        <v>0.13</v>
      </c>
    </row>
    <row r="14" spans="1:75" ht="39.950000000000003" customHeight="1" x14ac:dyDescent="0.25">
      <c r="A14" s="80"/>
      <c r="B14" s="4"/>
      <c r="C14" s="51"/>
      <c r="D14" s="51"/>
      <c r="E14" s="51"/>
      <c r="F14" s="52"/>
      <c r="G14" s="51"/>
      <c r="H14" s="51"/>
      <c r="I14" s="59"/>
      <c r="J14" s="60"/>
      <c r="K14" s="61"/>
      <c r="L14" s="51"/>
      <c r="M14" s="51"/>
      <c r="N14" s="78"/>
      <c r="O14" s="78"/>
      <c r="P14" s="75"/>
      <c r="Q14" s="68"/>
      <c r="R14" s="72"/>
      <c r="S14" s="79"/>
      <c r="T14" s="62"/>
      <c r="U14" s="64"/>
      <c r="V14" s="63"/>
      <c r="W14" s="49"/>
      <c r="X14" s="16" t="s">
        <v>32</v>
      </c>
      <c r="Y14" s="17">
        <f t="shared" ca="1" si="32"/>
        <v>491.69585017121739</v>
      </c>
      <c r="Z14" s="17">
        <f ca="1">COUNTIF(Q1,"Ocak")*(BC17)*-1
+COUNTIF(Q1,"Şubat")*(BC18)*-1
+COUNTIF(Q1,"Mart")*(BC19)*-1
+COUNTIF(Q1,"Nisan")*(BC20)*-1
+COUNTIF(Q1,"Mayıs")*(BC21)*-1
+COUNTIF(Q1,"Haziran")*(BC22)*-1
+COUNTIF(Q1,"Temmuz")*(BC23)*-1
+COUNTIF(Q1,"Ağustos")*(BC24)*-1
+COUNTIF(Q1,"Eylül")*(BC25)*-1
+COUNTIF(Q1,"Ekim")*(BC26)*-1
+COUNTIF(Q1,"Kasım")*(BC27)*-1
+COUNTIF(Q1,"Aralık")*(BC28)*-1
+COUNTIF(Q1,"Yıllık Toplam")*(BC29)*-1
+COUNTIF(Q1,"Yıllık Ortalama")*(BC30)*-1</f>
        <v>491.69585017121739</v>
      </c>
      <c r="AC14" s="17" t="s">
        <v>0</v>
      </c>
      <c r="AD14" s="16" t="s">
        <v>0</v>
      </c>
      <c r="AE14" s="17">
        <v>240</v>
      </c>
      <c r="AF14" s="17">
        <v>240</v>
      </c>
      <c r="AG14" s="17">
        <f t="shared" ref="AG14:AH14" si="42">(AG13/12)</f>
        <v>0</v>
      </c>
      <c r="AH14" s="17">
        <f t="shared" ca="1" si="42"/>
        <v>0</v>
      </c>
      <c r="AI14" s="17">
        <f t="shared" ref="AI14:AJ14" si="43">(AI13/12)</f>
        <v>0</v>
      </c>
      <c r="AJ14" s="17">
        <f t="shared" ca="1" si="43"/>
        <v>0</v>
      </c>
      <c r="AK14" s="17">
        <f t="shared" ref="AK14:AL14" si="44">(AK13/12)</f>
        <v>0</v>
      </c>
      <c r="AL14" s="17">
        <f t="shared" ca="1" si="44"/>
        <v>0</v>
      </c>
      <c r="AM14" s="17">
        <f t="shared" ref="AM14:AN14" si="45">(AM13/12)</f>
        <v>0</v>
      </c>
      <c r="AN14" s="17">
        <f t="shared" ca="1" si="45"/>
        <v>0</v>
      </c>
      <c r="AO14" s="17">
        <f t="shared" ref="AO14:AP14" si="46">(AO13/12)</f>
        <v>0</v>
      </c>
      <c r="AP14" s="17">
        <f t="shared" ca="1" si="46"/>
        <v>0</v>
      </c>
      <c r="AQ14" s="17">
        <f>(AQ13/12)</f>
        <v>6240</v>
      </c>
      <c r="AR14" s="17">
        <f ca="1">(AR13/12)</f>
        <v>5920.2</v>
      </c>
      <c r="AS14" s="17">
        <f>(AS13/12)</f>
        <v>6240</v>
      </c>
      <c r="AT14" s="17">
        <f t="shared" ref="AT14:AV14" ca="1" si="47">(AT13/12)</f>
        <v>0</v>
      </c>
      <c r="AU14" s="17">
        <f t="shared" si="47"/>
        <v>0</v>
      </c>
      <c r="AV14" s="17">
        <f t="shared" ca="1" si="47"/>
        <v>0</v>
      </c>
      <c r="AW14" s="17">
        <f t="shared" ref="AW14" si="48">(AW13/12)</f>
        <v>0</v>
      </c>
      <c r="AX14" s="17">
        <f t="shared" ref="AX14" si="49">(AX13/12)</f>
        <v>0</v>
      </c>
      <c r="AY14" s="17">
        <f t="shared" ref="AY14" si="50">(AY13/12)</f>
        <v>26005.5</v>
      </c>
      <c r="AZ14" s="17">
        <f t="shared" ref="AZ14" si="51">(AZ2+AZ3+AZ4+AZ5+AZ6+AZ7+AZ8+AZ9+AZ10+AZ11+AZ12+AZ13)</f>
        <v>-43689.240000000005</v>
      </c>
      <c r="BA14" s="17">
        <f t="shared" ref="BA14" si="52">(BA2+BA3+BA4+BA5+BA6+BA7+BA8+BA9+BA10+BA11+BA12+BA13)</f>
        <v>-3120.6599999999994</v>
      </c>
      <c r="BB14" s="27" t="s">
        <v>0</v>
      </c>
      <c r="BC14" s="27" t="s">
        <v>0</v>
      </c>
      <c r="BD14" s="27" t="s">
        <v>0</v>
      </c>
      <c r="BE14" s="27" t="s">
        <v>0</v>
      </c>
      <c r="BF14" s="17">
        <f t="shared" ref="BF14" si="53">(BF2+BF3+BF4+BF5+BF6+BF7+BF8+BF9+BF10+BF11+BF12+BF13)</f>
        <v>265256.09999999992</v>
      </c>
      <c r="BG14" s="17">
        <f t="shared" ref="BG14" si="54">(BG2+BG3+BG4+BG5+BG6+BG7+BG8+BG9+BG10+BG11+BG12+BG13)</f>
        <v>0</v>
      </c>
      <c r="BH14" s="17">
        <f t="shared" ref="BH14" si="55">(BH2+BH3+BH4+BH5+BH6+BH7+BH8+BH9+BH10+BH11+BH12+BH13)</f>
        <v>265256.09999999992</v>
      </c>
      <c r="BI14" s="27" t="s">
        <v>0</v>
      </c>
      <c r="BJ14" s="16" t="s">
        <v>0</v>
      </c>
      <c r="BK14" s="16" t="s">
        <v>0</v>
      </c>
      <c r="BL14" s="16" t="s">
        <v>0</v>
      </c>
      <c r="BM14" s="17">
        <f t="shared" ref="BM14" si="56">(BM2+BM3+BM4+BM5+BM6+BM7+BM8+BM9+BM10+BM11+BM12+BM13)</f>
        <v>45151.23</v>
      </c>
      <c r="BN14" s="16" t="s">
        <v>0</v>
      </c>
      <c r="BO14" s="17">
        <f t="shared" ref="BO14" si="57">(BO2+BO3+BO4+BO5+BO6+BO7+BO8+BO9+BO10+BO11+BO12+BO13)</f>
        <v>312066</v>
      </c>
      <c r="BP14" s="17">
        <f t="shared" ref="BP14" si="58">(BP2+BP3+BP4+BP5+BP6+BP7+BP8+BP9+BP10+BP11+BP12+BP13)</f>
        <v>265256.09999999992</v>
      </c>
      <c r="BU14" s="16">
        <v>12</v>
      </c>
      <c r="BV14" s="24">
        <v>6</v>
      </c>
      <c r="BW14" s="25">
        <v>0.14000000000000001</v>
      </c>
    </row>
    <row r="15" spans="1:75" ht="39.950000000000003" customHeight="1" x14ac:dyDescent="0.25">
      <c r="A15" s="6">
        <f t="shared" ref="A15:A26" ca="1" si="59">(BO17)</f>
        <v>0.15</v>
      </c>
      <c r="B15" s="7" t="s">
        <v>10</v>
      </c>
      <c r="C15" s="41">
        <v>0</v>
      </c>
      <c r="D15" s="42">
        <v>0</v>
      </c>
      <c r="E15" s="42">
        <v>0</v>
      </c>
      <c r="F15" s="42">
        <v>0</v>
      </c>
      <c r="G15" s="42">
        <v>0</v>
      </c>
      <c r="H15" s="41">
        <v>26</v>
      </c>
      <c r="I15" s="43" t="s">
        <v>1</v>
      </c>
      <c r="J15" s="43" t="s">
        <v>1</v>
      </c>
      <c r="K15" s="43" t="s">
        <v>1</v>
      </c>
      <c r="L15" s="44">
        <v>0</v>
      </c>
      <c r="M15" s="44" t="s">
        <v>1</v>
      </c>
      <c r="N15" s="8">
        <f t="shared" ref="N15:N26" ca="1" si="60">(AZ17+AX15+AT1+BC17+BG17+BH17+BQ17-O15)</f>
        <v>46341.08320841266</v>
      </c>
      <c r="O15" s="8">
        <f t="shared" ref="O15:O26" ca="1" si="61">(AJ1+AL1+AN1+AP1+AR1+AU1)</f>
        <v>5920.2000000000007</v>
      </c>
      <c r="P15" s="9">
        <f ca="1">(N15+O15)</f>
        <v>52261.283208412657</v>
      </c>
      <c r="Q15" s="68"/>
      <c r="R15" s="72"/>
      <c r="S15" s="79"/>
      <c r="T15" s="62"/>
      <c r="U15" s="64"/>
      <c r="V15" s="63"/>
      <c r="W15" s="49"/>
      <c r="X15" s="16" t="s">
        <v>4</v>
      </c>
      <c r="Y15" s="17">
        <f t="shared" ca="1" si="32"/>
        <v>13008.738672459871</v>
      </c>
      <c r="Z15" s="17">
        <f ca="1">COUNTIF(Q1,"Ocak")*(BG17)*-1
+COUNTIF(Q1,"Şubat")*(BG18)*-1
+COUNTIF(Q1,"Mart")*(BG19)*-1
+COUNTIF(Q1,"Nisan")*(BG20)*-1
+COUNTIF(Q1,"Mayıs")*(BG21)*-1
+COUNTIF(Q1,"Haziran")*(BG22)*-1
+COUNTIF(Q1,"Temmuz")*(BG23)*-1
+COUNTIF(Q1,"Ağustos")*(BG24)*-1
+COUNTIF(Q1,"Eylül")*(BG25)*-1
+COUNTIF(Q1,"Ekim")*(BG26)*-1
+COUNTIF(Q1,"Kasım")*(BG27)*-1
+COUNTIF(Q1,"Aralık")*(BG28)*-1
+COUNTIF(Q1,"Yıllık Toplam")*(BG29)*-1
+COUNTIF(Q1,"Yıllık Ortalama")*(BG30)*-1</f>
        <v>13008.738672459871</v>
      </c>
      <c r="AG15" s="28">
        <v>45658</v>
      </c>
      <c r="AH15" s="29">
        <f t="shared" ref="AH15:AH26" si="62">EOMONTH(AG15,0)</f>
        <v>45688</v>
      </c>
      <c r="AI15" s="30">
        <f>COUNTIF($A$1,"Amir")*(DAY(AH15))
+COUNTIF($A$1,"Gişe")*(DAY(AH15))
+COUNTIF($A$1,"Çıma")*(DAY(AH15))
+COUNTIF($A$1,"Satış Görevlisi")*(DAY(AH15))
+COUNTIF($A$1,"Ofis Personeli (Engelli)")*(30)
+COUNTIF($A$1,"Ustabaşı")*(DAY(AH15))
+COUNTIF($A$1,"İtfaiye Amiri")*(DAY(AH15))
+COUNTIF($A$1,"Usta")*(DAY(AH15))
+COUNTIF($A$1,"Vinç Operatörü")*(DAY(AH15))
+COUNTIF($A$1,"Forklift Operatörü")*(DAY(AH15))
+COUNTIF($A$1,"İtfaiyeci")*(DAY(AH15))
+COUNTIF($A$1,"Usta Yardımcısı")*(DAY(AH15))
+COUNTIF($A$1,"Gemi Havuzlama Personeli")*(DAY(AH15))
+COUNTIF($A$1,"Yakıt Yağ ve Atık Personeli")*(DAY(AH15))
+COUNTIF($A$1,"Tersane Saha Personeli")*(DAY(AH15))</f>
        <v>31</v>
      </c>
      <c r="AJ15" s="30">
        <f>NETWORKDAYS.INTL(AG15,AH15,11)</f>
        <v>27</v>
      </c>
      <c r="AK15" s="30">
        <f>(AI15-AJ15)</f>
        <v>4</v>
      </c>
      <c r="AL15" s="17">
        <f t="shared" ref="AL15:AL20" si="63">COUNTIF($A$1,"Amir")*($Y$21)
+COUNTIF($A$1,"Gişe")*($Y$22)
+COUNTIF($A$1,"Çıma")*($Y$23)
+COUNTIF($A$1,"Satış Görevlisi")*($Y$24)
+COUNTIF($A$1,"Ustabaşı")*($Y$25)
+COUNTIF($A$1,"İtfaiye Amiri")*($Y$26)
+COUNTIF($A$1,"Usta")*($Y$27)
+COUNTIF($A$1,"Vinç Operatörü")*($Y$28)
+COUNTIF($A$1,"Forklift Operatörü")*($Y$29)
+COUNTIF($A$1,"İtfaiyeci")*($Y$30)
+COUNTIF($A$1,"Usta Yardımcısı")*($Y$31)
+COUNTIF($A$1,"Gemi Havuzlama Personeli")*($Y$32)
+COUNTIF($A$1,"Yakıt Yağ ve Atık Personeli")*($Y$33)
+COUNTIF($A$1,"Tersane Saha Personeli")*($Y$34)</f>
        <v>1750</v>
      </c>
      <c r="AM15" s="17">
        <f t="shared" ref="AM15:AM26" ca="1" si="64">(AL15*BT17)</f>
        <v>1251.0925</v>
      </c>
      <c r="AN15" s="17">
        <f t="shared" ref="AN15:AN20" si="65">COUNTIF($A$1,"Amir")*($Y$21)
+COUNTIF($A$1,"Gişe")*($Y$22)
+COUNTIF($A$1,"Çıma")*($Y$23)
+COUNTIF($A$1,"Satış Görevlisi")*($Y$24)
+COUNTIF($A$1,"Ustabaşı")*($Y$25)
+COUNTIF($A$1,"İtfaiye Amiri")*($Y$26)
+COUNTIF($A$1,"Usta")*($Y$27)
+COUNTIF($A$1,"Vinç Operatörü")*($Y$28)
+COUNTIF($A$1,"Forklift Operatörü")*($Y$29)
+COUNTIF($A$1,"İtfaiyeci")*($Y$30)
+COUNTIF($A$1,"Usta Yardımcısı")*($Y$31)
+COUNTIF($A$1,"Gemi Havuzlama Personeli")*($Y$32)
+COUNTIF($A$1,"Yakıt Yağ ve Atık Personeli")*($Y$33)
+COUNTIF($A$1,"Tersane Saha Personeli")*($Y$34)</f>
        <v>1750</v>
      </c>
      <c r="AO15" s="17">
        <f t="shared" ref="AO15:AO26" ca="1" si="66">(AN15*BT17+AX29/30+BM2/30)</f>
        <v>1368.1952248333332</v>
      </c>
      <c r="AP15" s="31">
        <f t="shared" ref="AP15:AP26" si="67">(AL15*AI15)</f>
        <v>54250</v>
      </c>
      <c r="AQ15" s="17">
        <f t="shared" ref="AQ15:AQ26" ca="1" si="68">(AP15*BT17)</f>
        <v>38783.8675</v>
      </c>
      <c r="AR15" s="17">
        <f t="shared" ref="AR15:AR26" si="69">(AS1)</f>
        <v>6240</v>
      </c>
      <c r="AS15" s="17">
        <f t="shared" ref="AS15:AS26" si="70">IF(AS1-AR15&lt;=0,0,AS1-AR15)</f>
        <v>0</v>
      </c>
      <c r="AT15" s="18">
        <f t="shared" ref="AT15:AT26" ca="1" si="71">COUNTIF(I15,"Yok")*(0)
+COUNTIF(I15,"Askerlik Yardımı")*($AF$40/BT17)
+COUNTIF(I15,"Cenaze Yardımı (Anne-Baba)")*($AF$41+$AF$41*0.00759)
+COUNTIF(I15,"Cenaze Yardımı (Eş-Çocuk)")*($AF$42+$AF$42*0.00759)
+COUNTIF(I15,"Cenaze Yardımı (İşçi-İş Kazası Sonucu)")*($AF$43+$AF$43*0.00759)
+COUNTIF(I15,"Cenaze Yardımı (İşçi-Tabii Sebepler Sonucu)")*($AF$44+$AF$44*0.00759)
+COUNTIF(I15,"Doğal Afet Yardımı")*($AF$45+$AF$45*0.00759)
+COUNTIF(I15,"Eğitim Yardımı (Çocuk-İlköğretim)")*($AF$46/BT17)
+COUNTIF(I15,"Eğitim Yardımı (Çocuk-Ortaöğretim)")*($AF$47/BT17)
+COUNTIF(I15,"Eğitim Yardımı (Çocuk-Lise)")*($AF$48/BT17)
+COUNTIF(I15,"Eğitim Yardımı (Çocuk-Yükseköğretim)")*($AF$49/BT17)
+COUNTIF(I15,"Eğitim Yardımı (İşçi-Lise)")*($AF$50/BT17)
+COUNTIF(I15,"Eğitim Yardımı (İşçi-Yükseköğretim)")*($AF$51/BT17)
+COUNTIF(I15,"Evlilik Yardımı")*($AF$52+$AF$52*0.00759)
+COUNTIF(I15,"Gıda Yardımı")*($AF$53/BT17)
+COUNTIF(I15,"İş Kazası veya Meslek Hastalığı Tazminatı")*($AF$54+$AF$54*0.00759)
+COUNTIF(J15,"Yok")*(0)
+COUNTIF(J15,"Askerlik Yardımı")*($AF$40/BT17)
+COUNTIF(J15,"Cenaze Yardımı (Anne-Baba)")*($AF$41+$AF$41*0.00759)
+COUNTIF(J15,"Cenaze Yardımı (Eş-Çocuk)")*($AF$42+$AF$42*0.00759)
+COUNTIF(J15,"Cenaze Yardımı (İşçi-İş Kazası Sonucu)")*($AF$43+$AF$43*0.00759)
+COUNTIF(J15,"Cenaze Yardımı (İşçi-Tabii Sebepler Sonucu)")*($AF$44+$AF$44*0.00759)
+COUNTIF(J15,"Doğal Afet Yardımı")*($AF$45+$AF$45*0.00759)
+COUNTIF(J15,"Eğitim Yardımı (Çocuk-İlköğretim)")*($AF$46/BT17)
+COUNTIF(J15,"Eğitim Yardımı (Çocuk-Ortaöğretim)")*($AF$47/BT17)
+COUNTIF(J15,"Eğitim Yardımı (Çocuk-Lise)")*($AF$48/BT17)
+COUNTIF(J15,"Eğitim Yardımı (Çocuk-Yükseköğretim)")*($AF$49/BT17)
+COUNTIF(J15,"Eğitim Yardımı (İşçi-Lise)")*($AF$50/BT17)
+COUNTIF(J15,"Eğitim Yardımı (İşçi-Yükseköğretim)")*($AF$51/BT17)
+COUNTIF(J15,"Evlilik Yardımı")*($AF$52+$AF$52*0.00759)
+COUNTIF(J15,"Gıda Yardımı")*($AF$53/BT17)
+COUNTIF(J15,"İş Kazası veya Meslek Hastalığı Tazminatı")*($AF$54+$AF$54*0.00759)
+COUNTIF(K15,"Yok")*(0)
+COUNTIF(K15,"Askerlik Yardımı")*($AF$40/BT17)
+COUNTIF(K15,"Cenaze Yardımı (Anne-Baba)")*($AF$41+$AF$41*0.00759)
+COUNTIF(K15,"Cenaze Yardımı (Eş-Çocuk)")*($AF$42+$AF$42*0.00759)
+COUNTIF(K15,"Cenaze Yardımı (İşçi-İş Kazası Sonucu)")*($AF$43+$AF$43*0.00759)
+COUNTIF(K15,"Cenaze Yardımı (İşçi-Tabii Sebepler Sonucu)")*($AF$44+$AF$44*0.00759)
+COUNTIF(K15,"Doğal Afet Yardımı")*($AF$45+$AF$45*0.00759)
+COUNTIF(K15,"Eğitim Yardımı (Çocuk-İlköğretim)")*($AF$46/BT17)
+COUNTIF(K15,"Eğitim Yardımı (Çocuk-Ortaöğretim)")*($AF$47/BT17)
+COUNTIF(K15,"Eğitim Yardımı (Çocuk-Lise)")*($AF$48/BT17)
+COUNTIF(K15,"Eğitim Yardımı (Çocuk-Yükseköğretim)")*($AF$49/BT17)
+COUNTIF(K15,"Eğitim Yardımı (İşçi-Lise)")*($AF$50/BT17)
+COUNTIF(K15,"Eğitim Yardımı (İşçi-Yükseköğretim)")*($AF$51/BT17)
+COUNTIF(K15,"Evlilik Yardımı")*($AF$52+$AF$52*0.00759)
+COUNTIF(K15,"Gıda Yardımı")*($AF$53/BT17)
+COUNTIF(K15,"İş Kazası veya Meslek Hastalığı Tazminatı")*($AF$54+$AF$54*0.00759)</f>
        <v>0</v>
      </c>
      <c r="AU15" s="18">
        <f t="shared" ref="AU15:AU26" si="72">COUNTIF(I15,"Yok")*(0)
+COUNTIF(I15,"Askerlik Yardımı")*(0)
+COUNTIF(I15,"Cenaze Yardımı (Anne-Baba)")*($AF$41+$AF$41*0.00759)
+COUNTIF(I15,"Cenaze Yardımı (Eş-Çocuk)")*($AF$42+$AF$42*0.00759)
+COUNTIF(I15,"Cenaze Yardımı (İşçi-İş Kazası Sonucu)")*($AF$43+$AF$43*0.00759)
+COUNTIF(I15,"Cenaze Yardımı (İşçi-Tabii Sebepler Sonucu)")*($AF$44+$AF$44*0.00759)
+COUNTIF(I15,"Doğal Afet Yardımı")*($AF$45+$AF$45*0.00759)
+COUNTIF(I15,"Eğitim Yardımı (Çocuk-İlköğretim)")*(0)
+COUNTIF(I15,"Eğitim Yardımı (Çocuk-Ortaöğretim)")*(0)
+COUNTIF(I15,"Eğitim Yardımı (Çocuk-Lise)")*(0)
+COUNTIF(I15,"Eğitim Yardımı (Çocuk-Yükseköğretim)")*(0)
+COUNTIF(I15,"Eğitim Yardımı (İşçi-Lise)")*(0)
+COUNTIF(I15,"Eğitim Yardımı (İşçi-Yükseköğretim)")*(0)
+COUNTIF(I15,"Evlilik Yardımı")*($AF$52+$AF$52*0.00759)
+COUNTIF(I15,"Gıda Yardımı")*(0)
+COUNTIF(I15,"İş Kazası veya Meslek Hastalığı Tazminatı")*($AF$54+$AF$54*0.00759)
+COUNTIF(J15,"Yok")*(0)
+COUNTIF(J15,"Askerlik Yardımı")*(0)
+COUNTIF(J15,"Cenaze Yardımı (Anne-Baba)")*($AF$41+$AF$41*0.00759)
+COUNTIF(J15,"Cenaze Yardımı (Eş-Çocuk)")*($AF$42+$AF$42*0.00759)
+COUNTIF(J15,"Cenaze Yardımı (İşçi-İş Kazası Sonucu)")*($AF$43+$AF$43*0.00759)
+COUNTIF(J15,"Cenaze Yardımı (İşçi-Tabii Sebepler Sonucu)")*($AF$44+$AF$44*0.00759)
+COUNTIF(J15,"Doğal Afet Yardımı")*($AF$45+$AF$45*0.00759)
+COUNTIF(J15,"Eğitim Yardımı (Çocuk-İlköğretim)")*(0)
+COUNTIF(J15,"Eğitim Yardımı (Çocuk-Ortaöğretim)")*(0)
+COUNTIF(J15,"Eğitim Yardımı (Çocuk-Lise)")*(0)
+COUNTIF(J15,"Eğitim Yardımı (Çocuk-Yükseköğretim)")*(0)
+COUNTIF(J15,"Eğitim Yardımı (İşçi-Lise)")*(0)
+COUNTIF(J15,"Eğitim Yardımı (İşçi-Yükseköğretim)")*(0)
+COUNTIF(J15,"Evlilik Yardımı")*($AF$52+$AF$52*0.00759)
+COUNTIF(J15,"Gıda Yardımı")*(0)
+COUNTIF(J15,"İş Kazası veya Meslek Hastalığı Tazminatı")*($AF$54+$AF$54*0.00759)
+COUNTIF(K15,"Yok")*(0)
+COUNTIF(K15,"Askerlik Yardımı")*(0)
+COUNTIF(K15,"Cenaze Yardımı (Anne-Baba)")*($AF$41+$AF$41*0.00759)
+COUNTIF(K15,"Cenaze Yardımı (Eş-Çocuk)")*($AF$42+$AF$42*0.00759)
+COUNTIF(K15,"Cenaze Yardımı (İşçi-İş Kazası Sonucu)")*($AF$43+$AF$43*0.00759)
+COUNTIF(K15,"Cenaze Yardımı (İşçi-Tabii Sebepler Sonucu)")*($AF$44+$AF$44*0.00759)
+COUNTIF(K15,"Doğal Afet Yardımı")*($AF$45+$AF$45*0.00759)
+COUNTIF(K15,"Eğitim Yardımı (Çocuk-İlköğretim)")*(0)
+COUNTIF(K15,"Eğitim Yardımı (Çocuk-Ortaöğretim)")*(0)
+COUNTIF(K15,"Eğitim Yardımı (Çocuk-Lise)")*(0)
+COUNTIF(K15,"Eğitim Yardımı (Çocuk-Yükseköğretim)")*(0)
+COUNTIF(K15,"Eğitim Yardımı (İşçi-Lise)")*(0)
+COUNTIF(K15,"Eğitim Yardımı (İşçi-Yükseköğretim)")*(0)
+COUNTIF(K15,"Evlilik Yardımı")*($AF$52+$AF$52*0.00759)
+COUNTIF(K15,"Gıda Yardımı")*(0)
+COUNTIF(K15,"İş Kazası veya Meslek Hastalığı Tazminatı")*($AF$54+$AF$54*0.00759)</f>
        <v>0</v>
      </c>
      <c r="AV15" s="18">
        <f t="shared" ref="AV15:AV26" si="73">COUNTIF(I15,"Yok")*(0)
+COUNTIF(I15,"Askerlik Yardımı")*($AF$40)
+COUNTIF(I15,"Cenaze Yardımı (Anne-Baba)")*($AF$41)
+COUNTIF(I15,"Cenaze Yardımı (Eş-Çocuk)")*($AF$42)
+COUNTIF(I15,"Cenaze Yardımı (İşçi-İş Kazası Sonucu)")*($AF$43)
+COUNTIF(I15,"Cenaze Yardımı (İşçi-Tabii Sebepler Sonucu)")*($AF$44)
+COUNTIF(I15,"Doğal Afet Yardımı")*($AF$45)
+COUNTIF(I15,"Eğitim Yardımı (Çocuk-İlköğretim)")*($AF$46)
+COUNTIF(I15,"Eğitim Yardımı (Çocuk-Ortaöğretim)")*($AF$47)
+COUNTIF(I15,"Eğitim Yardımı (Çocuk-Lise)")*($AF$48)
+COUNTIF(I15,"Eğitim Yardımı (Çocuk-Yükseköğretim)")*($AF$49)
+COUNTIF(I15,"Eğitim Yardımı (İşçi-Lise)")*($AF$50)
+COUNTIF(I15,"Eğitim Yardımı (İşçi-Yükseköğretim)")*($AF$51)
+COUNTIF(I15,"Evlilik Yardımı")*($AF$52)
+COUNTIF(I15,"Gıda Yardımı")*($AF$53)
+COUNTIF(I15,"İş Kazası veya Meslek Hastalığı Tazminatı")*($AF$54)
+COUNTIF(J15,"Yok")*(0)
+COUNTIF(J15,"Askerlik Yardımı")*($AF$40)
+COUNTIF(J15,"Cenaze Yardımı (Anne-Baba)")*($AF$41)
+COUNTIF(J15,"Cenaze Yardımı (Eş-Çocuk)")*($AF$42)
+COUNTIF(J15,"Cenaze Yardımı (İşçi-İş Kazası Sonucu)")*($AF$43)
+COUNTIF(J15,"Cenaze Yardımı (İşçi-Tabii Sebepler Sonucu)")*($AF$44)
+COUNTIF(J15,"Doğal Afet Yardımı")*($AF$45)
+COUNTIF(J15,"Eğitim Yardımı (Çocuk-İlköğretim)")*($AF$46)
+COUNTIF(J15,"Eğitim Yardımı (Çocuk-Ortaöğretim)")*($AF$47)
+COUNTIF(J15,"Eğitim Yardımı (Çocuk-Lise)")*($AF$48)
+COUNTIF(J15,"Eğitim Yardımı (Çocuk-Yükseköğretim)")*($AF$49)
+COUNTIF(J15,"Eğitim Yardımı (İşçi-Lise)")*($AF$50)
+COUNTIF(J15,"Eğitim Yardımı (İşçi-Yükseköğretim)")*($AF$51)
+COUNTIF(J15,"Evlilik Yardımı")*($AF$52)
+COUNTIF(J15,"Gıda Yardımı")*($AF$53)
+COUNTIF(J15,"İş Kazası veya Meslek Hastalığı Tazminatı")*($AF$54)
+COUNTIF(K15,"Yok")*(0)
+COUNTIF(K15,"Askerlik Yardımı")*($AF$40)
+COUNTIF(K15,"Cenaze Yardımı (Anne-Baba)")*($AF$41)
+COUNTIF(K15,"Cenaze Yardımı (Eş-Çocuk)")*($AF$42)
+COUNTIF(K15,"Cenaze Yardımı (İşçi-İş Kazası Sonucu)")*($AF$43)
+COUNTIF(K15,"Cenaze Yardımı (İşçi-Tabii Sebepler Sonucu)")*($AF$44)
+COUNTIF(K15,"Doğal Afet Yardımı")*($AF$45)
+COUNTIF(K15,"Eğitim Yardımı (Çocuk-İlköğretim)")*($AF$46)
+COUNTIF(K15,"Eğitim Yardımı (Çocuk-Ortaöğretim)")*($AF$47)
+COUNTIF(K15,"Eğitim Yardımı (Çocuk-Lise)")*($AF$48)
+COUNTIF(K15,"Eğitim Yardımı (Çocuk-Yükseköğretim)")*($AF$49)
+COUNTIF(K15,"Eğitim Yardımı (İşçi-Lise)")*($AF$50)
+COUNTIF(K15,"Eğitim Yardımı (İşçi-Yükseköğretim)")*($AF$51)
+COUNTIF(K15,"Evlilik Yardımı")*($AF$52)
+COUNTIF(K15,"Gıda Yardımı")*($AF$53)
+COUNTIF(K15,"İş Kazası veya Meslek Hastalığı Tazminatı")*($AF$54)</f>
        <v>0</v>
      </c>
      <c r="AW15" s="22" t="s">
        <v>9</v>
      </c>
      <c r="AX15" s="17">
        <f t="shared" ref="AX15:AX26" si="74">(AL15*0.9*-1)</f>
        <v>-1575</v>
      </c>
      <c r="AY15" s="17">
        <f>(AX15*-1)</f>
        <v>1575</v>
      </c>
      <c r="AZ15" s="17">
        <f t="shared" ref="AZ15" si="75">(AZ14/12)</f>
        <v>-3640.7700000000004</v>
      </c>
      <c r="BA15" s="17">
        <f t="shared" ref="BA15" si="76">(BA14/12)</f>
        <v>-260.05499999999995</v>
      </c>
      <c r="BB15" s="27" t="s">
        <v>0</v>
      </c>
      <c r="BC15" s="27" t="s">
        <v>0</v>
      </c>
      <c r="BD15" s="27" t="s">
        <v>0</v>
      </c>
      <c r="BE15" s="27" t="s">
        <v>0</v>
      </c>
      <c r="BF15" s="17">
        <f t="shared" ref="BF15" si="77">(BF14/12)</f>
        <v>22104.674999999992</v>
      </c>
      <c r="BG15" s="17">
        <f t="shared" ref="BG15" si="78">(BG14/12)</f>
        <v>0</v>
      </c>
      <c r="BH15" s="17">
        <f t="shared" ref="BH15" si="79">(BH14/12)</f>
        <v>22104.674999999992</v>
      </c>
      <c r="BI15" s="27" t="s">
        <v>0</v>
      </c>
      <c r="BJ15" s="27" t="s">
        <v>0</v>
      </c>
      <c r="BK15" s="27" t="s">
        <v>0</v>
      </c>
      <c r="BL15" s="27" t="s">
        <v>0</v>
      </c>
      <c r="BM15" s="17">
        <f t="shared" ref="BM15" si="80">(BM14/12)</f>
        <v>3762.6025000000004</v>
      </c>
      <c r="BN15" s="27" t="s">
        <v>0</v>
      </c>
      <c r="BO15" s="17">
        <f t="shared" ref="BO15" si="81">(BO14/12)</f>
        <v>26005.5</v>
      </c>
      <c r="BP15" s="17">
        <f t="shared" ref="BP15" si="82">(BP14/12)</f>
        <v>22104.674999999992</v>
      </c>
      <c r="BU15" s="16">
        <v>13</v>
      </c>
      <c r="BV15" s="24">
        <v>6.5</v>
      </c>
      <c r="BW15" s="25">
        <v>0.15</v>
      </c>
    </row>
    <row r="16" spans="1:75" ht="39.950000000000003" customHeight="1" x14ac:dyDescent="0.25">
      <c r="A16" s="6">
        <f t="shared" ca="1" si="59"/>
        <v>0.15</v>
      </c>
      <c r="B16" s="7" t="s">
        <v>11</v>
      </c>
      <c r="C16" s="41">
        <v>0</v>
      </c>
      <c r="D16" s="42">
        <v>0</v>
      </c>
      <c r="E16" s="42">
        <v>0</v>
      </c>
      <c r="F16" s="42">
        <v>0</v>
      </c>
      <c r="G16" s="42">
        <v>0</v>
      </c>
      <c r="H16" s="41">
        <v>26</v>
      </c>
      <c r="I16" s="43" t="s">
        <v>1</v>
      </c>
      <c r="J16" s="43" t="s">
        <v>1</v>
      </c>
      <c r="K16" s="43" t="s">
        <v>1</v>
      </c>
      <c r="L16" s="44">
        <v>0</v>
      </c>
      <c r="M16" s="44" t="s">
        <v>1</v>
      </c>
      <c r="N16" s="8">
        <f t="shared" ca="1" si="60"/>
        <v>42899.471294733536</v>
      </c>
      <c r="O16" s="8">
        <f t="shared" ca="1" si="61"/>
        <v>5920.2000000000007</v>
      </c>
      <c r="P16" s="9">
        <f t="shared" ref="P16:P26" ca="1" si="83">(N16+O16)</f>
        <v>48819.671294733533</v>
      </c>
      <c r="Q16" s="68"/>
      <c r="R16" s="72"/>
      <c r="S16" s="79"/>
      <c r="T16" s="62"/>
      <c r="U16" s="64"/>
      <c r="V16" s="63"/>
      <c r="W16" s="49"/>
      <c r="X16" s="16" t="s">
        <v>5</v>
      </c>
      <c r="Y16" s="17">
        <f t="shared" ca="1" si="32"/>
        <v>929.19561946141937</v>
      </c>
      <c r="Z16" s="17">
        <f ca="1">COUNTIF(Q1,"Ocak")*(BH17)*-1
+COUNTIF(Q1,"Şubat")*(BH18)*-1
+COUNTIF(Q1,"Mart")*(BH19)*-1
+COUNTIF(Q1,"Nisan")*(BH20)*-1
+COUNTIF(Q1,"Mayıs")*(BH21)*-1
+COUNTIF(Q1,"Haziran")*(BH22)*-1
+COUNTIF(Q1,"Temmuz")*(BH23)*-1
+COUNTIF(Q1,"Ağustos")*(BH24)*-1
+COUNTIF(Q1,"Eylül")*(BH25)*-1
+COUNTIF(Q1,"Ekim")*(BH26)*-1
+COUNTIF(Q1,"Kasım")*(BH27)*-1
+COUNTIF(Q1,"Aralık")*(BH28)*-1
+COUNTIF(Q1,"Yıllık Toplam")*(BH29)*-1
+COUNTIF(Q1,"Yıllık Ortalama")*(BH30)*-1</f>
        <v>929.19561946141937</v>
      </c>
      <c r="AC16" s="32">
        <f>(2273)</f>
        <v>2273</v>
      </c>
      <c r="AD16" s="16" t="s">
        <v>0</v>
      </c>
      <c r="AE16" s="17">
        <f>($AC$29*$AC$16)</f>
        <v>2301.539788</v>
      </c>
      <c r="AF16" s="17">
        <f>($AD$29*$AC$16)</f>
        <v>2301.539788</v>
      </c>
      <c r="AG16" s="29">
        <f>(AH15+1)</f>
        <v>45689</v>
      </c>
      <c r="AH16" s="29">
        <f t="shared" si="62"/>
        <v>45716</v>
      </c>
      <c r="AI16" s="30">
        <f t="shared" ref="AI16:AI26" si="84">COUNTIF($A$1,"Amir")*(DAY(AH16))
+COUNTIF($A$1,"Gişe")*(DAY(AH16))
+COUNTIF($A$1,"Çıma")*(DAY(AH16))
+COUNTIF($A$1,"Satış Görevlisi")*(DAY(AH16))
+COUNTIF($A$1,"Ofis Personeli (Engelli)")*(30)
+COUNTIF($A$1,"Ustabaşı")*(DAY(AH16))
+COUNTIF($A$1,"İtfaiye Amiri")*(DAY(AH16))
+COUNTIF($A$1,"Usta")*(DAY(AH16))
+COUNTIF($A$1,"Vinç Operatörü")*(DAY(AH16))
+COUNTIF($A$1,"Forklift Operatörü")*(DAY(AH16))
+COUNTIF($A$1,"İtfaiyeci")*(DAY(AH16))
+COUNTIF($A$1,"Usta Yardımcısı")*(DAY(AH16))
+COUNTIF($A$1,"Gemi Havuzlama Personeli")*(DAY(AH16))
+COUNTIF($A$1,"Yakıt Yağ ve Atık Personeli")*(DAY(AH16))
+COUNTIF($A$1,"Tersane Saha Personeli")*(DAY(AH16))</f>
        <v>28</v>
      </c>
      <c r="AJ16" s="30">
        <f t="shared" ref="AJ16:AJ26" si="85">NETWORKDAYS.INTL(AG16,AH16,11)</f>
        <v>24</v>
      </c>
      <c r="AK16" s="30">
        <f t="shared" ref="AK16:AK26" si="86">(AI16-AJ16)</f>
        <v>4</v>
      </c>
      <c r="AL16" s="17">
        <f t="shared" si="63"/>
        <v>1750</v>
      </c>
      <c r="AM16" s="17">
        <f t="shared" ca="1" si="64"/>
        <v>1251.0925</v>
      </c>
      <c r="AN16" s="17">
        <f t="shared" si="65"/>
        <v>1750</v>
      </c>
      <c r="AO16" s="17">
        <f t="shared" ca="1" si="66"/>
        <v>1368.1952248333332</v>
      </c>
      <c r="AP16" s="31">
        <f t="shared" si="67"/>
        <v>49000</v>
      </c>
      <c r="AQ16" s="17">
        <f t="shared" ca="1" si="68"/>
        <v>35030.590000000004</v>
      </c>
      <c r="AR16" s="17">
        <f t="shared" si="69"/>
        <v>6240</v>
      </c>
      <c r="AS16" s="17">
        <f t="shared" si="70"/>
        <v>0</v>
      </c>
      <c r="AT16" s="18">
        <f t="shared" ca="1" si="71"/>
        <v>0</v>
      </c>
      <c r="AU16" s="18">
        <f t="shared" si="72"/>
        <v>0</v>
      </c>
      <c r="AV16" s="18">
        <f t="shared" si="73"/>
        <v>0</v>
      </c>
      <c r="AW16" s="22" t="s">
        <v>9</v>
      </c>
      <c r="AX16" s="17">
        <f t="shared" si="74"/>
        <v>-1575</v>
      </c>
      <c r="AY16" s="17">
        <f t="shared" ref="AY16:AY26" si="87">(AX16*-1)</f>
        <v>1575</v>
      </c>
      <c r="BL16" s="17">
        <f>(0)</f>
        <v>0</v>
      </c>
      <c r="BM16" s="19">
        <f>(0%)</f>
        <v>0</v>
      </c>
      <c r="BU16" s="16">
        <v>14</v>
      </c>
      <c r="BV16" s="24">
        <v>7</v>
      </c>
      <c r="BW16" s="25">
        <v>0.16</v>
      </c>
    </row>
    <row r="17" spans="1:75" ht="39.950000000000003" customHeight="1" x14ac:dyDescent="0.25">
      <c r="A17" s="6">
        <f t="shared" ca="1" si="59"/>
        <v>0.16959866592200443</v>
      </c>
      <c r="B17" s="7" t="s">
        <v>12</v>
      </c>
      <c r="C17" s="41">
        <v>0</v>
      </c>
      <c r="D17" s="42">
        <v>0</v>
      </c>
      <c r="E17" s="42">
        <v>0</v>
      </c>
      <c r="F17" s="42">
        <v>0</v>
      </c>
      <c r="G17" s="42">
        <v>0</v>
      </c>
      <c r="H17" s="41">
        <v>26</v>
      </c>
      <c r="I17" s="43" t="s">
        <v>47</v>
      </c>
      <c r="J17" s="43" t="s">
        <v>1</v>
      </c>
      <c r="K17" s="43" t="s">
        <v>1</v>
      </c>
      <c r="L17" s="44">
        <v>0</v>
      </c>
      <c r="M17" s="44" t="s">
        <v>1</v>
      </c>
      <c r="N17" s="8">
        <f t="shared" ca="1" si="60"/>
        <v>84854.76079453509</v>
      </c>
      <c r="O17" s="8">
        <f t="shared" ca="1" si="61"/>
        <v>5920.2000000000007</v>
      </c>
      <c r="P17" s="9">
        <f t="shared" ca="1" si="83"/>
        <v>90774.960794535087</v>
      </c>
      <c r="Q17" s="68"/>
      <c r="R17" s="72"/>
      <c r="S17" s="79"/>
      <c r="T17" s="62"/>
      <c r="U17" s="64"/>
      <c r="V17" s="63"/>
      <c r="W17" s="49"/>
      <c r="X17" s="16" t="s">
        <v>33</v>
      </c>
      <c r="Y17" s="17">
        <f t="shared" ca="1" si="32"/>
        <v>14002.870000000003</v>
      </c>
      <c r="Z17" s="17">
        <f ca="1">COUNTIF(Q1,"Ocak")*(BQ17)*-1
+COUNTIF(Q1,"Şubat")*(BQ18)*-1
+COUNTIF(Q1,"Mart")*(BQ19)*-1
+COUNTIF(Q1,"Nisan")*(BQ20)*-1
+COUNTIF(Q1,"Mayıs")*(BQ21)*-1
+COUNTIF(Q1,"Haziran")*(BQ22)*-1
+COUNTIF(Q1,"Temmuz")*(BQ23)*-1
+COUNTIF(Q1,"Ağustos")*(BQ24)*-1
+COUNTIF(Q1,"Eylül")*(BQ25)*-1
+COUNTIF(Q1,"Ekim")*(BQ26)*-1
+COUNTIF(Q1,"Kasım")*(BQ27)*-1
+COUNTIF(Q1,"Aralık")*(BQ28)*-1
+COUNTIF(Q1,"Yıllık Toplam")*(BQ29)*-1
+COUNTIF(Q1,"Yıllık Ortalama")*(BQ30)*-1</f>
        <v>14002.870000000003</v>
      </c>
      <c r="AC17" s="32">
        <f>(250)</f>
        <v>250</v>
      </c>
      <c r="AD17" s="16" t="s">
        <v>0</v>
      </c>
      <c r="AE17" s="17">
        <f>($AC$29*$AC$17*2)</f>
        <v>506.27800000000002</v>
      </c>
      <c r="AF17" s="17">
        <f>($AD$29*$AC$17*2)</f>
        <v>506.27800000000002</v>
      </c>
      <c r="AG17" s="29">
        <f t="shared" ref="AG17:AG26" si="88">(AH16+1)</f>
        <v>45717</v>
      </c>
      <c r="AH17" s="29">
        <f t="shared" si="62"/>
        <v>45747</v>
      </c>
      <c r="AI17" s="30">
        <f t="shared" si="84"/>
        <v>31</v>
      </c>
      <c r="AJ17" s="30">
        <f t="shared" si="85"/>
        <v>26</v>
      </c>
      <c r="AK17" s="30">
        <f t="shared" si="86"/>
        <v>5</v>
      </c>
      <c r="AL17" s="17">
        <f t="shared" si="63"/>
        <v>1750</v>
      </c>
      <c r="AM17" s="17">
        <f t="shared" ca="1" si="64"/>
        <v>1221.9394844410185</v>
      </c>
      <c r="AN17" s="17">
        <f t="shared" si="65"/>
        <v>1750</v>
      </c>
      <c r="AO17" s="17">
        <f t="shared" ca="1" si="66"/>
        <v>1339.0422092743518</v>
      </c>
      <c r="AP17" s="31">
        <f t="shared" si="67"/>
        <v>54250</v>
      </c>
      <c r="AQ17" s="17">
        <f t="shared" ca="1" si="68"/>
        <v>37880.124017671573</v>
      </c>
      <c r="AR17" s="17">
        <f t="shared" si="69"/>
        <v>6240</v>
      </c>
      <c r="AS17" s="17">
        <f t="shared" si="70"/>
        <v>0</v>
      </c>
      <c r="AT17" s="18">
        <f t="shared" ca="1" si="71"/>
        <v>3580.373705659706</v>
      </c>
      <c r="AU17" s="18">
        <f t="shared" si="72"/>
        <v>0</v>
      </c>
      <c r="AV17" s="18">
        <f t="shared" si="73"/>
        <v>2500</v>
      </c>
      <c r="AW17" s="22" t="s">
        <v>9</v>
      </c>
      <c r="AX17" s="17">
        <f t="shared" si="74"/>
        <v>-1575</v>
      </c>
      <c r="AY17" s="17">
        <f t="shared" si="87"/>
        <v>1575</v>
      </c>
      <c r="AZ17" s="17">
        <f t="shared" ref="AZ17:AZ28" ca="1" si="89">(AP15+AG1+AI1+AK1+AM1+AO1+AQ1+AR29+AH43+AK43+AT15)</f>
        <v>68019.455922190682</v>
      </c>
      <c r="BA17" s="17">
        <f t="shared" ref="BA17:BA28" si="90">(AU29+AR15)</f>
        <v>32245.5</v>
      </c>
      <c r="BB17" s="17">
        <f ca="1">(AZ17-BA17)</f>
        <v>35773.955922190682</v>
      </c>
      <c r="BC17" s="17">
        <f t="shared" ref="BC17:BC28" ca="1" si="91">(BB17*0.00759*-1)</f>
        <v>-271.52432544942729</v>
      </c>
      <c r="BD17" s="17">
        <f t="shared" ref="BD17:BD28" ca="1" si="92">(AZ17)</f>
        <v>68019.455922190682</v>
      </c>
      <c r="BE17" s="17">
        <f t="shared" ref="BE17:BE28" si="93">(AI29+AU15)</f>
        <v>4108</v>
      </c>
      <c r="BF17" s="17">
        <f t="shared" ref="BF17:BF28" ca="1" si="94">IF(BD17-BE17&gt;=AT29*7.5,AT29*7.5,BD17-BE17)</f>
        <v>63911.455922190682</v>
      </c>
      <c r="BG17" s="17">
        <f ca="1">(BF17*0.14*-1)</f>
        <v>-8947.6038291066961</v>
      </c>
      <c r="BH17" s="17">
        <f ca="1">(BF17*0.01*-1)</f>
        <v>-639.1145592219068</v>
      </c>
      <c r="BI17" s="17">
        <f t="shared" ref="BI17:BI28" ca="1" si="95">(AZ17+BG17+BH17)</f>
        <v>58432.737533862084</v>
      </c>
      <c r="BJ17" s="17">
        <f t="shared" ref="BJ17:BJ28" si="96">(AN29+AU15+AY15+AW1)</f>
        <v>7495.2000000000007</v>
      </c>
      <c r="BK17" s="17">
        <f ca="1">(BI17-BJ17)</f>
        <v>50937.53753386208</v>
      </c>
      <c r="BL17" s="17">
        <f ca="1">SUM($BK$17:BK17)</f>
        <v>50937.53753386208</v>
      </c>
      <c r="BM17" s="19">
        <f t="shared" ref="BM17:BM28" ca="1" si="97">IF(BL17&lt;=$BD$2,$BB$2,
IF(BL17&gt;$BD$4,
IF(BL17&gt;$BD$5,$BB$6,$BB$5),
IF(BL17&lt;$BD$3,$BB$3,$BB$4)))</f>
        <v>0.15</v>
      </c>
      <c r="BN17" s="22">
        <f ca="1">IF(BM17-BM16=0,0,1)</f>
        <v>1</v>
      </c>
      <c r="BO17" s="23">
        <f t="shared" ref="BO17:BO28" ca="1" si="98">(IF(BN17=0,BM17,(VLOOKUP($BM17,$BB$2:$BE$6,2,0)-BL16)/BK17*BM16+(BL17-VLOOKUP($BM17,$BB$2:$BE$6,2,0))/BK17*BM17))</f>
        <v>0.15</v>
      </c>
      <c r="BP17" s="17">
        <f ca="1">(ROUND(BK17*BO17,2)*(-1)+VLOOKUP(BM17,$BB$2:$BE$6,4,0)*(-1))</f>
        <v>-7640.63</v>
      </c>
      <c r="BQ17" s="17">
        <f t="shared" ref="BQ17:BQ28" ca="1" si="99">(BP17+BM2)</f>
        <v>-4324.93</v>
      </c>
      <c r="BR17" s="23">
        <f t="shared" ref="BR17:BR28" ca="1" si="100">(100+(100*0.00759*-1)+(100)*BO17*-1)/100</f>
        <v>0.84240999999999999</v>
      </c>
      <c r="BS17" s="23">
        <f>(100+(100*0.00759*-1)+(100*0.14*-1)+(100*0.01*-1))/100</f>
        <v>0.84240999999999999</v>
      </c>
      <c r="BT17" s="23">
        <f t="shared" ref="BT17:BT28" ca="1" si="101">(100+(100*0.00759*-1)+(100*0.14*-1)+(100*0.01*-1)+(100+100*0.14*-1+100*0.01*-1)*BO17*-1)/100</f>
        <v>0.71491000000000005</v>
      </c>
      <c r="BU17" s="16">
        <v>15</v>
      </c>
      <c r="BV17" s="24">
        <v>7.5</v>
      </c>
      <c r="BW17" s="25">
        <v>0.17</v>
      </c>
    </row>
    <row r="18" spans="1:75" ht="39.950000000000003" customHeight="1" x14ac:dyDescent="0.25">
      <c r="A18" s="6">
        <f t="shared" ca="1" si="59"/>
        <v>0.2</v>
      </c>
      <c r="B18" s="7" t="s">
        <v>13</v>
      </c>
      <c r="C18" s="41">
        <v>0</v>
      </c>
      <c r="D18" s="42">
        <v>0</v>
      </c>
      <c r="E18" s="42">
        <v>0</v>
      </c>
      <c r="F18" s="42">
        <v>0</v>
      </c>
      <c r="G18" s="42">
        <v>0</v>
      </c>
      <c r="H18" s="41">
        <v>26</v>
      </c>
      <c r="I18" s="43" t="s">
        <v>1</v>
      </c>
      <c r="J18" s="43" t="s">
        <v>1</v>
      </c>
      <c r="K18" s="43" t="s">
        <v>1</v>
      </c>
      <c r="L18" s="44">
        <v>0</v>
      </c>
      <c r="M18" s="44" t="s">
        <v>1</v>
      </c>
      <c r="N18" s="8">
        <f t="shared" ca="1" si="60"/>
        <v>43036.659255670573</v>
      </c>
      <c r="O18" s="8">
        <f t="shared" ca="1" si="61"/>
        <v>5920.2000000000007</v>
      </c>
      <c r="P18" s="9">
        <f t="shared" ca="1" si="83"/>
        <v>48956.85925567057</v>
      </c>
      <c r="Q18" s="68"/>
      <c r="R18" s="72"/>
      <c r="S18" s="79"/>
      <c r="T18" s="62"/>
      <c r="U18" s="64"/>
      <c r="V18" s="63"/>
      <c r="W18" s="49"/>
      <c r="X18" s="16" t="s">
        <v>81</v>
      </c>
      <c r="Y18" s="17">
        <f t="shared" ca="1" si="32"/>
        <v>113037.10966725535</v>
      </c>
      <c r="Z18" s="17">
        <f ca="1">COUNTIF(Q1,"Ocak")*(BD31)
+COUNTIF(Q1,"Şubat")*(BD32)
+COUNTIF(Q1,"Mart")*(BD33)
+COUNTIF(Q1,"Nisan")*(BD34)
+COUNTIF(Q1,"Mayıs")*(BD35)
+COUNTIF(Q1,"Haziran")*(BD36)
+COUNTIF(Q1,"Temmuz")*(BD37)
+COUNTIF(Q1,"Ağustos")*(BD38)
+COUNTIF(Q1,"Eylül")*(BD39)
+COUNTIF(Q1,"Ekim")*(BD40)
+COUNTIF(Q1,"Kasım")*(BD41)
+COUNTIF(Q1,"Aralık")*(BD42)
+COUNTIF(Q1,"Yıllık Toplam")*(BD43)
+COUNTIF(Q1,"Yıllık Ortalama")*(BD44)</f>
        <v>113037.10966725535</v>
      </c>
      <c r="AC18" s="32">
        <f>(AC17)</f>
        <v>250</v>
      </c>
      <c r="AD18" s="16" t="s">
        <v>0</v>
      </c>
      <c r="AE18" s="17">
        <f>($AC$29*$AC$18)</f>
        <v>253.13900000000001</v>
      </c>
      <c r="AF18" s="17">
        <f>($AD$29*$AC$18)</f>
        <v>253.13900000000001</v>
      </c>
      <c r="AG18" s="29">
        <f t="shared" si="88"/>
        <v>45748</v>
      </c>
      <c r="AH18" s="29">
        <f t="shared" si="62"/>
        <v>45777</v>
      </c>
      <c r="AI18" s="30">
        <f t="shared" si="84"/>
        <v>30</v>
      </c>
      <c r="AJ18" s="30">
        <f t="shared" si="85"/>
        <v>26</v>
      </c>
      <c r="AK18" s="30">
        <f t="shared" si="86"/>
        <v>4</v>
      </c>
      <c r="AL18" s="17">
        <f t="shared" si="63"/>
        <v>1750</v>
      </c>
      <c r="AM18" s="17">
        <f t="shared" ca="1" si="64"/>
        <v>1176.7175</v>
      </c>
      <c r="AN18" s="17">
        <f t="shared" si="65"/>
        <v>1750</v>
      </c>
      <c r="AO18" s="17">
        <f t="shared" ca="1" si="66"/>
        <v>1293.8202248333332</v>
      </c>
      <c r="AP18" s="31">
        <f t="shared" si="67"/>
        <v>52500</v>
      </c>
      <c r="AQ18" s="17">
        <f t="shared" ca="1" si="68"/>
        <v>35301.524999999994</v>
      </c>
      <c r="AR18" s="17">
        <f t="shared" si="69"/>
        <v>6240</v>
      </c>
      <c r="AS18" s="17">
        <f t="shared" si="70"/>
        <v>0</v>
      </c>
      <c r="AT18" s="18">
        <f t="shared" ca="1" si="71"/>
        <v>0</v>
      </c>
      <c r="AU18" s="18">
        <f t="shared" si="72"/>
        <v>0</v>
      </c>
      <c r="AV18" s="18">
        <f t="shared" si="73"/>
        <v>0</v>
      </c>
      <c r="AW18" s="22" t="s">
        <v>9</v>
      </c>
      <c r="AX18" s="17">
        <f t="shared" si="74"/>
        <v>-1575</v>
      </c>
      <c r="AY18" s="17">
        <f t="shared" si="87"/>
        <v>1575</v>
      </c>
      <c r="AZ18" s="17">
        <f t="shared" ca="1" si="89"/>
        <v>63205.40823320418</v>
      </c>
      <c r="BA18" s="17">
        <f t="shared" si="90"/>
        <v>32245.5</v>
      </c>
      <c r="BB18" s="17">
        <f t="shared" ref="BB18:BB28" ca="1" si="102">(AZ18-BA18)</f>
        <v>30959.90823320418</v>
      </c>
      <c r="BC18" s="17">
        <f t="shared" ca="1" si="91"/>
        <v>-234.98570349001974</v>
      </c>
      <c r="BD18" s="17">
        <f t="shared" ca="1" si="92"/>
        <v>63205.40823320418</v>
      </c>
      <c r="BE18" s="17">
        <f t="shared" si="93"/>
        <v>4108</v>
      </c>
      <c r="BF18" s="17">
        <f t="shared" ca="1" si="94"/>
        <v>59097.40823320418</v>
      </c>
      <c r="BG18" s="17">
        <f t="shared" ref="BG18:BG28" ca="1" si="103">(BF18*0.14*-1)</f>
        <v>-8273.6371526485855</v>
      </c>
      <c r="BH18" s="17">
        <f t="shared" ref="BH18:BH28" ca="1" si="104">(BF18*0.01*-1)</f>
        <v>-590.9740823320418</v>
      </c>
      <c r="BI18" s="17">
        <f t="shared" ca="1" si="95"/>
        <v>54340.796998223559</v>
      </c>
      <c r="BJ18" s="17">
        <f t="shared" si="96"/>
        <v>7495.2000000000007</v>
      </c>
      <c r="BK18" s="17">
        <f t="shared" ref="BK18:BK28" ca="1" si="105">(BI18-BJ18)</f>
        <v>46845.596998223555</v>
      </c>
      <c r="BL18" s="17">
        <f ca="1">SUM($BK$17:BK18)</f>
        <v>97783.134532085634</v>
      </c>
      <c r="BM18" s="19">
        <f t="shared" ca="1" si="97"/>
        <v>0.15</v>
      </c>
      <c r="BN18" s="22">
        <f t="shared" ref="BN18:BN28" ca="1" si="106">IF(BM18-BM17=0,0,1)</f>
        <v>0</v>
      </c>
      <c r="BO18" s="23">
        <f t="shared" ca="1" si="98"/>
        <v>0.15</v>
      </c>
      <c r="BP18" s="17">
        <f ca="1">(ROUND(BK18*BO18,2)*(-1))</f>
        <v>-7026.84</v>
      </c>
      <c r="BQ18" s="17">
        <f t="shared" ca="1" si="99"/>
        <v>-3711.1400000000003</v>
      </c>
      <c r="BR18" s="23">
        <f t="shared" ca="1" si="100"/>
        <v>0.84240999999999999</v>
      </c>
      <c r="BS18" s="23">
        <f t="shared" ref="BS18:BS28" si="107">(100+(100*0.00759*-1)+(100*0.14*-1)+(100*0.01*-1))/100</f>
        <v>0.84240999999999999</v>
      </c>
      <c r="BT18" s="23">
        <f t="shared" ca="1" si="101"/>
        <v>0.71491000000000005</v>
      </c>
      <c r="BU18" s="16">
        <v>16</v>
      </c>
      <c r="BV18" s="24">
        <v>8</v>
      </c>
      <c r="BW18" s="25">
        <v>0.18</v>
      </c>
    </row>
    <row r="19" spans="1:75" ht="39.950000000000003" customHeight="1" x14ac:dyDescent="0.25">
      <c r="A19" s="6">
        <f t="shared" ca="1" si="59"/>
        <v>0.2</v>
      </c>
      <c r="B19" s="7" t="s">
        <v>14</v>
      </c>
      <c r="C19" s="41">
        <v>0</v>
      </c>
      <c r="D19" s="42">
        <v>0</v>
      </c>
      <c r="E19" s="42">
        <v>0</v>
      </c>
      <c r="F19" s="42">
        <v>0</v>
      </c>
      <c r="G19" s="42">
        <v>0</v>
      </c>
      <c r="H19" s="41">
        <v>26</v>
      </c>
      <c r="I19" s="43" t="s">
        <v>1</v>
      </c>
      <c r="J19" s="43" t="s">
        <v>1</v>
      </c>
      <c r="K19" s="43" t="s">
        <v>1</v>
      </c>
      <c r="L19" s="44">
        <v>0</v>
      </c>
      <c r="M19" s="44" t="s">
        <v>1</v>
      </c>
      <c r="N19" s="8">
        <f t="shared" ca="1" si="60"/>
        <v>44213.376755670586</v>
      </c>
      <c r="O19" s="8">
        <f t="shared" ca="1" si="61"/>
        <v>5920.2000000000007</v>
      </c>
      <c r="P19" s="9">
        <f t="shared" ca="1" si="83"/>
        <v>50133.576755670583</v>
      </c>
      <c r="Q19" s="68"/>
      <c r="R19" s="72"/>
      <c r="S19" s="79"/>
      <c r="T19" s="62"/>
      <c r="U19" s="64"/>
      <c r="V19" s="63"/>
      <c r="W19" s="49"/>
      <c r="X19" s="22" t="s">
        <v>51</v>
      </c>
      <c r="Y19" s="17">
        <f t="shared" ca="1" si="32"/>
        <v>66791.581804049405</v>
      </c>
      <c r="Z19" s="17">
        <f ca="1">COUNTIF(Q1,"Ocak")*P15
+COUNTIF(Q1,"Şubat")*P16
+COUNTIF(Q1,"Mart")*P17
+COUNTIF(Q1,"Nisan")*P18
+COUNTIF(Q1,"Mayıs")*P19
+COUNTIF(Q1,"Haziran")*P20
+COUNTIF(Q1,"Temmuz")*P21
+COUNTIF(Q1,"Ağustos")*P22
+COUNTIF(Q1,"Eylül")*P23
+COUNTIF(Q1,"Ekim")*P24
+COUNTIF(Q1,"Kasım")*P25
+COUNTIF(Q1,"Aralık")*P26
+COUNTIF(Q1,"Yıllık Toplam")*(P27)*-1
+COUNTIF(Q1,"Yıllık Ortalama")*(P28)*-1</f>
        <v>-66791.581804049434</v>
      </c>
      <c r="AC19" s="22">
        <f>(1.5)</f>
        <v>1.5</v>
      </c>
      <c r="AD19" s="16" t="s">
        <v>0</v>
      </c>
      <c r="AE19" s="17">
        <f>($AE$17*$AC$19)</f>
        <v>759.41700000000003</v>
      </c>
      <c r="AF19" s="17">
        <f>($AF$17*$AC$19)</f>
        <v>759.41700000000003</v>
      </c>
      <c r="AG19" s="29">
        <f t="shared" si="88"/>
        <v>45778</v>
      </c>
      <c r="AH19" s="29">
        <f t="shared" si="62"/>
        <v>45808</v>
      </c>
      <c r="AI19" s="30">
        <f t="shared" si="84"/>
        <v>31</v>
      </c>
      <c r="AJ19" s="30">
        <f t="shared" si="85"/>
        <v>27</v>
      </c>
      <c r="AK19" s="30">
        <f t="shared" si="86"/>
        <v>4</v>
      </c>
      <c r="AL19" s="17">
        <f t="shared" si="63"/>
        <v>1750</v>
      </c>
      <c r="AM19" s="17">
        <f t="shared" ca="1" si="64"/>
        <v>1176.7175</v>
      </c>
      <c r="AN19" s="17">
        <f t="shared" si="65"/>
        <v>1750</v>
      </c>
      <c r="AO19" s="17">
        <f t="shared" ca="1" si="66"/>
        <v>1293.8202248333332</v>
      </c>
      <c r="AP19" s="31">
        <f t="shared" si="67"/>
        <v>54250</v>
      </c>
      <c r="AQ19" s="17">
        <f t="shared" ca="1" si="68"/>
        <v>36478.2425</v>
      </c>
      <c r="AR19" s="17">
        <f t="shared" si="69"/>
        <v>6240</v>
      </c>
      <c r="AS19" s="17">
        <f t="shared" si="70"/>
        <v>0</v>
      </c>
      <c r="AT19" s="18">
        <f t="shared" ca="1" si="71"/>
        <v>0</v>
      </c>
      <c r="AU19" s="18">
        <f t="shared" si="72"/>
        <v>0</v>
      </c>
      <c r="AV19" s="18">
        <f t="shared" si="73"/>
        <v>0</v>
      </c>
      <c r="AW19" s="22" t="s">
        <v>9</v>
      </c>
      <c r="AX19" s="17">
        <f t="shared" si="74"/>
        <v>-1575</v>
      </c>
      <c r="AY19" s="17">
        <f t="shared" si="87"/>
        <v>1575</v>
      </c>
      <c r="AZ19" s="17">
        <f t="shared" ca="1" si="89"/>
        <v>124606.53060805914</v>
      </c>
      <c r="BA19" s="17">
        <f t="shared" si="90"/>
        <v>32245.5</v>
      </c>
      <c r="BB19" s="17">
        <f t="shared" ca="1" si="102"/>
        <v>92361.03060805914</v>
      </c>
      <c r="BC19" s="17">
        <f t="shared" ca="1" si="91"/>
        <v>-701.02022231516889</v>
      </c>
      <c r="BD19" s="17">
        <f t="shared" ca="1" si="92"/>
        <v>124606.53060805914</v>
      </c>
      <c r="BE19" s="17">
        <f t="shared" si="93"/>
        <v>4108</v>
      </c>
      <c r="BF19" s="17">
        <f t="shared" ca="1" si="94"/>
        <v>120498.53060805914</v>
      </c>
      <c r="BG19" s="17">
        <f t="shared" ca="1" si="103"/>
        <v>-16869.794285128282</v>
      </c>
      <c r="BH19" s="17">
        <f t="shared" ca="1" si="104"/>
        <v>-1204.9853060805915</v>
      </c>
      <c r="BI19" s="17">
        <f t="shared" ca="1" si="95"/>
        <v>106531.75101685026</v>
      </c>
      <c r="BJ19" s="17">
        <f t="shared" si="96"/>
        <v>7495.2000000000007</v>
      </c>
      <c r="BK19" s="17">
        <f t="shared" ca="1" si="105"/>
        <v>99036.551016850266</v>
      </c>
      <c r="BL19" s="17">
        <f ca="1">SUM($BK$17:BK19)</f>
        <v>196819.6855489359</v>
      </c>
      <c r="BM19" s="19">
        <f t="shared" ca="1" si="97"/>
        <v>0.2</v>
      </c>
      <c r="BN19" s="22">
        <f t="shared" ca="1" si="106"/>
        <v>1</v>
      </c>
      <c r="BO19" s="23">
        <f t="shared" ca="1" si="98"/>
        <v>0.16959866592200443</v>
      </c>
      <c r="BP19" s="17">
        <f t="shared" ref="BP19:BP28" ca="1" si="108">(ROUND(BK19*BO19,2)*(-1))</f>
        <v>-16796.47</v>
      </c>
      <c r="BQ19" s="17">
        <f t="shared" ca="1" si="99"/>
        <v>-13480.77</v>
      </c>
      <c r="BR19" s="23">
        <f t="shared" ca="1" si="100"/>
        <v>0.82281133407799556</v>
      </c>
      <c r="BS19" s="23">
        <f t="shared" si="107"/>
        <v>0.84240999999999999</v>
      </c>
      <c r="BT19" s="23">
        <f t="shared" ca="1" si="101"/>
        <v>0.69825113396629623</v>
      </c>
      <c r="BU19" s="16">
        <v>17</v>
      </c>
      <c r="BV19" s="24">
        <v>8.5</v>
      </c>
      <c r="BW19" s="25">
        <v>0.19</v>
      </c>
    </row>
    <row r="20" spans="1:75" ht="39.950000000000003" customHeight="1" x14ac:dyDescent="0.25">
      <c r="A20" s="6">
        <f t="shared" ca="1" si="59"/>
        <v>0.24656167229780634</v>
      </c>
      <c r="B20" s="7" t="s">
        <v>15</v>
      </c>
      <c r="C20" s="41">
        <v>0</v>
      </c>
      <c r="D20" s="42">
        <v>0</v>
      </c>
      <c r="E20" s="42">
        <v>0</v>
      </c>
      <c r="F20" s="42">
        <v>0</v>
      </c>
      <c r="G20" s="42">
        <v>0</v>
      </c>
      <c r="H20" s="41">
        <v>26</v>
      </c>
      <c r="I20" s="43" t="s">
        <v>1</v>
      </c>
      <c r="J20" s="43" t="s">
        <v>1</v>
      </c>
      <c r="K20" s="43" t="s">
        <v>1</v>
      </c>
      <c r="L20" s="44">
        <v>0</v>
      </c>
      <c r="M20" s="44" t="s">
        <v>1</v>
      </c>
      <c r="N20" s="8">
        <f t="shared" ca="1" si="60"/>
        <v>74057.99970403155</v>
      </c>
      <c r="O20" s="8">
        <f t="shared" ca="1" si="61"/>
        <v>5920.2000000000007</v>
      </c>
      <c r="P20" s="9">
        <f t="shared" ca="1" si="83"/>
        <v>79978.199704031547</v>
      </c>
      <c r="Q20" s="68"/>
      <c r="R20" s="72"/>
      <c r="S20" s="79"/>
      <c r="T20" s="62"/>
      <c r="U20" s="64"/>
      <c r="V20" s="63"/>
      <c r="W20" s="49"/>
      <c r="X20" s="22" t="s">
        <v>52</v>
      </c>
      <c r="Y20" s="17">
        <f t="shared" ca="1" si="32"/>
        <v>30235.980142092536</v>
      </c>
      <c r="Z20" s="17">
        <f ca="1">COUNTIF(Q1,"Ocak")*(AZ17-P15)
+COUNTIF(Q1,"Şubat")*(AZ18-P16)
+COUNTIF(Q1,"Mart")*(AZ19-P17)
+COUNTIF(Q1,"Nisan")*(AZ20-P18)
+COUNTIF(Q1,"Mayıs")*(AZ21-P19)
+COUNTIF(Q1,"Haziran")*(AZ22-P20)
+COUNTIF(Q1,"Temmuz")*(AZ23-P21)
+COUNTIF(Q1,"Ağustos")*(AZ24-P22)
+COUNTIF(Q1,"Eylül")*(AZ25-P23)
+COUNTIF(Q1,"Ekim")*(AZ26-P24)
+COUNTIF(Q1,"Kasım")*(AZ27-P25)
+COUNTIF(Q1,"Aralık")*(AZ28-P26)
+COUNTIF(Q1,"Yıllık Toplam")*(AZ29-P27)*-1
+COUNTIF(Q1,"Yıllık Ortalama")*(AZ30-P28)*-1</f>
        <v>-30235.980142092507</v>
      </c>
      <c r="AC20" s="16" t="s">
        <v>0</v>
      </c>
      <c r="AD20" s="16" t="s">
        <v>0</v>
      </c>
      <c r="AE20" s="17">
        <f>($AE$19/2)</f>
        <v>379.70850000000002</v>
      </c>
      <c r="AF20" s="17">
        <f>($AF$19/2)</f>
        <v>379.70850000000002</v>
      </c>
      <c r="AG20" s="29">
        <f t="shared" si="88"/>
        <v>45809</v>
      </c>
      <c r="AH20" s="29">
        <f t="shared" si="62"/>
        <v>45838</v>
      </c>
      <c r="AI20" s="30">
        <f t="shared" si="84"/>
        <v>30</v>
      </c>
      <c r="AJ20" s="30">
        <f t="shared" si="85"/>
        <v>25</v>
      </c>
      <c r="AK20" s="30">
        <f t="shared" si="86"/>
        <v>5</v>
      </c>
      <c r="AL20" s="17">
        <f t="shared" si="63"/>
        <v>1750</v>
      </c>
      <c r="AM20" s="17">
        <f t="shared" ca="1" si="64"/>
        <v>1107.457012457013</v>
      </c>
      <c r="AN20" s="17">
        <f t="shared" si="65"/>
        <v>1750</v>
      </c>
      <c r="AO20" s="17">
        <f t="shared" ca="1" si="66"/>
        <v>1224.5597372903462</v>
      </c>
      <c r="AP20" s="31">
        <f t="shared" si="67"/>
        <v>52500</v>
      </c>
      <c r="AQ20" s="17">
        <f t="shared" ca="1" si="68"/>
        <v>33223.71037371039</v>
      </c>
      <c r="AR20" s="17">
        <f t="shared" si="69"/>
        <v>6240</v>
      </c>
      <c r="AS20" s="17">
        <f t="shared" si="70"/>
        <v>0</v>
      </c>
      <c r="AT20" s="18">
        <f t="shared" ca="1" si="71"/>
        <v>0</v>
      </c>
      <c r="AU20" s="18">
        <f t="shared" si="72"/>
        <v>0</v>
      </c>
      <c r="AV20" s="18">
        <f t="shared" si="73"/>
        <v>0</v>
      </c>
      <c r="AW20" s="22" t="s">
        <v>9</v>
      </c>
      <c r="AX20" s="17">
        <f t="shared" si="74"/>
        <v>-1575</v>
      </c>
      <c r="AY20" s="17">
        <f t="shared" si="87"/>
        <v>1575</v>
      </c>
      <c r="AZ20" s="17">
        <f t="shared" ca="1" si="89"/>
        <v>66892.838298062197</v>
      </c>
      <c r="BA20" s="17">
        <f t="shared" si="90"/>
        <v>32245.5</v>
      </c>
      <c r="BB20" s="17">
        <f t="shared" ca="1" si="102"/>
        <v>34647.338298062197</v>
      </c>
      <c r="BC20" s="17">
        <f t="shared" ca="1" si="91"/>
        <v>-262.97329768229207</v>
      </c>
      <c r="BD20" s="17">
        <f t="shared" ca="1" si="92"/>
        <v>66892.838298062197</v>
      </c>
      <c r="BE20" s="17">
        <f t="shared" si="93"/>
        <v>4108</v>
      </c>
      <c r="BF20" s="17">
        <f t="shared" ca="1" si="94"/>
        <v>62784.838298062197</v>
      </c>
      <c r="BG20" s="17">
        <f t="shared" ca="1" si="103"/>
        <v>-8789.8773617287079</v>
      </c>
      <c r="BH20" s="17">
        <f t="shared" ca="1" si="104"/>
        <v>-627.84838298062198</v>
      </c>
      <c r="BI20" s="17">
        <f t="shared" ca="1" si="95"/>
        <v>57475.112553352868</v>
      </c>
      <c r="BJ20" s="17">
        <f t="shared" si="96"/>
        <v>7495.2000000000007</v>
      </c>
      <c r="BK20" s="17">
        <f t="shared" ca="1" si="105"/>
        <v>49979.912553352871</v>
      </c>
      <c r="BL20" s="17">
        <f ca="1">SUM($BK$17:BK20)</f>
        <v>246799.59810228879</v>
      </c>
      <c r="BM20" s="19">
        <f t="shared" ca="1" si="97"/>
        <v>0.2</v>
      </c>
      <c r="BN20" s="22">
        <f t="shared" ca="1" si="106"/>
        <v>0</v>
      </c>
      <c r="BO20" s="23">
        <f t="shared" ca="1" si="98"/>
        <v>0.2</v>
      </c>
      <c r="BP20" s="17">
        <f t="shared" ca="1" si="108"/>
        <v>-9995.98</v>
      </c>
      <c r="BQ20" s="17">
        <f t="shared" ca="1" si="99"/>
        <v>-6680.28</v>
      </c>
      <c r="BR20" s="23">
        <f t="shared" ca="1" si="100"/>
        <v>0.79240999999999995</v>
      </c>
      <c r="BS20" s="23">
        <f t="shared" si="107"/>
        <v>0.84240999999999999</v>
      </c>
      <c r="BT20" s="23">
        <f t="shared" ca="1" si="101"/>
        <v>0.67240999999999995</v>
      </c>
      <c r="BU20" s="16">
        <v>18</v>
      </c>
      <c r="BV20" s="24">
        <v>9</v>
      </c>
      <c r="BW20" s="25">
        <v>0.2</v>
      </c>
    </row>
    <row r="21" spans="1:75" ht="39.950000000000003" customHeight="1" x14ac:dyDescent="0.25">
      <c r="A21" s="6">
        <f t="shared" ca="1" si="59"/>
        <v>0.27</v>
      </c>
      <c r="B21" s="7" t="s">
        <v>16</v>
      </c>
      <c r="C21" s="41">
        <v>0</v>
      </c>
      <c r="D21" s="42">
        <v>0</v>
      </c>
      <c r="E21" s="42">
        <v>0</v>
      </c>
      <c r="F21" s="42">
        <v>0</v>
      </c>
      <c r="G21" s="42">
        <v>0</v>
      </c>
      <c r="H21" s="41">
        <v>26</v>
      </c>
      <c r="I21" s="43" t="s">
        <v>1</v>
      </c>
      <c r="J21" s="43" t="s">
        <v>1</v>
      </c>
      <c r="K21" s="43" t="s">
        <v>1</v>
      </c>
      <c r="L21" s="44">
        <v>0</v>
      </c>
      <c r="M21" s="44" t="s">
        <v>1</v>
      </c>
      <c r="N21" s="8">
        <f t="shared" ca="1" si="60"/>
        <v>47127.97654225654</v>
      </c>
      <c r="O21" s="8">
        <f t="shared" ca="1" si="61"/>
        <v>5920.2000000000007</v>
      </c>
      <c r="P21" s="9">
        <f t="shared" ca="1" si="83"/>
        <v>53048.176542256537</v>
      </c>
      <c r="Q21" s="68"/>
      <c r="R21" s="72"/>
      <c r="S21" s="79"/>
      <c r="T21" s="62"/>
      <c r="U21" s="64"/>
      <c r="V21" s="63"/>
      <c r="W21" s="49"/>
      <c r="X21" s="25" t="s">
        <v>96</v>
      </c>
      <c r="Y21" s="17">
        <v>1900</v>
      </c>
      <c r="Z21" s="17">
        <v>2242</v>
      </c>
      <c r="AA21" s="17">
        <v>2555.88</v>
      </c>
      <c r="AG21" s="29">
        <f t="shared" si="88"/>
        <v>45839</v>
      </c>
      <c r="AH21" s="29">
        <f t="shared" si="62"/>
        <v>45869</v>
      </c>
      <c r="AI21" s="30">
        <f t="shared" si="84"/>
        <v>31</v>
      </c>
      <c r="AJ21" s="30">
        <f t="shared" si="85"/>
        <v>27</v>
      </c>
      <c r="AK21" s="30">
        <f t="shared" si="86"/>
        <v>4</v>
      </c>
      <c r="AL21" s="17">
        <f>COUNTIF($A$1,"Amir")*($Z$21)
+COUNTIF($A$1,"Gişe")*($Z$22)
+COUNTIF($A$1,"Çıma")*($Z$23)
+COUNTIF($A$1,"Satış Görevlisi")*($Z$24)
+COUNTIF($A$1,"Ustabaşı")*($Z$25)
+COUNTIF($A$1,"İtfaiye Amiri")*($Z$26)
+COUNTIF($A$1,"Usta")*($Z$27)
+COUNTIF($A$1,"Vinç Operatörü")*($Z$28)
+COUNTIF($A$1,"Forklift Operatörü")*($Z$29)
+COUNTIF($A$1,"İtfaiyeci")*($Z$30)
+COUNTIF($A$1,"Usta Yardımcısı")*($Z$31)
+COUNTIF($A$1,"Gemi Havuzlama Personeli")*($Z$32)
+COUNTIF($A$1,"Yakıt Yağ ve Atık Personeli")*($Z$33)
+COUNTIF($A$1,"Tersane Saha Personeli")*($Z$34)</f>
        <v>2065</v>
      </c>
      <c r="AM21" s="17">
        <f t="shared" ca="1" si="64"/>
        <v>1265.65915</v>
      </c>
      <c r="AN21" s="17">
        <f>COUNTIF($A$1,"Amir")*($Z$21)
+COUNTIF($A$1,"Gişe")*($Z$22)
+COUNTIF($A$1,"Çıma")*($Z$23)
+COUNTIF($A$1,"Satış Görevlisi")*($Z$24)
+COUNTIF($A$1,"Ustabaşı")*($Z$25)
+COUNTIF($A$1,"İtfaiye Amiri")*($Z$26)
+COUNTIF($A$1,"Usta")*($Z$27)
+COUNTIF($A$1,"Vinç Operatörü")*($Z$28)
+COUNTIF($A$1,"Forklift Operatörü")*($Z$29)
+COUNTIF($A$1,"İtfaiyeci")*($Z$30)
+COUNTIF($A$1,"Usta Yardımcısı")*($Z$31)
+COUNTIF($A$1,"Gemi Havuzlama Personeli")*($Z$32)
+COUNTIF($A$1,"Yakıt Yağ ve Atık Personeli")*($Z$33)
+COUNTIF($A$1,"Tersane Saha Personeli")*($Z$34)</f>
        <v>2065</v>
      </c>
      <c r="AO21" s="17">
        <f t="shared" ca="1" si="66"/>
        <v>1382.7618748333332</v>
      </c>
      <c r="AP21" s="31">
        <f t="shared" si="67"/>
        <v>64015</v>
      </c>
      <c r="AQ21" s="17">
        <f t="shared" ca="1" si="68"/>
        <v>39235.433649999999</v>
      </c>
      <c r="AR21" s="17">
        <f t="shared" si="69"/>
        <v>6240</v>
      </c>
      <c r="AS21" s="17">
        <f t="shared" si="70"/>
        <v>0</v>
      </c>
      <c r="AT21" s="18">
        <f t="shared" ca="1" si="71"/>
        <v>0</v>
      </c>
      <c r="AU21" s="18">
        <f t="shared" si="72"/>
        <v>0</v>
      </c>
      <c r="AV21" s="18">
        <f t="shared" si="73"/>
        <v>0</v>
      </c>
      <c r="AW21" s="22" t="s">
        <v>9</v>
      </c>
      <c r="AX21" s="17">
        <f t="shared" si="74"/>
        <v>-1858.5</v>
      </c>
      <c r="AY21" s="17">
        <f t="shared" si="87"/>
        <v>1858.5</v>
      </c>
      <c r="AZ21" s="17">
        <f t="shared" ca="1" si="89"/>
        <v>68642.838298062197</v>
      </c>
      <c r="BA21" s="17">
        <f t="shared" si="90"/>
        <v>32245.5</v>
      </c>
      <c r="BB21" s="17">
        <f t="shared" ca="1" si="102"/>
        <v>36397.338298062197</v>
      </c>
      <c r="BC21" s="17">
        <f t="shared" ca="1" si="91"/>
        <v>-276.2557976822921</v>
      </c>
      <c r="BD21" s="17">
        <f t="shared" ca="1" si="92"/>
        <v>68642.838298062197</v>
      </c>
      <c r="BE21" s="17">
        <f t="shared" si="93"/>
        <v>4108</v>
      </c>
      <c r="BF21" s="17">
        <f t="shared" ca="1" si="94"/>
        <v>64534.838298062197</v>
      </c>
      <c r="BG21" s="17">
        <f t="shared" ca="1" si="103"/>
        <v>-9034.8773617287079</v>
      </c>
      <c r="BH21" s="17">
        <f t="shared" ca="1" si="104"/>
        <v>-645.34838298062198</v>
      </c>
      <c r="BI21" s="17">
        <f t="shared" ca="1" si="95"/>
        <v>58962.612553352868</v>
      </c>
      <c r="BJ21" s="17">
        <f t="shared" si="96"/>
        <v>7495.2000000000007</v>
      </c>
      <c r="BK21" s="17">
        <f t="shared" ca="1" si="105"/>
        <v>51467.412553352871</v>
      </c>
      <c r="BL21" s="17">
        <f ca="1">SUM($BK$17:BK21)</f>
        <v>298267.01065564167</v>
      </c>
      <c r="BM21" s="19">
        <f t="shared" ca="1" si="97"/>
        <v>0.2</v>
      </c>
      <c r="BN21" s="22">
        <f t="shared" ca="1" si="106"/>
        <v>0</v>
      </c>
      <c r="BO21" s="23">
        <f t="shared" ca="1" si="98"/>
        <v>0.2</v>
      </c>
      <c r="BP21" s="17">
        <f t="shared" ca="1" si="108"/>
        <v>-10293.48</v>
      </c>
      <c r="BQ21" s="17">
        <f t="shared" ca="1" si="99"/>
        <v>-6977.78</v>
      </c>
      <c r="BR21" s="23">
        <f t="shared" ca="1" si="100"/>
        <v>0.79240999999999995</v>
      </c>
      <c r="BS21" s="23">
        <f t="shared" si="107"/>
        <v>0.84240999999999999</v>
      </c>
      <c r="BT21" s="23">
        <f t="shared" ca="1" si="101"/>
        <v>0.67240999999999995</v>
      </c>
      <c r="BU21" s="16">
        <v>19</v>
      </c>
      <c r="BV21" s="24">
        <v>9.5</v>
      </c>
      <c r="BW21" s="25">
        <v>0.21</v>
      </c>
    </row>
    <row r="22" spans="1:75" ht="39.950000000000003" customHeight="1" x14ac:dyDescent="0.25">
      <c r="A22" s="6">
        <f t="shared" ca="1" si="59"/>
        <v>0.27</v>
      </c>
      <c r="B22" s="7" t="s">
        <v>17</v>
      </c>
      <c r="C22" s="41">
        <v>0</v>
      </c>
      <c r="D22" s="42">
        <v>0</v>
      </c>
      <c r="E22" s="42">
        <v>0</v>
      </c>
      <c r="F22" s="42">
        <v>0</v>
      </c>
      <c r="G22" s="42">
        <v>0</v>
      </c>
      <c r="H22" s="41">
        <v>26</v>
      </c>
      <c r="I22" s="43" t="s">
        <v>1</v>
      </c>
      <c r="J22" s="43" t="s">
        <v>1</v>
      </c>
      <c r="K22" s="43" t="s">
        <v>1</v>
      </c>
      <c r="L22" s="44">
        <v>0</v>
      </c>
      <c r="M22" s="44" t="s">
        <v>1</v>
      </c>
      <c r="N22" s="8">
        <f t="shared" ca="1" si="60"/>
        <v>48069.84654225655</v>
      </c>
      <c r="O22" s="8">
        <f t="shared" ca="1" si="61"/>
        <v>5920.2000000000007</v>
      </c>
      <c r="P22" s="9">
        <f t="shared" ca="1" si="83"/>
        <v>53990.046542256547</v>
      </c>
      <c r="Q22" s="68"/>
      <c r="R22" s="72"/>
      <c r="S22" s="79"/>
      <c r="T22" s="62"/>
      <c r="U22" s="64"/>
      <c r="V22" s="63"/>
      <c r="W22" s="49"/>
      <c r="X22" s="25" t="s">
        <v>97</v>
      </c>
      <c r="Y22" s="17">
        <v>1750</v>
      </c>
      <c r="Z22" s="17">
        <v>2065</v>
      </c>
      <c r="AA22" s="17">
        <v>2354.1</v>
      </c>
      <c r="AC22" s="16">
        <f>(1500)</f>
        <v>1500</v>
      </c>
      <c r="AD22" s="16" t="s">
        <v>0</v>
      </c>
      <c r="AE22" s="17">
        <f>($AC$29*$AC$22)</f>
        <v>1518.8340000000001</v>
      </c>
      <c r="AF22" s="17">
        <f>($AD$29*$AC$22)</f>
        <v>1518.8340000000001</v>
      </c>
      <c r="AG22" s="29">
        <f t="shared" si="88"/>
        <v>45870</v>
      </c>
      <c r="AH22" s="29">
        <f t="shared" si="62"/>
        <v>45900</v>
      </c>
      <c r="AI22" s="30">
        <f t="shared" si="84"/>
        <v>31</v>
      </c>
      <c r="AJ22" s="30">
        <f t="shared" si="85"/>
        <v>26</v>
      </c>
      <c r="AK22" s="30">
        <f t="shared" si="86"/>
        <v>5</v>
      </c>
      <c r="AL22" s="17">
        <f>COUNTIF($A$1,"Amir")*($Z$21)
+COUNTIF($A$1,"Gişe")*($Z$22)
+COUNTIF($A$1,"Çıma")*($Z$23)
+COUNTIF($A$1,"Satış Görevlisi")*($Z$24)
+COUNTIF($A$1,"Ustabaşı")*($Z$25)
+COUNTIF($A$1,"İtfaiye Amiri")*($Z$26)
+COUNTIF($A$1,"Usta")*($Z$27)
+COUNTIF($A$1,"Vinç Operatörü")*($Z$28)
+COUNTIF($A$1,"Forklift Operatörü")*($Z$29)
+COUNTIF($A$1,"İtfaiyeci")*($Z$30)
+COUNTIF($A$1,"Usta Yardımcısı")*($Z$31)
+COUNTIF($A$1,"Gemi Havuzlama Personeli")*($Z$32)
+COUNTIF($A$1,"Yakıt Yağ ve Atık Personeli")*($Z$33)
+COUNTIF($A$1,"Tersane Saha Personeli")*($Z$34)</f>
        <v>2065</v>
      </c>
      <c r="AM22" s="17">
        <f t="shared" ca="1" si="64"/>
        <v>1265.65915</v>
      </c>
      <c r="AN22" s="17">
        <f>COUNTIF($A$1,"Amir")*($Z$21)
+COUNTIF($A$1,"Gişe")*($Z$22)
+COUNTIF($A$1,"Çıma")*($Z$23)
+COUNTIF($A$1,"Satış Görevlisi")*($Z$24)
+COUNTIF($A$1,"Ustabaşı")*($Z$25)
+COUNTIF($A$1,"İtfaiye Amiri")*($Z$26)
+COUNTIF($A$1,"Usta")*($Z$27)
+COUNTIF($A$1,"Vinç Operatörü")*($Z$28)
+COUNTIF($A$1,"Forklift Operatörü")*($Z$29)
+COUNTIF($A$1,"İtfaiyeci")*($Z$30)
+COUNTIF($A$1,"Usta Yardımcısı")*($Z$31)
+COUNTIF($A$1,"Gemi Havuzlama Personeli")*($Z$32)
+COUNTIF($A$1,"Yakıt Yağ ve Atık Personeli")*($Z$33)
+COUNTIF($A$1,"Tersane Saha Personeli")*($Z$34)</f>
        <v>2065</v>
      </c>
      <c r="AO22" s="17">
        <f t="shared" ca="1" si="66"/>
        <v>1414.1575414999998</v>
      </c>
      <c r="AP22" s="31">
        <f t="shared" si="67"/>
        <v>64015</v>
      </c>
      <c r="AQ22" s="17">
        <f t="shared" ca="1" si="68"/>
        <v>39235.433649999999</v>
      </c>
      <c r="AR22" s="17">
        <f t="shared" si="69"/>
        <v>6240</v>
      </c>
      <c r="AS22" s="17">
        <f t="shared" si="70"/>
        <v>0</v>
      </c>
      <c r="AT22" s="18">
        <f t="shared" ca="1" si="71"/>
        <v>0</v>
      </c>
      <c r="AU22" s="18">
        <f t="shared" si="72"/>
        <v>0</v>
      </c>
      <c r="AV22" s="18">
        <f t="shared" si="73"/>
        <v>0</v>
      </c>
      <c r="AW22" s="22" t="s">
        <v>9</v>
      </c>
      <c r="AX22" s="17">
        <f t="shared" si="74"/>
        <v>-1858.5</v>
      </c>
      <c r="AY22" s="17">
        <f t="shared" si="87"/>
        <v>1858.5</v>
      </c>
      <c r="AZ22" s="17">
        <f t="shared" ca="1" si="89"/>
        <v>119590.01716388878</v>
      </c>
      <c r="BA22" s="17">
        <f t="shared" si="90"/>
        <v>32245.5</v>
      </c>
      <c r="BB22" s="17">
        <f t="shared" ca="1" si="102"/>
        <v>87344.517163888784</v>
      </c>
      <c r="BC22" s="17">
        <f t="shared" ca="1" si="91"/>
        <v>-662.94488527391593</v>
      </c>
      <c r="BD22" s="17">
        <f t="shared" ca="1" si="92"/>
        <v>119590.01716388878</v>
      </c>
      <c r="BE22" s="17">
        <f t="shared" si="93"/>
        <v>4108</v>
      </c>
      <c r="BF22" s="17">
        <f t="shared" ca="1" si="94"/>
        <v>115482.01716388878</v>
      </c>
      <c r="BG22" s="17">
        <f t="shared" ca="1" si="103"/>
        <v>-16167.482402944432</v>
      </c>
      <c r="BH22" s="17">
        <f t="shared" ca="1" si="104"/>
        <v>-1154.8201716388878</v>
      </c>
      <c r="BI22" s="17">
        <f t="shared" ca="1" si="95"/>
        <v>102267.71458930547</v>
      </c>
      <c r="BJ22" s="17">
        <f t="shared" si="96"/>
        <v>7495.2000000000007</v>
      </c>
      <c r="BK22" s="17">
        <f t="shared" ca="1" si="105"/>
        <v>94772.514589305472</v>
      </c>
      <c r="BL22" s="17">
        <f ca="1">SUM($BK$17:BK22)</f>
        <v>393039.52524494717</v>
      </c>
      <c r="BM22" s="19">
        <f t="shared" ca="1" si="97"/>
        <v>0.27</v>
      </c>
      <c r="BN22" s="22">
        <f t="shared" ca="1" si="106"/>
        <v>1</v>
      </c>
      <c r="BO22" s="23">
        <f t="shared" ca="1" si="98"/>
        <v>0.24656167229780634</v>
      </c>
      <c r="BP22" s="17">
        <f t="shared" ca="1" si="108"/>
        <v>-23367.27</v>
      </c>
      <c r="BQ22" s="17">
        <f t="shared" ca="1" si="99"/>
        <v>-20051.57</v>
      </c>
      <c r="BR22" s="23">
        <f t="shared" ca="1" si="100"/>
        <v>0.74584832770219367</v>
      </c>
      <c r="BS22" s="23">
        <f t="shared" si="107"/>
        <v>0.84240999999999999</v>
      </c>
      <c r="BT22" s="23">
        <f t="shared" ca="1" si="101"/>
        <v>0.63283257854686459</v>
      </c>
      <c r="BU22" s="16">
        <v>20</v>
      </c>
      <c r="BV22" s="24">
        <v>10</v>
      </c>
      <c r="BW22" s="25">
        <v>0.22</v>
      </c>
    </row>
    <row r="23" spans="1:75" ht="39.950000000000003" customHeight="1" x14ac:dyDescent="0.25">
      <c r="A23" s="6">
        <f t="shared" ca="1" si="59"/>
        <v>0.27</v>
      </c>
      <c r="B23" s="7" t="s">
        <v>18</v>
      </c>
      <c r="C23" s="41">
        <v>0</v>
      </c>
      <c r="D23" s="42">
        <v>0</v>
      </c>
      <c r="E23" s="42">
        <v>0</v>
      </c>
      <c r="F23" s="42">
        <v>0</v>
      </c>
      <c r="G23" s="42">
        <v>0</v>
      </c>
      <c r="H23" s="41">
        <v>26</v>
      </c>
      <c r="I23" s="43" t="s">
        <v>1</v>
      </c>
      <c r="J23" s="43" t="s">
        <v>1</v>
      </c>
      <c r="K23" s="43" t="s">
        <v>1</v>
      </c>
      <c r="L23" s="44">
        <v>0</v>
      </c>
      <c r="M23" s="44" t="s">
        <v>1</v>
      </c>
      <c r="N23" s="8">
        <f t="shared" ca="1" si="60"/>
        <v>95885.193912256553</v>
      </c>
      <c r="O23" s="8">
        <f t="shared" ca="1" si="61"/>
        <v>5920.2000000000007</v>
      </c>
      <c r="P23" s="9">
        <f t="shared" ca="1" si="83"/>
        <v>101805.39391225655</v>
      </c>
      <c r="Q23" s="68"/>
      <c r="R23" s="72"/>
      <c r="S23" s="79"/>
      <c r="T23" s="62"/>
      <c r="U23" s="64"/>
      <c r="V23" s="63"/>
      <c r="W23" s="49"/>
      <c r="X23" s="25" t="s">
        <v>98</v>
      </c>
      <c r="Y23" s="17">
        <v>1700</v>
      </c>
      <c r="Z23" s="17">
        <v>2006</v>
      </c>
      <c r="AA23" s="17">
        <v>2286.84</v>
      </c>
      <c r="AC23" s="16">
        <f>(8000)</f>
        <v>8000</v>
      </c>
      <c r="AD23" s="16" t="s">
        <v>0</v>
      </c>
      <c r="AE23" s="17">
        <f>($AC$29*$AC$23)</f>
        <v>8100.4480000000003</v>
      </c>
      <c r="AF23" s="17">
        <f>($AD$29*$AC$23)</f>
        <v>8100.4480000000003</v>
      </c>
      <c r="AG23" s="29">
        <f t="shared" si="88"/>
        <v>45901</v>
      </c>
      <c r="AH23" s="29">
        <f t="shared" si="62"/>
        <v>45930</v>
      </c>
      <c r="AI23" s="30">
        <f t="shared" si="84"/>
        <v>30</v>
      </c>
      <c r="AJ23" s="30">
        <f t="shared" si="85"/>
        <v>26</v>
      </c>
      <c r="AK23" s="30">
        <f t="shared" si="86"/>
        <v>4</v>
      </c>
      <c r="AL23"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M23" s="17">
        <f t="shared" ca="1" si="64"/>
        <v>1442.8514309999998</v>
      </c>
      <c r="AN23"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O23" s="17">
        <f t="shared" ca="1" si="66"/>
        <v>1596.7954891666664</v>
      </c>
      <c r="AP23" s="31">
        <f t="shared" si="67"/>
        <v>70623</v>
      </c>
      <c r="AQ23" s="17">
        <f t="shared" ca="1" si="68"/>
        <v>43285.542929999996</v>
      </c>
      <c r="AR23" s="17">
        <f t="shared" si="69"/>
        <v>6240</v>
      </c>
      <c r="AS23" s="17">
        <f t="shared" si="70"/>
        <v>0</v>
      </c>
      <c r="AT23" s="18">
        <f t="shared" ca="1" si="71"/>
        <v>0</v>
      </c>
      <c r="AU23" s="18">
        <f t="shared" si="72"/>
        <v>0</v>
      </c>
      <c r="AV23" s="18">
        <f t="shared" si="73"/>
        <v>0</v>
      </c>
      <c r="AW23" s="22" t="s">
        <v>9</v>
      </c>
      <c r="AX23" s="17">
        <f t="shared" si="74"/>
        <v>-2118.69</v>
      </c>
      <c r="AY23" s="17">
        <f t="shared" si="87"/>
        <v>2118.69</v>
      </c>
      <c r="AZ23" s="17">
        <f t="shared" ca="1" si="89"/>
        <v>79613.909138372677</v>
      </c>
      <c r="BA23" s="17">
        <f t="shared" si="90"/>
        <v>32245.5</v>
      </c>
      <c r="BB23" s="17">
        <f t="shared" ca="1" si="102"/>
        <v>47368.409138372677</v>
      </c>
      <c r="BC23" s="17">
        <f t="shared" ca="1" si="91"/>
        <v>-359.52622536024865</v>
      </c>
      <c r="BD23" s="17">
        <f t="shared" ca="1" si="92"/>
        <v>79613.909138372677</v>
      </c>
      <c r="BE23" s="17">
        <f t="shared" si="93"/>
        <v>4108</v>
      </c>
      <c r="BF23" s="17">
        <f t="shared" ca="1" si="94"/>
        <v>75505.909138372677</v>
      </c>
      <c r="BG23" s="17">
        <f t="shared" ca="1" si="103"/>
        <v>-10570.827279372175</v>
      </c>
      <c r="BH23" s="17">
        <f t="shared" ca="1" si="104"/>
        <v>-755.05909138372681</v>
      </c>
      <c r="BI23" s="17">
        <f t="shared" ca="1" si="95"/>
        <v>68288.022767616785</v>
      </c>
      <c r="BJ23" s="17">
        <f t="shared" si="96"/>
        <v>7778.7000000000007</v>
      </c>
      <c r="BK23" s="17">
        <f t="shared" ca="1" si="105"/>
        <v>60509.322767616788</v>
      </c>
      <c r="BL23" s="17">
        <f ca="1">SUM($BK$17:BK23)</f>
        <v>453548.84801256395</v>
      </c>
      <c r="BM23" s="19">
        <f t="shared" ca="1" si="97"/>
        <v>0.27</v>
      </c>
      <c r="BN23" s="22">
        <f t="shared" ca="1" si="106"/>
        <v>0</v>
      </c>
      <c r="BO23" s="23">
        <f t="shared" ca="1" si="98"/>
        <v>0.27</v>
      </c>
      <c r="BP23" s="17">
        <f t="shared" ca="1" si="108"/>
        <v>-16337.52</v>
      </c>
      <c r="BQ23" s="17">
        <f t="shared" ca="1" si="99"/>
        <v>-13021.82</v>
      </c>
      <c r="BR23" s="23">
        <f t="shared" ca="1" si="100"/>
        <v>0.72241</v>
      </c>
      <c r="BS23" s="23">
        <f t="shared" si="107"/>
        <v>0.84240999999999999</v>
      </c>
      <c r="BT23" s="23">
        <f t="shared" ca="1" si="101"/>
        <v>0.61290999999999995</v>
      </c>
      <c r="BU23" s="16">
        <v>21</v>
      </c>
      <c r="BV23" s="24">
        <v>10.5</v>
      </c>
      <c r="BW23" s="25">
        <v>0.23</v>
      </c>
    </row>
    <row r="24" spans="1:75" ht="39.950000000000003" customHeight="1" x14ac:dyDescent="0.25">
      <c r="A24" s="6">
        <f t="shared" ca="1" si="59"/>
        <v>0.27</v>
      </c>
      <c r="B24" s="7" t="s">
        <v>19</v>
      </c>
      <c r="C24" s="41">
        <v>0</v>
      </c>
      <c r="D24" s="42">
        <v>0</v>
      </c>
      <c r="E24" s="42">
        <v>0</v>
      </c>
      <c r="F24" s="42">
        <v>0</v>
      </c>
      <c r="G24" s="42">
        <v>0</v>
      </c>
      <c r="H24" s="41">
        <v>26</v>
      </c>
      <c r="I24" s="43" t="s">
        <v>1</v>
      </c>
      <c r="J24" s="43" t="s">
        <v>1</v>
      </c>
      <c r="K24" s="43" t="s">
        <v>1</v>
      </c>
      <c r="L24" s="44">
        <v>0</v>
      </c>
      <c r="M24" s="44" t="s">
        <v>1</v>
      </c>
      <c r="N24" s="8">
        <f t="shared" ca="1" si="60"/>
        <v>54042.50986325652</v>
      </c>
      <c r="O24" s="8">
        <f t="shared" ca="1" si="61"/>
        <v>5920.2000000000007</v>
      </c>
      <c r="P24" s="9">
        <f t="shared" ca="1" si="83"/>
        <v>59962.709863256518</v>
      </c>
      <c r="Q24" s="68"/>
      <c r="R24" s="72"/>
      <c r="S24" s="79"/>
      <c r="T24" s="62"/>
      <c r="U24" s="64"/>
      <c r="V24" s="63"/>
      <c r="W24" s="49"/>
      <c r="X24" s="25" t="s">
        <v>86</v>
      </c>
      <c r="Y24" s="17">
        <v>1600</v>
      </c>
      <c r="Z24" s="17">
        <v>1888</v>
      </c>
      <c r="AA24" s="17">
        <v>2152.3200000000002</v>
      </c>
      <c r="AC24" s="16">
        <f>(500)</f>
        <v>500</v>
      </c>
      <c r="AD24" s="16" t="s">
        <v>0</v>
      </c>
      <c r="AE24" s="17">
        <f>($AC$29*$AC$24)</f>
        <v>506.27800000000002</v>
      </c>
      <c r="AF24" s="17">
        <f>($AD$29*$AC$24)</f>
        <v>506.27800000000002</v>
      </c>
      <c r="AG24" s="29">
        <f t="shared" si="88"/>
        <v>45931</v>
      </c>
      <c r="AH24" s="29">
        <f t="shared" si="62"/>
        <v>45961</v>
      </c>
      <c r="AI24" s="30">
        <f t="shared" si="84"/>
        <v>31</v>
      </c>
      <c r="AJ24" s="30">
        <f t="shared" si="85"/>
        <v>27</v>
      </c>
      <c r="AK24" s="30">
        <f t="shared" si="86"/>
        <v>4</v>
      </c>
      <c r="AL24"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M24" s="17">
        <f t="shared" ca="1" si="64"/>
        <v>1442.8514309999998</v>
      </c>
      <c r="AN24"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O24" s="17">
        <f t="shared" ca="1" si="66"/>
        <v>1596.7954891666664</v>
      </c>
      <c r="AP24" s="31">
        <f t="shared" si="67"/>
        <v>72977.099999999991</v>
      </c>
      <c r="AQ24" s="17">
        <f t="shared" ca="1" si="68"/>
        <v>44728.394360999991</v>
      </c>
      <c r="AR24" s="17">
        <f t="shared" si="69"/>
        <v>6240</v>
      </c>
      <c r="AS24" s="17">
        <f t="shared" si="70"/>
        <v>0</v>
      </c>
      <c r="AT24" s="18">
        <f t="shared" ca="1" si="71"/>
        <v>0</v>
      </c>
      <c r="AU24" s="18">
        <f t="shared" si="72"/>
        <v>0</v>
      </c>
      <c r="AV24" s="18">
        <f t="shared" si="73"/>
        <v>0</v>
      </c>
      <c r="AW24" s="22" t="s">
        <v>9</v>
      </c>
      <c r="AX24" s="17">
        <f t="shared" si="74"/>
        <v>-2118.69</v>
      </c>
      <c r="AY24" s="17">
        <f t="shared" si="87"/>
        <v>2118.69</v>
      </c>
      <c r="AZ24" s="17">
        <f t="shared" ca="1" si="89"/>
        <v>79613.909138372677</v>
      </c>
      <c r="BA24" s="17">
        <f t="shared" si="90"/>
        <v>32245.5</v>
      </c>
      <c r="BB24" s="17">
        <f t="shared" ca="1" si="102"/>
        <v>47368.409138372677</v>
      </c>
      <c r="BC24" s="17">
        <f t="shared" ca="1" si="91"/>
        <v>-359.52622536024865</v>
      </c>
      <c r="BD24" s="17">
        <f t="shared" ca="1" si="92"/>
        <v>79613.909138372677</v>
      </c>
      <c r="BE24" s="17">
        <f t="shared" si="93"/>
        <v>4108</v>
      </c>
      <c r="BF24" s="17">
        <f t="shared" ca="1" si="94"/>
        <v>75505.909138372677</v>
      </c>
      <c r="BG24" s="17">
        <f t="shared" ca="1" si="103"/>
        <v>-10570.827279372175</v>
      </c>
      <c r="BH24" s="17">
        <f t="shared" ca="1" si="104"/>
        <v>-755.05909138372681</v>
      </c>
      <c r="BI24" s="17">
        <f t="shared" ca="1" si="95"/>
        <v>68288.022767616785</v>
      </c>
      <c r="BJ24" s="17">
        <f t="shared" si="96"/>
        <v>7778.7000000000007</v>
      </c>
      <c r="BK24" s="17">
        <f t="shared" ca="1" si="105"/>
        <v>60509.322767616788</v>
      </c>
      <c r="BL24" s="17">
        <f ca="1">SUM($BK$17:BK24)</f>
        <v>514058.17078018072</v>
      </c>
      <c r="BM24" s="19">
        <f t="shared" ca="1" si="97"/>
        <v>0.27</v>
      </c>
      <c r="BN24" s="22">
        <f t="shared" ca="1" si="106"/>
        <v>0</v>
      </c>
      <c r="BO24" s="23">
        <f t="shared" ca="1" si="98"/>
        <v>0.27</v>
      </c>
      <c r="BP24" s="17">
        <f t="shared" ca="1" si="108"/>
        <v>-16337.52</v>
      </c>
      <c r="BQ24" s="17">
        <f t="shared" ca="1" si="99"/>
        <v>-12079.95</v>
      </c>
      <c r="BR24" s="23">
        <f t="shared" ca="1" si="100"/>
        <v>0.72241</v>
      </c>
      <c r="BS24" s="23">
        <f t="shared" si="107"/>
        <v>0.84240999999999999</v>
      </c>
      <c r="BT24" s="23">
        <f t="shared" ca="1" si="101"/>
        <v>0.61290999999999995</v>
      </c>
      <c r="BU24" s="16">
        <v>22</v>
      </c>
      <c r="BV24" s="24">
        <v>11</v>
      </c>
      <c r="BW24" s="25">
        <v>0.24</v>
      </c>
    </row>
    <row r="25" spans="1:75" ht="39.950000000000003" customHeight="1" x14ac:dyDescent="0.25">
      <c r="A25" s="6">
        <f t="shared" ca="1" si="59"/>
        <v>0.27</v>
      </c>
      <c r="B25" s="7" t="s">
        <v>20</v>
      </c>
      <c r="C25" s="41">
        <v>0</v>
      </c>
      <c r="D25" s="42">
        <v>0</v>
      </c>
      <c r="E25" s="42">
        <v>0</v>
      </c>
      <c r="F25" s="42">
        <v>0</v>
      </c>
      <c r="G25" s="42">
        <v>0</v>
      </c>
      <c r="H25" s="41">
        <v>26</v>
      </c>
      <c r="I25" s="43" t="s">
        <v>1</v>
      </c>
      <c r="J25" s="43" t="s">
        <v>1</v>
      </c>
      <c r="K25" s="43" t="s">
        <v>1</v>
      </c>
      <c r="L25" s="44">
        <v>0</v>
      </c>
      <c r="M25" s="44" t="s">
        <v>1</v>
      </c>
      <c r="N25" s="8">
        <f t="shared" ca="1" si="60"/>
        <v>52599.652482256512</v>
      </c>
      <c r="O25" s="8">
        <f t="shared" ca="1" si="61"/>
        <v>5920.2000000000007</v>
      </c>
      <c r="P25" s="9">
        <f t="shared" ca="1" si="83"/>
        <v>58519.852482256509</v>
      </c>
      <c r="Q25" s="68"/>
      <c r="R25" s="72"/>
      <c r="S25" s="79"/>
      <c r="T25" s="62"/>
      <c r="U25" s="64"/>
      <c r="V25" s="63"/>
      <c r="W25" s="49"/>
      <c r="X25" s="25" t="s">
        <v>36</v>
      </c>
      <c r="Y25" s="17">
        <v>2050</v>
      </c>
      <c r="Z25" s="17">
        <v>2419</v>
      </c>
      <c r="AA25" s="17">
        <v>2757.66</v>
      </c>
      <c r="AC25" s="16">
        <f>(1000)</f>
        <v>1000</v>
      </c>
      <c r="AD25" s="16" t="s">
        <v>0</v>
      </c>
      <c r="AE25" s="17">
        <f>($AC$30*$AC$25)</f>
        <v>15848.414999999999</v>
      </c>
      <c r="AF25" s="17">
        <f>($AD$30*$AC$25)</f>
        <v>15848.414999999999</v>
      </c>
      <c r="AG25" s="29">
        <f t="shared" si="88"/>
        <v>45962</v>
      </c>
      <c r="AH25" s="29">
        <f t="shared" si="62"/>
        <v>45991</v>
      </c>
      <c r="AI25" s="30">
        <f t="shared" si="84"/>
        <v>30</v>
      </c>
      <c r="AJ25" s="30">
        <f t="shared" si="85"/>
        <v>25</v>
      </c>
      <c r="AK25" s="30">
        <f t="shared" si="86"/>
        <v>5</v>
      </c>
      <c r="AL25"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M25" s="17">
        <f t="shared" ca="1" si="64"/>
        <v>1442.8514309999998</v>
      </c>
      <c r="AN25"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O25" s="17">
        <f t="shared" ca="1" si="66"/>
        <v>1596.7954891666664</v>
      </c>
      <c r="AP25" s="31">
        <f t="shared" si="67"/>
        <v>70623</v>
      </c>
      <c r="AQ25" s="17">
        <f t="shared" ca="1" si="68"/>
        <v>43285.542929999996</v>
      </c>
      <c r="AR25" s="17">
        <f t="shared" si="69"/>
        <v>6240</v>
      </c>
      <c r="AS25" s="17">
        <f t="shared" si="70"/>
        <v>0</v>
      </c>
      <c r="AT25" s="18">
        <f t="shared" ca="1" si="71"/>
        <v>0</v>
      </c>
      <c r="AU25" s="18">
        <f t="shared" si="72"/>
        <v>0</v>
      </c>
      <c r="AV25" s="18">
        <f t="shared" si="73"/>
        <v>0</v>
      </c>
      <c r="AW25" s="22" t="s">
        <v>9</v>
      </c>
      <c r="AX25" s="17">
        <f t="shared" si="74"/>
        <v>-2118.69</v>
      </c>
      <c r="AY25" s="17">
        <f t="shared" si="87"/>
        <v>2118.69</v>
      </c>
      <c r="AZ25" s="17">
        <f t="shared" ca="1" si="89"/>
        <v>157670.90913837269</v>
      </c>
      <c r="BA25" s="17">
        <f t="shared" si="90"/>
        <v>32245.5</v>
      </c>
      <c r="BB25" s="17">
        <f t="shared" ca="1" si="102"/>
        <v>125425.40913837269</v>
      </c>
      <c r="BC25" s="17">
        <f t="shared" ca="1" si="91"/>
        <v>-951.97885536024876</v>
      </c>
      <c r="BD25" s="17">
        <f t="shared" ca="1" si="92"/>
        <v>157670.90913837269</v>
      </c>
      <c r="BE25" s="17">
        <f t="shared" si="93"/>
        <v>4108</v>
      </c>
      <c r="BF25" s="17">
        <f t="shared" ca="1" si="94"/>
        <v>153562.90913837269</v>
      </c>
      <c r="BG25" s="17">
        <f t="shared" ca="1" si="103"/>
        <v>-21498.80727937218</v>
      </c>
      <c r="BH25" s="17">
        <f t="shared" ca="1" si="104"/>
        <v>-1535.629091383727</v>
      </c>
      <c r="BI25" s="17">
        <f t="shared" ca="1" si="95"/>
        <v>134636.4727676168</v>
      </c>
      <c r="BJ25" s="17">
        <f t="shared" si="96"/>
        <v>8038.8900000000012</v>
      </c>
      <c r="BK25" s="17">
        <f t="shared" ca="1" si="105"/>
        <v>126597.5827676168</v>
      </c>
      <c r="BL25" s="17">
        <f ca="1">SUM($BK$17:BK25)</f>
        <v>640655.75354779756</v>
      </c>
      <c r="BM25" s="19">
        <f t="shared" ca="1" si="97"/>
        <v>0.27</v>
      </c>
      <c r="BN25" s="22">
        <f t="shared" ca="1" si="106"/>
        <v>0</v>
      </c>
      <c r="BO25" s="23">
        <f t="shared" ca="1" si="98"/>
        <v>0.27</v>
      </c>
      <c r="BP25" s="17">
        <f t="shared" ca="1" si="108"/>
        <v>-34181.35</v>
      </c>
      <c r="BQ25" s="17">
        <f t="shared" ca="1" si="99"/>
        <v>-29760.41</v>
      </c>
      <c r="BR25" s="23">
        <f t="shared" ca="1" si="100"/>
        <v>0.72241</v>
      </c>
      <c r="BS25" s="23">
        <f t="shared" si="107"/>
        <v>0.84240999999999999</v>
      </c>
      <c r="BT25" s="23">
        <f t="shared" ca="1" si="101"/>
        <v>0.61290999999999995</v>
      </c>
      <c r="BU25" s="16">
        <v>23</v>
      </c>
      <c r="BV25" s="24">
        <v>11.5</v>
      </c>
      <c r="BW25" s="25">
        <v>0.25</v>
      </c>
    </row>
    <row r="26" spans="1:75" ht="39.950000000000003" customHeight="1" x14ac:dyDescent="0.25">
      <c r="A26" s="6">
        <f t="shared" ca="1" si="59"/>
        <v>0.27</v>
      </c>
      <c r="B26" s="7" t="s">
        <v>21</v>
      </c>
      <c r="C26" s="41">
        <v>0</v>
      </c>
      <c r="D26" s="42">
        <v>0</v>
      </c>
      <c r="E26" s="42">
        <v>0</v>
      </c>
      <c r="F26" s="42">
        <v>0</v>
      </c>
      <c r="G26" s="42">
        <v>0</v>
      </c>
      <c r="H26" s="41">
        <v>26</v>
      </c>
      <c r="I26" s="43" t="s">
        <v>1</v>
      </c>
      <c r="J26" s="43" t="s">
        <v>1</v>
      </c>
      <c r="K26" s="43" t="s">
        <v>1</v>
      </c>
      <c r="L26" s="44">
        <v>0</v>
      </c>
      <c r="M26" s="44" t="s">
        <v>1</v>
      </c>
      <c r="N26" s="8">
        <f t="shared" ca="1" si="60"/>
        <v>97328.051293256518</v>
      </c>
      <c r="O26" s="8">
        <f t="shared" ca="1" si="61"/>
        <v>5920.2000000000007</v>
      </c>
      <c r="P26" s="9">
        <f t="shared" ca="1" si="83"/>
        <v>103248.25129325652</v>
      </c>
      <c r="Q26" s="68"/>
      <c r="R26" s="72"/>
      <c r="S26" s="79"/>
      <c r="T26" s="62"/>
      <c r="U26" s="64"/>
      <c r="V26" s="63"/>
      <c r="W26" s="49"/>
      <c r="X26" s="22" t="s">
        <v>40</v>
      </c>
      <c r="Y26" s="17">
        <v>2050</v>
      </c>
      <c r="Z26" s="17">
        <v>2419</v>
      </c>
      <c r="AA26" s="17">
        <v>2757.66</v>
      </c>
      <c r="AC26" s="16">
        <f>($AC$22+$AC$23)</f>
        <v>9500</v>
      </c>
      <c r="AD26" s="16">
        <f>(2.15)</f>
        <v>2.15</v>
      </c>
      <c r="AE26" s="17">
        <f>($AC$29*$AC$26*$AD$26)</f>
        <v>20681.456299999998</v>
      </c>
      <c r="AF26" s="17">
        <f>($AD$29*$AC$26*$AD$26)</f>
        <v>20681.456299999998</v>
      </c>
      <c r="AG26" s="29">
        <f t="shared" si="88"/>
        <v>45992</v>
      </c>
      <c r="AH26" s="29">
        <f t="shared" si="62"/>
        <v>46022</v>
      </c>
      <c r="AI26" s="30">
        <f t="shared" si="84"/>
        <v>31</v>
      </c>
      <c r="AJ26" s="30">
        <f t="shared" si="85"/>
        <v>27</v>
      </c>
      <c r="AK26" s="30">
        <f t="shared" si="86"/>
        <v>4</v>
      </c>
      <c r="AL26"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M26" s="17">
        <f t="shared" ca="1" si="64"/>
        <v>1442.8514309999998</v>
      </c>
      <c r="AN26" s="17">
        <f>COUNTIF($A$1,"Amir")*($AA$21)
+COUNTIF($A$1,"Gişe")*($AA$22)
+COUNTIF($A$1,"Çıma")*($AA$23)
+COUNTIF($A$1,"Satış Görevlisi")*($AA$24)
+COUNTIF($A$1,"Ustabaşı")*($AA$25)
+COUNTIF($A$1,"İtfaiye Amiri")*($AA$26)
+COUNTIF($A$1,"Usta")*($AA$27)
+COUNTIF($A$1,"Vinç Operatörü")*($AA$28)
+COUNTIF($A$1,"Forklift Operatörü")*($AA$29)
+COUNTIF($A$1,"İtfaiyeci")*($AA$30)
+COUNTIF($A$1,"Usta Yardımcısı")*($AA$31)
+COUNTIF($A$1,"Gemi Havuzlama Personeli")*($AA$32)
+COUNTIF($A$1,"Yakıt Yağ ve Atık Personeli")*($AA$33)
+COUNTIF($A$1,"Tersane Saha Personeli")*($AA$34)</f>
        <v>2354.1</v>
      </c>
      <c r="AO26" s="17">
        <f t="shared" ca="1" si="66"/>
        <v>1596.7954891666664</v>
      </c>
      <c r="AP26" s="31">
        <f t="shared" si="67"/>
        <v>72977.099999999991</v>
      </c>
      <c r="AQ26" s="17">
        <f t="shared" ca="1" si="68"/>
        <v>44728.394360999991</v>
      </c>
      <c r="AR26" s="17">
        <f t="shared" si="69"/>
        <v>6240</v>
      </c>
      <c r="AS26" s="17">
        <f t="shared" si="70"/>
        <v>0</v>
      </c>
      <c r="AT26" s="18">
        <f t="shared" ca="1" si="71"/>
        <v>0</v>
      </c>
      <c r="AU26" s="18">
        <f t="shared" si="72"/>
        <v>0</v>
      </c>
      <c r="AV26" s="18">
        <f t="shared" si="73"/>
        <v>0</v>
      </c>
      <c r="AW26" s="22" t="s">
        <v>9</v>
      </c>
      <c r="AX26" s="17">
        <f t="shared" si="74"/>
        <v>-2118.69</v>
      </c>
      <c r="AY26" s="17">
        <f t="shared" si="87"/>
        <v>2118.69</v>
      </c>
      <c r="AZ26" s="17">
        <f t="shared" ca="1" si="89"/>
        <v>89402.009138372669</v>
      </c>
      <c r="BA26" s="17">
        <f t="shared" si="90"/>
        <v>32245.5</v>
      </c>
      <c r="BB26" s="17">
        <f t="shared" ca="1" si="102"/>
        <v>57156.509138372669</v>
      </c>
      <c r="BC26" s="17">
        <f t="shared" ca="1" si="91"/>
        <v>-433.81790436024858</v>
      </c>
      <c r="BD26" s="17">
        <f t="shared" ca="1" si="92"/>
        <v>89402.009138372669</v>
      </c>
      <c r="BE26" s="17">
        <f t="shared" si="93"/>
        <v>4108</v>
      </c>
      <c r="BF26" s="17">
        <f t="shared" ca="1" si="94"/>
        <v>85294.009138372669</v>
      </c>
      <c r="BG26" s="17">
        <f t="shared" ca="1" si="103"/>
        <v>-11941.161279372174</v>
      </c>
      <c r="BH26" s="17">
        <f t="shared" ca="1" si="104"/>
        <v>-852.94009138372667</v>
      </c>
      <c r="BI26" s="17">
        <f t="shared" ca="1" si="95"/>
        <v>76607.907767616765</v>
      </c>
      <c r="BJ26" s="17">
        <f t="shared" si="96"/>
        <v>8038.8900000000012</v>
      </c>
      <c r="BK26" s="17">
        <f t="shared" ca="1" si="105"/>
        <v>68569.017767616766</v>
      </c>
      <c r="BL26" s="17">
        <f ca="1">SUM($BK$17:BK26)</f>
        <v>709224.77131541434</v>
      </c>
      <c r="BM26" s="19">
        <f t="shared" ca="1" si="97"/>
        <v>0.27</v>
      </c>
      <c r="BN26" s="22">
        <f t="shared" ca="1" si="106"/>
        <v>0</v>
      </c>
      <c r="BO26" s="23">
        <f t="shared" ca="1" si="98"/>
        <v>0.27</v>
      </c>
      <c r="BP26" s="17">
        <f t="shared" ca="1" si="108"/>
        <v>-18513.63</v>
      </c>
      <c r="BQ26" s="17">
        <f t="shared" ca="1" si="99"/>
        <v>-14092.690000000002</v>
      </c>
      <c r="BR26" s="23">
        <f t="shared" ca="1" si="100"/>
        <v>0.72241</v>
      </c>
      <c r="BS26" s="23">
        <f t="shared" si="107"/>
        <v>0.84240999999999999</v>
      </c>
      <c r="BT26" s="23">
        <f t="shared" ca="1" si="101"/>
        <v>0.61290999999999995</v>
      </c>
      <c r="BU26" s="16">
        <v>24</v>
      </c>
      <c r="BV26" s="24">
        <v>12</v>
      </c>
      <c r="BW26" s="25">
        <v>0.26</v>
      </c>
    </row>
    <row r="27" spans="1:75" ht="39.950000000000003" customHeight="1" x14ac:dyDescent="0.25">
      <c r="A27" s="10" t="s">
        <v>0</v>
      </c>
      <c r="B27" s="11" t="s">
        <v>87</v>
      </c>
      <c r="C27" s="5" t="s">
        <v>0</v>
      </c>
      <c r="D27" s="12">
        <f>(D15+D16+D17+D18+D19+D20+D21+D22+D23+D24+D25+D26)</f>
        <v>0</v>
      </c>
      <c r="E27" s="12">
        <f>(E15+E16+E17+E18+E19+E20+E21+E22+E23+E24+E25+E26)</f>
        <v>0</v>
      </c>
      <c r="F27" s="12">
        <f>(F15+F16+F17+F18+F19+F20+F21+F22+F23+F24+F25+F26)</f>
        <v>0</v>
      </c>
      <c r="G27" s="12">
        <f>(G15+G16+G17+G18+G19+G20+G21+G22+G23+G24+G25+G26)</f>
        <v>0</v>
      </c>
      <c r="H27" s="13">
        <f>(H15+H16+H17+H18+H19+H20+H21+H22+H23+H24+H25+H26)</f>
        <v>312</v>
      </c>
      <c r="I27" s="5" t="s">
        <v>0</v>
      </c>
      <c r="J27" s="5" t="s">
        <v>0</v>
      </c>
      <c r="K27" s="5" t="s">
        <v>0</v>
      </c>
      <c r="L27" s="2" t="s">
        <v>0</v>
      </c>
      <c r="M27" s="2" t="s">
        <v>0</v>
      </c>
      <c r="N27" s="14">
        <f t="shared" ref="N27" ca="1" si="109">(N15+N16+N17+N18+N19+N20+N21+N22+N23+N24+N25+N26)</f>
        <v>730456.58164859307</v>
      </c>
      <c r="O27" s="14">
        <f t="shared" ref="O27" ca="1" si="110">(O15+O16+O17+O18+O19+O20+O21+O22+O23+O24+O25+O26)</f>
        <v>71042.399999999994</v>
      </c>
      <c r="P27" s="15">
        <f t="shared" ref="P27" ca="1" si="111">(P15+P16+P17+P18+P19+P20+P21+P22+P23+P24+P25+P26)</f>
        <v>801498.98164859321</v>
      </c>
      <c r="Q27" s="68"/>
      <c r="R27" s="72"/>
      <c r="S27" s="79"/>
      <c r="T27" s="62"/>
      <c r="U27" s="64"/>
      <c r="V27" s="63"/>
      <c r="W27" s="49"/>
      <c r="X27" s="22" t="s">
        <v>37</v>
      </c>
      <c r="Y27" s="17">
        <v>1800</v>
      </c>
      <c r="Z27" s="17">
        <v>2124</v>
      </c>
      <c r="AA27" s="17">
        <v>2421.36</v>
      </c>
      <c r="AC27" s="16" t="s">
        <v>0</v>
      </c>
      <c r="AD27" s="16" t="s">
        <v>0</v>
      </c>
      <c r="AE27" s="17">
        <f>($AE$22+$AE$23+$AE$24+$AE$25+$AE$26)</f>
        <v>46655.431299999997</v>
      </c>
      <c r="AF27" s="17">
        <f>($AF$22+$AF$23+$AF$24+$AF$25+$AF$26)</f>
        <v>46655.431299999997</v>
      </c>
      <c r="AG27" s="27" t="s">
        <v>0</v>
      </c>
      <c r="AH27" s="27" t="s">
        <v>0</v>
      </c>
      <c r="AI27" s="33">
        <f>(AI15+AI16+AI17+AI18+AI19+AI20+AI21+AI22+AI23+AI24+AI25+AI26)</f>
        <v>365</v>
      </c>
      <c r="AJ27" s="33">
        <f>(AJ15+AJ16+AJ17+AJ18+AJ19+AJ20+AJ21+AJ22+AJ23+AJ24+AJ25+AJ26)</f>
        <v>313</v>
      </c>
      <c r="AK27" s="33">
        <f>(AK15+AK16+AK17+AK18+AK19+AK20+AK21+AK22+AK23+AK24+AK25+AK26)</f>
        <v>52</v>
      </c>
      <c r="AL27" s="17">
        <f>(AL15+AL16+AL17+AL18+AL19+AL20+AL21+AL22+AL23+AL24+AL25+AL26)</f>
        <v>24046.399999999994</v>
      </c>
      <c r="AM27" s="17">
        <f t="shared" ref="AM27:AO27" ca="1" si="112">(AM15+AM16+AM17+AM18+AM19+AM20+AM21+AM22+AM23+AM24+AM25+AM26)</f>
        <v>15487.740520898027</v>
      </c>
      <c r="AN27" s="17">
        <f t="shared" si="112"/>
        <v>24046.399999999994</v>
      </c>
      <c r="AO27" s="17">
        <f t="shared" ca="1" si="112"/>
        <v>17071.734218898033</v>
      </c>
      <c r="AP27" s="17">
        <f t="shared" ref="AP27:AQ27" si="113">(AP15+AP16+AP17+AP18+AP19+AP20+AP21+AP22+AP23+AP24+AP25+AP26)</f>
        <v>731980.2</v>
      </c>
      <c r="AQ27" s="17">
        <f t="shared" ca="1" si="113"/>
        <v>471196.80127338192</v>
      </c>
      <c r="AR27" s="17">
        <f t="shared" ref="AR27" si="114">(AR15+AR16+AR17+AR18+AR19+AR20+AR21+AR22+AR23+AR24+AR25+AR26)</f>
        <v>74880</v>
      </c>
      <c r="AS27" s="17">
        <f>(AS15+AS16+AS17+AS18+AS19+AS20+AS21+AS22+AS23+AS24+AS25+AS26)</f>
        <v>0</v>
      </c>
      <c r="AT27" s="17">
        <f t="shared" ref="AT27" ca="1" si="115">(AT15+AT16+AT17+AT18+AT19+AT20+AT21+AT22+AT23+AT24+AT25+AT26)</f>
        <v>3580.373705659706</v>
      </c>
      <c r="AU27" s="17">
        <f t="shared" ref="AU27" si="116">(AU15+AU16+AU17+AU18+AU19+AU20+AU21+AU22+AU23+AU24+AU25+AU26)</f>
        <v>0</v>
      </c>
      <c r="AV27" s="17">
        <f t="shared" ref="AV27" si="117">(AV15+AV16+AV17+AV18+AV19+AV20+AV21+AV22+AV23+AV24+AV25+AV26)</f>
        <v>2500</v>
      </c>
      <c r="AW27" s="27" t="s">
        <v>0</v>
      </c>
      <c r="AX27" s="17">
        <f t="shared" ref="AX27:AY27" si="118">(AX15+AX16+AX17+AX18+AX19+AX20+AX21+AX22+AX23+AX24+AX25+AX26)</f>
        <v>-21641.759999999998</v>
      </c>
      <c r="AY27" s="17">
        <f t="shared" si="118"/>
        <v>21641.759999999998</v>
      </c>
      <c r="AZ27" s="17">
        <f t="shared" ca="1" si="89"/>
        <v>87047.909138372677</v>
      </c>
      <c r="BA27" s="17">
        <f t="shared" si="90"/>
        <v>32245.5</v>
      </c>
      <c r="BB27" s="17">
        <f t="shared" ca="1" si="102"/>
        <v>54802.409138372677</v>
      </c>
      <c r="BC27" s="17">
        <f t="shared" ca="1" si="91"/>
        <v>-415.95028536024864</v>
      </c>
      <c r="BD27" s="17">
        <f t="shared" ca="1" si="92"/>
        <v>87047.909138372677</v>
      </c>
      <c r="BE27" s="17">
        <f t="shared" si="93"/>
        <v>4108</v>
      </c>
      <c r="BF27" s="17">
        <f t="shared" ca="1" si="94"/>
        <v>82939.909138372677</v>
      </c>
      <c r="BG27" s="17">
        <f t="shared" ca="1" si="103"/>
        <v>-11611.587279372176</v>
      </c>
      <c r="BH27" s="17">
        <f t="shared" ca="1" si="104"/>
        <v>-829.39909138372684</v>
      </c>
      <c r="BI27" s="17">
        <f t="shared" ca="1" si="95"/>
        <v>74606.922767616765</v>
      </c>
      <c r="BJ27" s="17">
        <f t="shared" si="96"/>
        <v>8038.8900000000012</v>
      </c>
      <c r="BK27" s="17">
        <f t="shared" ca="1" si="105"/>
        <v>66568.032767616765</v>
      </c>
      <c r="BL27" s="17">
        <f ca="1">SUM($BK$17:BK27)</f>
        <v>775792.80408303114</v>
      </c>
      <c r="BM27" s="19">
        <f t="shared" ca="1" si="97"/>
        <v>0.27</v>
      </c>
      <c r="BN27" s="22">
        <f t="shared" ca="1" si="106"/>
        <v>0</v>
      </c>
      <c r="BO27" s="23">
        <f t="shared" ca="1" si="98"/>
        <v>0.27</v>
      </c>
      <c r="BP27" s="17">
        <f t="shared" ca="1" si="108"/>
        <v>-17973.37</v>
      </c>
      <c r="BQ27" s="17">
        <f t="shared" ca="1" si="99"/>
        <v>-13552.43</v>
      </c>
      <c r="BR27" s="23">
        <f t="shared" ca="1" si="100"/>
        <v>0.72241</v>
      </c>
      <c r="BS27" s="23">
        <f t="shared" si="107"/>
        <v>0.84240999999999999</v>
      </c>
      <c r="BT27" s="23">
        <f t="shared" ca="1" si="101"/>
        <v>0.61290999999999995</v>
      </c>
      <c r="BU27" s="16">
        <v>25</v>
      </c>
      <c r="BV27" s="24">
        <v>12.5</v>
      </c>
      <c r="BW27" s="25">
        <v>0.27</v>
      </c>
    </row>
    <row r="28" spans="1:75" ht="39.950000000000003" customHeight="1" x14ac:dyDescent="0.25">
      <c r="A28" s="6">
        <f ca="1">(BO30)</f>
        <v>0.22801336151831755</v>
      </c>
      <c r="B28" s="11" t="s">
        <v>88</v>
      </c>
      <c r="C28" s="5" t="s">
        <v>0</v>
      </c>
      <c r="D28" s="13" t="s">
        <v>0</v>
      </c>
      <c r="E28" s="13" t="s">
        <v>0</v>
      </c>
      <c r="F28" s="5" t="s">
        <v>0</v>
      </c>
      <c r="G28" s="5" t="s">
        <v>0</v>
      </c>
      <c r="H28" s="5" t="s">
        <v>0</v>
      </c>
      <c r="I28" s="5" t="s">
        <v>0</v>
      </c>
      <c r="J28" s="5" t="s">
        <v>0</v>
      </c>
      <c r="K28" s="5" t="s">
        <v>0</v>
      </c>
      <c r="L28" s="5" t="s">
        <v>0</v>
      </c>
      <c r="M28" s="5" t="s">
        <v>0</v>
      </c>
      <c r="N28" s="14">
        <f ca="1">(N27/12)</f>
        <v>60871.381804049422</v>
      </c>
      <c r="O28" s="14">
        <f ca="1">(O27/12)</f>
        <v>5920.2</v>
      </c>
      <c r="P28" s="15">
        <f ca="1">(P27/12)</f>
        <v>66791.581804049434</v>
      </c>
      <c r="Q28" s="68"/>
      <c r="R28" s="72"/>
      <c r="S28" s="79"/>
      <c r="T28" s="69"/>
      <c r="U28" s="70"/>
      <c r="V28" s="71"/>
      <c r="W28" s="50"/>
      <c r="X28" s="25" t="s">
        <v>38</v>
      </c>
      <c r="Y28" s="17">
        <v>1800</v>
      </c>
      <c r="Z28" s="17">
        <v>2124</v>
      </c>
      <c r="AA28" s="17">
        <v>2421.36</v>
      </c>
      <c r="AG28" s="27" t="s">
        <v>0</v>
      </c>
      <c r="AH28" s="27" t="s">
        <v>0</v>
      </c>
      <c r="AI28" s="27" t="s">
        <v>0</v>
      </c>
      <c r="AJ28" s="27" t="s">
        <v>0</v>
      </c>
      <c r="AK28" s="27" t="s">
        <v>0</v>
      </c>
      <c r="AL28" s="17">
        <f>(AL27/12)</f>
        <v>2003.8666666666661</v>
      </c>
      <c r="AM28" s="17">
        <f t="shared" ref="AM28:AO28" ca="1" si="119">(AM27/12)</f>
        <v>1290.6450434081689</v>
      </c>
      <c r="AN28" s="17">
        <f t="shared" si="119"/>
        <v>2003.8666666666661</v>
      </c>
      <c r="AO28" s="17">
        <f t="shared" ca="1" si="119"/>
        <v>1422.6445182415027</v>
      </c>
      <c r="AP28" s="17">
        <f t="shared" ref="AP28:AQ28" si="120">(AP27/12)</f>
        <v>60998.35</v>
      </c>
      <c r="AQ28" s="17">
        <f t="shared" ca="1" si="120"/>
        <v>39266.400106115158</v>
      </c>
      <c r="AR28" s="17">
        <f t="shared" ref="AR28" si="121">(AR27/12)</f>
        <v>6240</v>
      </c>
      <c r="AS28" s="17">
        <f>(AS27/12)</f>
        <v>0</v>
      </c>
      <c r="AT28" s="17">
        <f t="shared" ref="AT28" ca="1" si="122">AT27/12</f>
        <v>298.36447547164215</v>
      </c>
      <c r="AU28" s="17">
        <f t="shared" ref="AU28" si="123">AU27/12</f>
        <v>0</v>
      </c>
      <c r="AV28" s="17">
        <f t="shared" ref="AV28" si="124">AV27/12</f>
        <v>208.33333333333334</v>
      </c>
      <c r="AW28" s="27" t="s">
        <v>0</v>
      </c>
      <c r="AX28" s="17">
        <f t="shared" ref="AX28:AY28" si="125">(AX27/12)</f>
        <v>-1803.4799999999998</v>
      </c>
      <c r="AY28" s="17">
        <f t="shared" si="125"/>
        <v>1803.4799999999998</v>
      </c>
      <c r="AZ28" s="17">
        <f t="shared" ca="1" si="89"/>
        <v>160025.00913837267</v>
      </c>
      <c r="BA28" s="17">
        <f t="shared" si="90"/>
        <v>32245.5</v>
      </c>
      <c r="BB28" s="17">
        <f t="shared" ca="1" si="102"/>
        <v>127779.50913837267</v>
      </c>
      <c r="BC28" s="17">
        <f t="shared" ca="1" si="91"/>
        <v>-969.84647436024864</v>
      </c>
      <c r="BD28" s="17">
        <f t="shared" ca="1" si="92"/>
        <v>160025.00913837267</v>
      </c>
      <c r="BE28" s="17">
        <f t="shared" si="93"/>
        <v>4108</v>
      </c>
      <c r="BF28" s="17">
        <f t="shared" ca="1" si="94"/>
        <v>155917.00913837267</v>
      </c>
      <c r="BG28" s="17">
        <f t="shared" ca="1" si="103"/>
        <v>-21828.381279372177</v>
      </c>
      <c r="BH28" s="17">
        <f t="shared" ca="1" si="104"/>
        <v>-1559.1700913837267</v>
      </c>
      <c r="BI28" s="17">
        <f t="shared" ca="1" si="95"/>
        <v>136637.45776761678</v>
      </c>
      <c r="BJ28" s="17">
        <f t="shared" si="96"/>
        <v>8038.8900000000012</v>
      </c>
      <c r="BK28" s="17">
        <f t="shared" ca="1" si="105"/>
        <v>128598.56776761678</v>
      </c>
      <c r="BL28" s="17">
        <f ca="1">SUM($BK$17:BK28)</f>
        <v>904391.37185064796</v>
      </c>
      <c r="BM28" s="19">
        <f t="shared" ca="1" si="97"/>
        <v>0.27</v>
      </c>
      <c r="BN28" s="22">
        <f t="shared" ca="1" si="106"/>
        <v>0</v>
      </c>
      <c r="BO28" s="23">
        <f t="shared" ca="1" si="98"/>
        <v>0.27</v>
      </c>
      <c r="BP28" s="17">
        <f t="shared" ca="1" si="108"/>
        <v>-34721.61</v>
      </c>
      <c r="BQ28" s="17">
        <f t="shared" ca="1" si="99"/>
        <v>-30300.670000000002</v>
      </c>
      <c r="BR28" s="23">
        <f t="shared" ca="1" si="100"/>
        <v>0.72241</v>
      </c>
      <c r="BS28" s="23">
        <f t="shared" si="107"/>
        <v>0.84240999999999999</v>
      </c>
      <c r="BT28" s="23">
        <f t="shared" ca="1" si="101"/>
        <v>0.61290999999999995</v>
      </c>
      <c r="BU28" s="16">
        <v>26</v>
      </c>
      <c r="BV28" s="24">
        <v>13</v>
      </c>
      <c r="BW28" s="25">
        <v>0.28000000000000003</v>
      </c>
    </row>
    <row r="29" spans="1:75" ht="39.950000000000003" hidden="1" customHeight="1" x14ac:dyDescent="0.25">
      <c r="X29" s="25" t="s">
        <v>39</v>
      </c>
      <c r="Y29" s="17">
        <v>1750</v>
      </c>
      <c r="Z29" s="17">
        <v>2065</v>
      </c>
      <c r="AA29" s="17">
        <v>2354.1</v>
      </c>
      <c r="AC29" s="34">
        <v>1.012556</v>
      </c>
      <c r="AD29" s="34">
        <v>1.012556</v>
      </c>
      <c r="AE29" s="16" t="s">
        <v>0</v>
      </c>
      <c r="AF29" s="22" t="s">
        <v>0</v>
      </c>
      <c r="AG29" s="17">
        <f t="shared" ref="AG29:AG40" si="126">(AS15*0.00759*-1)</f>
        <v>0</v>
      </c>
      <c r="AH29" s="17">
        <f t="shared" ref="AH29:AH40" si="127">(AS1)</f>
        <v>6240</v>
      </c>
      <c r="AI29" s="17">
        <f t="shared" ref="AI29:AI34" si="128">IF($AE$13*H15&gt;=AH29,AH29,$AE$13*H15)</f>
        <v>4108</v>
      </c>
      <c r="AJ29" s="17">
        <f>(AH29-AI29)</f>
        <v>2132</v>
      </c>
      <c r="AK29" s="17">
        <f>(AJ29*0.14*-1)</f>
        <v>-298.48</v>
      </c>
      <c r="AL29" s="17">
        <f>(AJ29*0.01*-1)</f>
        <v>-21.32</v>
      </c>
      <c r="AM29" s="17">
        <f t="shared" ref="AM29:AM40" si="129">(AS1+AK29+AL29)</f>
        <v>5920.2000000000007</v>
      </c>
      <c r="AN29" s="17">
        <f t="shared" ref="AN29:AN34" si="130">IF($AE$14*H15&gt;=AM29,AM29,$AE$14*H15)</f>
        <v>5920.2000000000007</v>
      </c>
      <c r="AO29" s="17">
        <f>IF(AM29-AN29&lt;=0,0,AM29-AN29)</f>
        <v>0</v>
      </c>
      <c r="AP29" s="17">
        <f t="shared" ref="AP29:AP40" ca="1" si="131">IF(AO29*BO17*-1&gt;=0,0,AO29*BO17*-1)</f>
        <v>0</v>
      </c>
      <c r="AQ29" s="33">
        <v>30</v>
      </c>
      <c r="AR29" s="17">
        <f t="shared" ref="AR29:AR40" ca="1" si="132">(AS29/BT17/30*AQ29)</f>
        <v>2529.455922190672</v>
      </c>
      <c r="AS29" s="17">
        <f>(1570/30*17+2120/30*13)</f>
        <v>1808.3333333333335</v>
      </c>
      <c r="AT29" s="17">
        <f t="shared" ref="AT29:AT34" si="133">($AE$8)</f>
        <v>26005.5</v>
      </c>
      <c r="AU29" s="17">
        <f>(AT29)</f>
        <v>26005.5</v>
      </c>
      <c r="AV29" s="17">
        <f>(AT29-AU29)</f>
        <v>0</v>
      </c>
      <c r="AW29" s="17">
        <f t="shared" ref="AW29:AW40" si="134">(AV29*0.00759*-1)</f>
        <v>0</v>
      </c>
      <c r="AX29" s="17">
        <f>(AT29*0.00759)</f>
        <v>197.38174500000002</v>
      </c>
      <c r="AY29" s="17">
        <f t="shared" ref="AY29:AY40" si="135">(AT29)</f>
        <v>26005.5</v>
      </c>
      <c r="AZ29" s="17">
        <f t="shared" ref="AZ29:BA29" ca="1" si="136">(AZ17+AZ18+AZ19+AZ20+AZ21+AZ22+AZ23+AZ24+AZ25+AZ26+AZ27+AZ28)</f>
        <v>1164330.7433537033</v>
      </c>
      <c r="BA29" s="17">
        <f t="shared" si="136"/>
        <v>386946</v>
      </c>
      <c r="BB29" s="17">
        <f t="shared" ref="BB29" ca="1" si="137">(BB17+BB18+BB19+BB20+BB21+BB22+BB23+BB24+BB25+BB26+BB27+BB28)</f>
        <v>777384.74335370329</v>
      </c>
      <c r="BC29" s="17">
        <f t="shared" ref="BC29" ca="1" si="138">(BC17+BC18+BC19+BC20+BC21+BC22+BC23+BC24+BC25+BC26+BC27+BC28)</f>
        <v>-5900.3502020546084</v>
      </c>
      <c r="BD29" s="17">
        <f t="shared" ref="BD29" ca="1" si="139">(BD17+BD18+BD19+BD20+BD21+BD22+BD23+BD24+BD25+BD26+BD27+BD28)</f>
        <v>1164330.7433537033</v>
      </c>
      <c r="BE29" s="17">
        <f t="shared" ref="BE29" si="140">(BE17+BE18+BE19+BE20+BE21+BE22+BE23+BE24+BE25+BE26+BE27+BE28)</f>
        <v>49296</v>
      </c>
      <c r="BF29" s="17">
        <f t="shared" ref="BF29" ca="1" si="141">(BF17+BF18+BF19+BF20+BF21+BF22+BF23+BF24+BF25+BF26+BF27+BF28)</f>
        <v>1115034.7433537033</v>
      </c>
      <c r="BG29" s="17">
        <f t="shared" ref="BG29" ca="1" si="142">(BG17+BG18+BG19+BG20+BG21+BG22+BG23+BG24+BG25+BG26+BG27+BG28)</f>
        <v>-156104.86406951846</v>
      </c>
      <c r="BH29" s="17">
        <f t="shared" ref="BH29" ca="1" si="143">(BH17+BH18+BH19+BH20+BH21+BH22+BH23+BH24+BH25+BH26+BH27+BH28)</f>
        <v>-11150.347433537032</v>
      </c>
      <c r="BI29" s="17">
        <f t="shared" ref="BI29:BK29" ca="1" si="144">(BI17+BI18+BI19+BI20+BI21+BI22+BI23+BI24+BI25+BI26+BI27+BI28)</f>
        <v>997075.53185064788</v>
      </c>
      <c r="BJ29" s="17">
        <f t="shared" ref="BJ29" si="145">(BJ17+BJ18+BJ19+BJ20+BJ21+BJ22+BJ23+BJ24+BJ25+BJ26+BJ27+BJ28)</f>
        <v>92684.159999999989</v>
      </c>
      <c r="BK29" s="17">
        <f t="shared" ca="1" si="144"/>
        <v>904391.37185064796</v>
      </c>
      <c r="BL29" s="27" t="s">
        <v>0</v>
      </c>
      <c r="BM29" s="16" t="s">
        <v>0</v>
      </c>
      <c r="BN29" s="16" t="s">
        <v>0</v>
      </c>
      <c r="BO29" s="20">
        <f t="shared" ref="BO29:BP29" ca="1" si="146">(BO17+BO18+BO19+BO20+BO21+BO22+BO23+BO24+BO25+BO26+BO27+BO28)</f>
        <v>2.7361603382198108</v>
      </c>
      <c r="BP29" s="17">
        <f t="shared" ca="1" si="146"/>
        <v>-213185.66999999998</v>
      </c>
      <c r="BQ29" s="17">
        <f t="shared" ref="BQ29" ca="1" si="147">(BQ17+BQ18+BQ19+BQ20+BQ21+BQ22+BQ23+BQ24+BQ25+BQ26+BQ27+BQ28)</f>
        <v>-168034.44000000003</v>
      </c>
      <c r="BR29" s="16" t="s">
        <v>0</v>
      </c>
      <c r="BS29" s="16" t="s">
        <v>0</v>
      </c>
      <c r="BT29" s="16" t="s">
        <v>0</v>
      </c>
      <c r="BU29" s="16">
        <v>27</v>
      </c>
      <c r="BV29" s="24">
        <v>13.5</v>
      </c>
      <c r="BW29" s="25">
        <v>0.28999999999999998</v>
      </c>
    </row>
    <row r="30" spans="1:75" ht="39.950000000000003" hidden="1" customHeight="1" x14ac:dyDescent="0.25">
      <c r="X30" s="22" t="s">
        <v>43</v>
      </c>
      <c r="Y30" s="17">
        <v>1750</v>
      </c>
      <c r="Z30" s="17">
        <v>2065</v>
      </c>
      <c r="AA30" s="17">
        <v>2354.1</v>
      </c>
      <c r="AC30" s="34">
        <v>15.848414999999999</v>
      </c>
      <c r="AD30" s="34">
        <v>15.848414999999999</v>
      </c>
      <c r="AE30" s="16" t="s">
        <v>0</v>
      </c>
      <c r="AF30" s="22" t="s">
        <v>0</v>
      </c>
      <c r="AG30" s="17">
        <f t="shared" si="126"/>
        <v>0</v>
      </c>
      <c r="AH30" s="17">
        <f t="shared" si="127"/>
        <v>6240</v>
      </c>
      <c r="AI30" s="17">
        <f t="shared" si="128"/>
        <v>4108</v>
      </c>
      <c r="AJ30" s="17">
        <f t="shared" ref="AJ30:AJ40" si="148">(AH30-AI30)</f>
        <v>2132</v>
      </c>
      <c r="AK30" s="17">
        <f t="shared" ref="AK30:AK40" si="149">(AJ30*0.14*-1)</f>
        <v>-298.48</v>
      </c>
      <c r="AL30" s="17">
        <f t="shared" ref="AL30:AL40" si="150">(AJ30*0.01*-1)</f>
        <v>-21.32</v>
      </c>
      <c r="AM30" s="17">
        <f t="shared" si="129"/>
        <v>5920.2000000000007</v>
      </c>
      <c r="AN30" s="17">
        <f t="shared" si="130"/>
        <v>5920.2000000000007</v>
      </c>
      <c r="AO30" s="17">
        <f t="shared" ref="AO30:AO40" si="151">IF(AM30-AN30&lt;=0,0,AM30-AN30)</f>
        <v>0</v>
      </c>
      <c r="AP30" s="17">
        <f t="shared" ca="1" si="131"/>
        <v>0</v>
      </c>
      <c r="AQ30" s="33">
        <v>30</v>
      </c>
      <c r="AR30" s="17">
        <f t="shared" ca="1" si="132"/>
        <v>2965.4082332041794</v>
      </c>
      <c r="AS30" s="17">
        <f>(2120/30*AQ30)</f>
        <v>2120</v>
      </c>
      <c r="AT30" s="17">
        <f t="shared" si="133"/>
        <v>26005.5</v>
      </c>
      <c r="AU30" s="17">
        <f t="shared" ref="AU30:AU40" si="152">(AT30)</f>
        <v>26005.5</v>
      </c>
      <c r="AV30" s="17">
        <f t="shared" ref="AV30:AV40" si="153">(AT30-AU30)</f>
        <v>0</v>
      </c>
      <c r="AW30" s="17">
        <f t="shared" si="134"/>
        <v>0</v>
      </c>
      <c r="AX30" s="17">
        <f t="shared" ref="AX30:AX40" si="154">(AT30*0.00759)</f>
        <v>197.38174500000002</v>
      </c>
      <c r="AY30" s="17">
        <f t="shared" si="135"/>
        <v>26005.5</v>
      </c>
      <c r="AZ30" s="17">
        <f t="shared" ref="AZ30:BA30" ca="1" si="155">(AZ29/12)</f>
        <v>97027.561946141941</v>
      </c>
      <c r="BA30" s="17">
        <f t="shared" si="155"/>
        <v>32245.5</v>
      </c>
      <c r="BB30" s="17">
        <f t="shared" ref="BB30" ca="1" si="156">(BB29/12)</f>
        <v>64782.061946141941</v>
      </c>
      <c r="BC30" s="17">
        <f t="shared" ref="BC30" ca="1" si="157">(BC29/12)</f>
        <v>-491.69585017121739</v>
      </c>
      <c r="BD30" s="17">
        <f t="shared" ref="BD30" ca="1" si="158">(BD29/12)</f>
        <v>97027.561946141941</v>
      </c>
      <c r="BE30" s="17">
        <f t="shared" ref="BE30" si="159">(BE29/12)</f>
        <v>4108</v>
      </c>
      <c r="BF30" s="17">
        <f t="shared" ref="BF30" ca="1" si="160">(BF29/12)</f>
        <v>92919.561946141941</v>
      </c>
      <c r="BG30" s="17">
        <f t="shared" ref="BG30" ca="1" si="161">(BG29/12)</f>
        <v>-13008.738672459871</v>
      </c>
      <c r="BH30" s="17">
        <f t="shared" ref="BH30" ca="1" si="162">(BH29/12)</f>
        <v>-929.19561946141937</v>
      </c>
      <c r="BI30" s="17">
        <f t="shared" ref="BI30:BK30" ca="1" si="163">(BI29/12)</f>
        <v>83089.627654220661</v>
      </c>
      <c r="BJ30" s="17">
        <f t="shared" ref="BJ30" si="164">(BJ29/12)</f>
        <v>7723.6799999999994</v>
      </c>
      <c r="BK30" s="17">
        <f t="shared" ca="1" si="163"/>
        <v>75365.947654220668</v>
      </c>
      <c r="BL30" s="27" t="s">
        <v>0</v>
      </c>
      <c r="BM30" s="27" t="s">
        <v>0</v>
      </c>
      <c r="BN30" s="27" t="s">
        <v>0</v>
      </c>
      <c r="BO30" s="20">
        <f t="shared" ref="BO30:BP30" ca="1" si="165">(BO29/12)</f>
        <v>0.22801336151831755</v>
      </c>
      <c r="BP30" s="17">
        <f t="shared" ca="1" si="165"/>
        <v>-17765.4725</v>
      </c>
      <c r="BQ30" s="17">
        <f t="shared" ref="BQ30" ca="1" si="166">(BQ29/12)</f>
        <v>-14002.870000000003</v>
      </c>
      <c r="BR30" s="27" t="s">
        <v>0</v>
      </c>
      <c r="BS30" s="27" t="s">
        <v>0</v>
      </c>
      <c r="BT30" s="27" t="s">
        <v>0</v>
      </c>
      <c r="BU30" s="16">
        <v>28</v>
      </c>
      <c r="BV30" s="24">
        <v>14</v>
      </c>
      <c r="BW30" s="25">
        <v>0.3</v>
      </c>
    </row>
    <row r="31" spans="1:75" ht="39.950000000000003" hidden="1" customHeight="1" x14ac:dyDescent="0.25">
      <c r="X31" s="25" t="s">
        <v>41</v>
      </c>
      <c r="Y31" s="17">
        <v>1675</v>
      </c>
      <c r="Z31" s="17">
        <v>1976.5</v>
      </c>
      <c r="AA31" s="17">
        <v>2253.21</v>
      </c>
      <c r="AC31" s="34">
        <v>0.32111499999999998</v>
      </c>
      <c r="AD31" s="34">
        <v>0.32111499999999998</v>
      </c>
      <c r="AE31" s="16" t="s">
        <v>0</v>
      </c>
      <c r="AF31" s="22" t="s">
        <v>0</v>
      </c>
      <c r="AG31" s="17">
        <f t="shared" si="126"/>
        <v>0</v>
      </c>
      <c r="AH31" s="17">
        <f t="shared" si="127"/>
        <v>6240</v>
      </c>
      <c r="AI31" s="17">
        <f t="shared" si="128"/>
        <v>4108</v>
      </c>
      <c r="AJ31" s="17">
        <f t="shared" si="148"/>
        <v>2132</v>
      </c>
      <c r="AK31" s="17">
        <f t="shared" si="149"/>
        <v>-298.48</v>
      </c>
      <c r="AL31" s="17">
        <f t="shared" si="150"/>
        <v>-21.32</v>
      </c>
      <c r="AM31" s="17">
        <f t="shared" si="129"/>
        <v>5920.2000000000007</v>
      </c>
      <c r="AN31" s="17">
        <f t="shared" si="130"/>
        <v>5920.2000000000007</v>
      </c>
      <c r="AO31" s="17">
        <f t="shared" si="151"/>
        <v>0</v>
      </c>
      <c r="AP31" s="17">
        <f t="shared" ca="1" si="131"/>
        <v>0</v>
      </c>
      <c r="AQ31" s="33">
        <v>30</v>
      </c>
      <c r="AR31" s="17">
        <f t="shared" ca="1" si="132"/>
        <v>3036.1569023994307</v>
      </c>
      <c r="AS31" s="17">
        <f t="shared" ref="AS31:AS40" si="167">(2120/30*AQ31)</f>
        <v>2120</v>
      </c>
      <c r="AT31" s="17">
        <f t="shared" si="133"/>
        <v>26005.5</v>
      </c>
      <c r="AU31" s="17">
        <f t="shared" si="152"/>
        <v>26005.5</v>
      </c>
      <c r="AV31" s="17">
        <f t="shared" si="153"/>
        <v>0</v>
      </c>
      <c r="AW31" s="17">
        <f t="shared" si="134"/>
        <v>0</v>
      </c>
      <c r="AX31" s="17">
        <f t="shared" si="154"/>
        <v>197.38174500000002</v>
      </c>
      <c r="AY31" s="17">
        <f t="shared" si="135"/>
        <v>26005.5</v>
      </c>
      <c r="AZ31" s="17">
        <f t="shared" ref="AZ31:AZ42" ca="1" si="168">(AZ17)</f>
        <v>68019.455922190682</v>
      </c>
      <c r="BA31" s="17">
        <f ca="1">(AZ31*0.205)</f>
        <v>13943.988464049089</v>
      </c>
      <c r="BB31" s="17">
        <f ca="1">(AZ31*0.01)</f>
        <v>680.19455922190684</v>
      </c>
      <c r="BC31" s="17">
        <f ca="1">(AZ31*0.05*-1)</f>
        <v>-3400.9727961095341</v>
      </c>
      <c r="BD31" s="17">
        <f ca="1">(AZ31+BA31+BB31+BC31)</f>
        <v>79242.666149352153</v>
      </c>
      <c r="BU31" s="16">
        <v>29</v>
      </c>
      <c r="BV31" s="24">
        <v>14.5</v>
      </c>
      <c r="BW31" s="25">
        <v>0.31</v>
      </c>
    </row>
    <row r="32" spans="1:75" ht="39.950000000000003" hidden="1" customHeight="1" x14ac:dyDescent="0.25">
      <c r="X32" s="25" t="s">
        <v>42</v>
      </c>
      <c r="Y32" s="17">
        <v>1600</v>
      </c>
      <c r="Z32" s="17">
        <v>1888</v>
      </c>
      <c r="AA32" s="17">
        <v>2152.3200000000002</v>
      </c>
      <c r="AG32" s="17">
        <f t="shared" si="126"/>
        <v>0</v>
      </c>
      <c r="AH32" s="17">
        <f t="shared" si="127"/>
        <v>6240</v>
      </c>
      <c r="AI32" s="17">
        <f t="shared" si="128"/>
        <v>4108</v>
      </c>
      <c r="AJ32" s="17">
        <f t="shared" si="148"/>
        <v>2132</v>
      </c>
      <c r="AK32" s="17">
        <f t="shared" si="149"/>
        <v>-298.48</v>
      </c>
      <c r="AL32" s="17">
        <f t="shared" si="150"/>
        <v>-21.32</v>
      </c>
      <c r="AM32" s="17">
        <f t="shared" si="129"/>
        <v>5920.2000000000007</v>
      </c>
      <c r="AN32" s="17">
        <f t="shared" si="130"/>
        <v>5920.2000000000007</v>
      </c>
      <c r="AO32" s="17">
        <f t="shared" si="151"/>
        <v>0</v>
      </c>
      <c r="AP32" s="17">
        <f t="shared" ca="1" si="131"/>
        <v>0</v>
      </c>
      <c r="AQ32" s="33">
        <v>30</v>
      </c>
      <c r="AR32" s="17">
        <f t="shared" ca="1" si="132"/>
        <v>3152.8382980621946</v>
      </c>
      <c r="AS32" s="17">
        <f t="shared" si="167"/>
        <v>2120</v>
      </c>
      <c r="AT32" s="17">
        <f t="shared" si="133"/>
        <v>26005.5</v>
      </c>
      <c r="AU32" s="17">
        <f t="shared" si="152"/>
        <v>26005.5</v>
      </c>
      <c r="AV32" s="17">
        <f t="shared" si="153"/>
        <v>0</v>
      </c>
      <c r="AW32" s="17">
        <f t="shared" si="134"/>
        <v>0</v>
      </c>
      <c r="AX32" s="17">
        <f t="shared" si="154"/>
        <v>197.38174500000002</v>
      </c>
      <c r="AY32" s="17">
        <f t="shared" si="135"/>
        <v>26005.5</v>
      </c>
      <c r="AZ32" s="17">
        <f t="shared" ca="1" si="168"/>
        <v>63205.40823320418</v>
      </c>
      <c r="BA32" s="17">
        <f t="shared" ref="BA32:BA42" ca="1" si="169">(AZ32*0.205)</f>
        <v>12957.108687806856</v>
      </c>
      <c r="BB32" s="17">
        <f t="shared" ref="BB32:BB42" ca="1" si="170">(AZ32*0.01)</f>
        <v>632.05408233204184</v>
      </c>
      <c r="BC32" s="17">
        <f t="shared" ref="BC32:BC42" ca="1" si="171">(AZ32*0.05*-1)</f>
        <v>-3160.270411660209</v>
      </c>
      <c r="BD32" s="17">
        <f t="shared" ref="BD32:BD42" ca="1" si="172">(AZ32+BA32+BB32+BC32)</f>
        <v>73634.30059168287</v>
      </c>
      <c r="BU32" s="16">
        <v>30</v>
      </c>
      <c r="BV32" s="24">
        <v>15</v>
      </c>
      <c r="BW32" s="25">
        <v>0.32</v>
      </c>
    </row>
    <row r="33" spans="24:75" ht="39.950000000000003" hidden="1" customHeight="1" x14ac:dyDescent="0.25">
      <c r="X33" s="22" t="s">
        <v>44</v>
      </c>
      <c r="Y33" s="17">
        <v>1600</v>
      </c>
      <c r="Z33" s="17">
        <v>1888</v>
      </c>
      <c r="AA33" s="17">
        <v>2152.3200000000002</v>
      </c>
      <c r="AC33" s="27">
        <f>($AC$34*2)</f>
        <v>19000</v>
      </c>
      <c r="AD33" s="16" t="s">
        <v>0</v>
      </c>
      <c r="AE33" s="17">
        <f>($AC$29*$AC$33)</f>
        <v>19238.563999999998</v>
      </c>
      <c r="AF33" s="17">
        <f>($AD$29*$AC$33)</f>
        <v>19238.563999999998</v>
      </c>
      <c r="AG33" s="17">
        <f t="shared" si="126"/>
        <v>0</v>
      </c>
      <c r="AH33" s="17">
        <f t="shared" si="127"/>
        <v>6240</v>
      </c>
      <c r="AI33" s="17">
        <f t="shared" si="128"/>
        <v>4108</v>
      </c>
      <c r="AJ33" s="17">
        <f t="shared" si="148"/>
        <v>2132</v>
      </c>
      <c r="AK33" s="17">
        <f t="shared" si="149"/>
        <v>-298.48</v>
      </c>
      <c r="AL33" s="17">
        <f t="shared" si="150"/>
        <v>-21.32</v>
      </c>
      <c r="AM33" s="17">
        <f t="shared" si="129"/>
        <v>5920.2000000000007</v>
      </c>
      <c r="AN33" s="17">
        <f t="shared" si="130"/>
        <v>5920.2000000000007</v>
      </c>
      <c r="AO33" s="17">
        <f t="shared" si="151"/>
        <v>0</v>
      </c>
      <c r="AP33" s="17">
        <f t="shared" ca="1" si="131"/>
        <v>0</v>
      </c>
      <c r="AQ33" s="33">
        <v>30</v>
      </c>
      <c r="AR33" s="17">
        <f t="shared" ca="1" si="132"/>
        <v>3152.8382980621946</v>
      </c>
      <c r="AS33" s="17">
        <f t="shared" si="167"/>
        <v>2120</v>
      </c>
      <c r="AT33" s="17">
        <f t="shared" si="133"/>
        <v>26005.5</v>
      </c>
      <c r="AU33" s="17">
        <f t="shared" si="152"/>
        <v>26005.5</v>
      </c>
      <c r="AV33" s="17">
        <f t="shared" si="153"/>
        <v>0</v>
      </c>
      <c r="AW33" s="17">
        <f t="shared" si="134"/>
        <v>0</v>
      </c>
      <c r="AX33" s="17">
        <f t="shared" si="154"/>
        <v>197.38174500000002</v>
      </c>
      <c r="AY33" s="17">
        <f t="shared" si="135"/>
        <v>26005.5</v>
      </c>
      <c r="AZ33" s="17">
        <f t="shared" ca="1" si="168"/>
        <v>124606.53060805914</v>
      </c>
      <c r="BA33" s="17">
        <f t="shared" ca="1" si="169"/>
        <v>25544.338774652122</v>
      </c>
      <c r="BB33" s="17">
        <f t="shared" ca="1" si="170"/>
        <v>1246.0653060805914</v>
      </c>
      <c r="BC33" s="17">
        <f t="shared" ca="1" si="171"/>
        <v>-6230.3265304029574</v>
      </c>
      <c r="BD33" s="17">
        <f t="shared" ca="1" si="172"/>
        <v>145166.6081583889</v>
      </c>
      <c r="BU33" s="16">
        <v>31</v>
      </c>
      <c r="BV33" s="24">
        <v>15.5</v>
      </c>
      <c r="BW33" s="25">
        <v>0.33</v>
      </c>
    </row>
    <row r="34" spans="24:75" ht="39.950000000000003" hidden="1" customHeight="1" x14ac:dyDescent="0.25">
      <c r="X34" s="22" t="s">
        <v>66</v>
      </c>
      <c r="Y34" s="17">
        <v>1600</v>
      </c>
      <c r="Z34" s="17">
        <v>1888</v>
      </c>
      <c r="AA34" s="17">
        <v>2152.3200000000002</v>
      </c>
      <c r="AC34" s="27">
        <f>(9500)</f>
        <v>9500</v>
      </c>
      <c r="AD34" s="16" t="s">
        <v>0</v>
      </c>
      <c r="AE34" s="17">
        <f>($AC$29*$AC$34)</f>
        <v>9619.2819999999992</v>
      </c>
      <c r="AF34" s="17">
        <f>($AD$29*$AC$34)</f>
        <v>9619.2819999999992</v>
      </c>
      <c r="AG34" s="17">
        <f t="shared" si="126"/>
        <v>0</v>
      </c>
      <c r="AH34" s="17">
        <f t="shared" si="127"/>
        <v>6240</v>
      </c>
      <c r="AI34" s="17">
        <f t="shared" si="128"/>
        <v>4108</v>
      </c>
      <c r="AJ34" s="17">
        <f t="shared" si="148"/>
        <v>2132</v>
      </c>
      <c r="AK34" s="17">
        <f t="shared" si="149"/>
        <v>-298.48</v>
      </c>
      <c r="AL34" s="17">
        <f t="shared" si="150"/>
        <v>-21.32</v>
      </c>
      <c r="AM34" s="17">
        <f t="shared" si="129"/>
        <v>5920.2000000000007</v>
      </c>
      <c r="AN34" s="17">
        <f t="shared" si="130"/>
        <v>5920.2000000000007</v>
      </c>
      <c r="AO34" s="17">
        <f t="shared" si="151"/>
        <v>0</v>
      </c>
      <c r="AP34" s="17">
        <f t="shared" ca="1" si="131"/>
        <v>0</v>
      </c>
      <c r="AQ34" s="33">
        <v>30</v>
      </c>
      <c r="AR34" s="17">
        <f t="shared" ca="1" si="132"/>
        <v>3350.0171638887946</v>
      </c>
      <c r="AS34" s="17">
        <f t="shared" si="167"/>
        <v>2120</v>
      </c>
      <c r="AT34" s="17">
        <f t="shared" si="133"/>
        <v>26005.5</v>
      </c>
      <c r="AU34" s="17">
        <f t="shared" si="152"/>
        <v>26005.5</v>
      </c>
      <c r="AV34" s="17">
        <f t="shared" si="153"/>
        <v>0</v>
      </c>
      <c r="AW34" s="17">
        <f t="shared" si="134"/>
        <v>0</v>
      </c>
      <c r="AX34" s="17">
        <f t="shared" si="154"/>
        <v>197.38174500000002</v>
      </c>
      <c r="AY34" s="17">
        <f t="shared" si="135"/>
        <v>26005.5</v>
      </c>
      <c r="AZ34" s="17">
        <f t="shared" ca="1" si="168"/>
        <v>66892.838298062197</v>
      </c>
      <c r="BA34" s="17">
        <f t="shared" ca="1" si="169"/>
        <v>13713.031851102749</v>
      </c>
      <c r="BB34" s="17">
        <f t="shared" ca="1" si="170"/>
        <v>668.92838298062202</v>
      </c>
      <c r="BC34" s="17">
        <f t="shared" ca="1" si="171"/>
        <v>-3344.6419149031099</v>
      </c>
      <c r="BD34" s="17">
        <f t="shared" ca="1" si="172"/>
        <v>77930.15661724245</v>
      </c>
      <c r="BU34" s="16">
        <v>32</v>
      </c>
      <c r="BV34" s="24">
        <v>16</v>
      </c>
      <c r="BW34" s="25">
        <v>0.34</v>
      </c>
    </row>
    <row r="35" spans="24:75" ht="39.950000000000003" hidden="1" customHeight="1" x14ac:dyDescent="0.25">
      <c r="Z35" s="35" t="s">
        <v>23</v>
      </c>
      <c r="AA35" s="35" t="s">
        <v>83</v>
      </c>
      <c r="AG35" s="17">
        <f t="shared" si="126"/>
        <v>0</v>
      </c>
      <c r="AH35" s="17">
        <f t="shared" si="127"/>
        <v>6240</v>
      </c>
      <c r="AI35" s="17">
        <f t="shared" ref="AI35:AI40" si="173">IF($AF$13*H21&gt;=AH35,AH35,$AF$13*H21)</f>
        <v>4108</v>
      </c>
      <c r="AJ35" s="17">
        <f t="shared" si="148"/>
        <v>2132</v>
      </c>
      <c r="AK35" s="17">
        <f t="shared" si="149"/>
        <v>-298.48</v>
      </c>
      <c r="AL35" s="17">
        <f t="shared" si="150"/>
        <v>-21.32</v>
      </c>
      <c r="AM35" s="17">
        <f t="shared" si="129"/>
        <v>5920.2000000000007</v>
      </c>
      <c r="AN35" s="17">
        <f t="shared" ref="AN35:AN40" si="174">IF($AF$14*H21&gt;=AM35,AM35,$AF$14*H21)</f>
        <v>5920.2000000000007</v>
      </c>
      <c r="AO35" s="17">
        <f t="shared" si="151"/>
        <v>0</v>
      </c>
      <c r="AP35" s="17">
        <f t="shared" ca="1" si="131"/>
        <v>0</v>
      </c>
      <c r="AQ35" s="33">
        <v>30</v>
      </c>
      <c r="AR35" s="17">
        <f t="shared" ca="1" si="132"/>
        <v>3458.9091383726814</v>
      </c>
      <c r="AS35" s="17">
        <f t="shared" si="167"/>
        <v>2120</v>
      </c>
      <c r="AT35" s="17">
        <f t="shared" ref="AT35:AT40" si="175">($AF$8)</f>
        <v>26005.5</v>
      </c>
      <c r="AU35" s="17">
        <f t="shared" si="152"/>
        <v>26005.5</v>
      </c>
      <c r="AV35" s="17">
        <f t="shared" si="153"/>
        <v>0</v>
      </c>
      <c r="AW35" s="17">
        <f t="shared" si="134"/>
        <v>0</v>
      </c>
      <c r="AX35" s="17">
        <f t="shared" si="154"/>
        <v>197.38174500000002</v>
      </c>
      <c r="AY35" s="17">
        <f t="shared" si="135"/>
        <v>26005.5</v>
      </c>
      <c r="AZ35" s="17">
        <f t="shared" ca="1" si="168"/>
        <v>68642.838298062197</v>
      </c>
      <c r="BA35" s="17">
        <f t="shared" ca="1" si="169"/>
        <v>14071.781851102749</v>
      </c>
      <c r="BB35" s="17">
        <f t="shared" ca="1" si="170"/>
        <v>686.42838298062202</v>
      </c>
      <c r="BC35" s="17">
        <f t="shared" ca="1" si="171"/>
        <v>-3432.1419149031099</v>
      </c>
      <c r="BD35" s="17">
        <f t="shared" ca="1" si="172"/>
        <v>79968.90661724245</v>
      </c>
      <c r="BU35" s="16">
        <v>33</v>
      </c>
      <c r="BV35" s="24">
        <v>16.5</v>
      </c>
      <c r="BW35" s="25">
        <v>0.35</v>
      </c>
    </row>
    <row r="36" spans="24:75" ht="39.950000000000003" hidden="1" customHeight="1" x14ac:dyDescent="0.25">
      <c r="Z36" s="36" t="s">
        <v>22</v>
      </c>
      <c r="AA36" s="37" t="s">
        <v>102</v>
      </c>
      <c r="AC36" s="17">
        <v>9900</v>
      </c>
      <c r="AD36" s="16" t="s">
        <v>0</v>
      </c>
      <c r="AE36" s="16" t="s">
        <v>0</v>
      </c>
      <c r="AF36" s="16" t="s">
        <v>0</v>
      </c>
      <c r="AG36" s="17">
        <f t="shared" si="126"/>
        <v>0</v>
      </c>
      <c r="AH36" s="17">
        <f t="shared" si="127"/>
        <v>6240</v>
      </c>
      <c r="AI36" s="17">
        <f t="shared" si="173"/>
        <v>4108</v>
      </c>
      <c r="AJ36" s="17">
        <f t="shared" si="148"/>
        <v>2132</v>
      </c>
      <c r="AK36" s="17">
        <f t="shared" si="149"/>
        <v>-298.48</v>
      </c>
      <c r="AL36" s="17">
        <f t="shared" si="150"/>
        <v>-21.32</v>
      </c>
      <c r="AM36" s="17">
        <f t="shared" si="129"/>
        <v>5920.2000000000007</v>
      </c>
      <c r="AN36" s="17">
        <f t="shared" si="174"/>
        <v>5920.2000000000007</v>
      </c>
      <c r="AO36" s="17">
        <f t="shared" si="151"/>
        <v>0</v>
      </c>
      <c r="AP36" s="17">
        <f t="shared" ca="1" si="131"/>
        <v>0</v>
      </c>
      <c r="AQ36" s="33">
        <v>30</v>
      </c>
      <c r="AR36" s="17">
        <f t="shared" ca="1" si="132"/>
        <v>3458.9091383726814</v>
      </c>
      <c r="AS36" s="17">
        <f t="shared" si="167"/>
        <v>2120</v>
      </c>
      <c r="AT36" s="17">
        <f t="shared" si="175"/>
        <v>26005.5</v>
      </c>
      <c r="AU36" s="17">
        <f t="shared" si="152"/>
        <v>26005.5</v>
      </c>
      <c r="AV36" s="17">
        <f t="shared" si="153"/>
        <v>0</v>
      </c>
      <c r="AW36" s="17">
        <f t="shared" si="134"/>
        <v>0</v>
      </c>
      <c r="AX36" s="17">
        <f t="shared" si="154"/>
        <v>197.38174500000002</v>
      </c>
      <c r="AY36" s="17">
        <f t="shared" si="135"/>
        <v>26005.5</v>
      </c>
      <c r="AZ36" s="17">
        <f t="shared" ca="1" si="168"/>
        <v>119590.01716388878</v>
      </c>
      <c r="BA36" s="17">
        <f t="shared" ca="1" si="169"/>
        <v>24515.953518597198</v>
      </c>
      <c r="BB36" s="17">
        <f t="shared" ca="1" si="170"/>
        <v>1195.900171638888</v>
      </c>
      <c r="BC36" s="17">
        <f t="shared" ca="1" si="171"/>
        <v>-5979.5008581944394</v>
      </c>
      <c r="BD36" s="17">
        <f t="shared" ca="1" si="172"/>
        <v>139322.36999593044</v>
      </c>
      <c r="BU36" s="16">
        <v>34</v>
      </c>
      <c r="BV36" s="24">
        <v>17</v>
      </c>
      <c r="BW36" s="25">
        <v>0.36</v>
      </c>
    </row>
    <row r="37" spans="24:75" ht="39.950000000000003" hidden="1" customHeight="1" x14ac:dyDescent="0.25">
      <c r="Z37" s="36" t="s">
        <v>24</v>
      </c>
      <c r="AA37" s="38" t="s">
        <v>57</v>
      </c>
      <c r="AC37" s="17">
        <v>5700</v>
      </c>
      <c r="AD37" s="16" t="s">
        <v>0</v>
      </c>
      <c r="AE37" s="16" t="s">
        <v>0</v>
      </c>
      <c r="AF37" s="16" t="s">
        <v>0</v>
      </c>
      <c r="AG37" s="17">
        <f t="shared" si="126"/>
        <v>0</v>
      </c>
      <c r="AH37" s="17">
        <f t="shared" si="127"/>
        <v>6240</v>
      </c>
      <c r="AI37" s="17">
        <f t="shared" si="173"/>
        <v>4108</v>
      </c>
      <c r="AJ37" s="17">
        <f t="shared" si="148"/>
        <v>2132</v>
      </c>
      <c r="AK37" s="17">
        <f t="shared" si="149"/>
        <v>-298.48</v>
      </c>
      <c r="AL37" s="17">
        <f t="shared" si="150"/>
        <v>-21.32</v>
      </c>
      <c r="AM37" s="17">
        <f t="shared" si="129"/>
        <v>5920.2000000000007</v>
      </c>
      <c r="AN37" s="17">
        <f t="shared" si="174"/>
        <v>5920.2000000000007</v>
      </c>
      <c r="AO37" s="17">
        <f t="shared" si="151"/>
        <v>0</v>
      </c>
      <c r="AP37" s="17">
        <f t="shared" ca="1" si="131"/>
        <v>0</v>
      </c>
      <c r="AQ37" s="33">
        <v>30</v>
      </c>
      <c r="AR37" s="17">
        <f t="shared" ca="1" si="132"/>
        <v>3458.9091383726814</v>
      </c>
      <c r="AS37" s="17">
        <f t="shared" si="167"/>
        <v>2120</v>
      </c>
      <c r="AT37" s="17">
        <f t="shared" si="175"/>
        <v>26005.5</v>
      </c>
      <c r="AU37" s="17">
        <f t="shared" si="152"/>
        <v>26005.5</v>
      </c>
      <c r="AV37" s="17">
        <f t="shared" si="153"/>
        <v>0</v>
      </c>
      <c r="AW37" s="17">
        <f t="shared" si="134"/>
        <v>0</v>
      </c>
      <c r="AX37" s="17">
        <f t="shared" si="154"/>
        <v>197.38174500000002</v>
      </c>
      <c r="AY37" s="17">
        <f t="shared" si="135"/>
        <v>26005.5</v>
      </c>
      <c r="AZ37" s="17">
        <f t="shared" ca="1" si="168"/>
        <v>79613.909138372677</v>
      </c>
      <c r="BA37" s="17">
        <f t="shared" ca="1" si="169"/>
        <v>16320.851373366399</v>
      </c>
      <c r="BB37" s="17">
        <f t="shared" ca="1" si="170"/>
        <v>796.13909138372674</v>
      </c>
      <c r="BC37" s="17">
        <f t="shared" ca="1" si="171"/>
        <v>-3980.6954569186341</v>
      </c>
      <c r="BD37" s="17">
        <f t="shared" ca="1" si="172"/>
        <v>92750.204146204167</v>
      </c>
      <c r="BU37" s="16">
        <v>35</v>
      </c>
      <c r="BV37" s="24">
        <v>17.5</v>
      </c>
      <c r="BW37" s="25">
        <v>0.37</v>
      </c>
    </row>
    <row r="38" spans="24:75" ht="39.950000000000003" hidden="1" customHeight="1" x14ac:dyDescent="0.25">
      <c r="Z38" s="36" t="s">
        <v>53</v>
      </c>
      <c r="AA38" s="17" t="s">
        <v>62</v>
      </c>
      <c r="AC38" s="17">
        <v>2400</v>
      </c>
      <c r="AD38" s="16" t="s">
        <v>0</v>
      </c>
      <c r="AE38" s="16" t="s">
        <v>0</v>
      </c>
      <c r="AF38" s="16" t="s">
        <v>0</v>
      </c>
      <c r="AG38" s="17">
        <f t="shared" si="126"/>
        <v>0</v>
      </c>
      <c r="AH38" s="17">
        <f t="shared" si="127"/>
        <v>6240</v>
      </c>
      <c r="AI38" s="17">
        <f t="shared" si="173"/>
        <v>4108</v>
      </c>
      <c r="AJ38" s="17">
        <f t="shared" si="148"/>
        <v>2132</v>
      </c>
      <c r="AK38" s="17">
        <f t="shared" si="149"/>
        <v>-298.48</v>
      </c>
      <c r="AL38" s="17">
        <f t="shared" si="150"/>
        <v>-21.32</v>
      </c>
      <c r="AM38" s="17">
        <f t="shared" si="129"/>
        <v>5920.2000000000007</v>
      </c>
      <c r="AN38" s="17">
        <f t="shared" si="174"/>
        <v>5920.2000000000007</v>
      </c>
      <c r="AO38" s="17">
        <f t="shared" si="151"/>
        <v>0</v>
      </c>
      <c r="AP38" s="17">
        <f t="shared" ca="1" si="131"/>
        <v>0</v>
      </c>
      <c r="AQ38" s="33">
        <v>30</v>
      </c>
      <c r="AR38" s="17">
        <f t="shared" ca="1" si="132"/>
        <v>3458.9091383726814</v>
      </c>
      <c r="AS38" s="17">
        <f t="shared" si="167"/>
        <v>2120</v>
      </c>
      <c r="AT38" s="17">
        <f t="shared" si="175"/>
        <v>26005.5</v>
      </c>
      <c r="AU38" s="17">
        <f t="shared" si="152"/>
        <v>26005.5</v>
      </c>
      <c r="AV38" s="17">
        <f t="shared" si="153"/>
        <v>0</v>
      </c>
      <c r="AW38" s="17">
        <f t="shared" si="134"/>
        <v>0</v>
      </c>
      <c r="AX38" s="17">
        <f t="shared" si="154"/>
        <v>197.38174500000002</v>
      </c>
      <c r="AY38" s="17">
        <f t="shared" si="135"/>
        <v>26005.5</v>
      </c>
      <c r="AZ38" s="17">
        <f t="shared" ca="1" si="168"/>
        <v>79613.909138372677</v>
      </c>
      <c r="BA38" s="17">
        <f t="shared" ca="1" si="169"/>
        <v>16320.851373366399</v>
      </c>
      <c r="BB38" s="17">
        <f t="shared" ca="1" si="170"/>
        <v>796.13909138372674</v>
      </c>
      <c r="BC38" s="17">
        <f t="shared" ca="1" si="171"/>
        <v>-3980.6954569186341</v>
      </c>
      <c r="BD38" s="17">
        <f t="shared" ca="1" si="172"/>
        <v>92750.204146204167</v>
      </c>
      <c r="BU38" s="16">
        <v>36</v>
      </c>
      <c r="BV38" s="24">
        <v>18</v>
      </c>
      <c r="BW38" s="25">
        <v>0.38</v>
      </c>
    </row>
    <row r="39" spans="24:75" ht="39.950000000000003" hidden="1" customHeight="1" x14ac:dyDescent="0.25">
      <c r="Z39" s="36" t="s">
        <v>28</v>
      </c>
      <c r="AA39" s="38" t="s">
        <v>58</v>
      </c>
      <c r="AE39" s="16" t="s">
        <v>1</v>
      </c>
      <c r="AF39" s="16" t="s">
        <v>84</v>
      </c>
      <c r="AG39" s="17">
        <f t="shared" si="126"/>
        <v>0</v>
      </c>
      <c r="AH39" s="17">
        <f t="shared" si="127"/>
        <v>6240</v>
      </c>
      <c r="AI39" s="17">
        <f t="shared" si="173"/>
        <v>4108</v>
      </c>
      <c r="AJ39" s="17">
        <f t="shared" si="148"/>
        <v>2132</v>
      </c>
      <c r="AK39" s="17">
        <f t="shared" si="149"/>
        <v>-298.48</v>
      </c>
      <c r="AL39" s="17">
        <f t="shared" si="150"/>
        <v>-21.32</v>
      </c>
      <c r="AM39" s="17">
        <f t="shared" si="129"/>
        <v>5920.2000000000007</v>
      </c>
      <c r="AN39" s="17">
        <f t="shared" si="174"/>
        <v>5920.2000000000007</v>
      </c>
      <c r="AO39" s="17">
        <f t="shared" si="151"/>
        <v>0</v>
      </c>
      <c r="AP39" s="17">
        <f t="shared" ca="1" si="131"/>
        <v>0</v>
      </c>
      <c r="AQ39" s="33">
        <v>30</v>
      </c>
      <c r="AR39" s="17">
        <f t="shared" ca="1" si="132"/>
        <v>3458.9091383726814</v>
      </c>
      <c r="AS39" s="17">
        <f t="shared" si="167"/>
        <v>2120</v>
      </c>
      <c r="AT39" s="17">
        <f t="shared" si="175"/>
        <v>26005.5</v>
      </c>
      <c r="AU39" s="17">
        <f t="shared" si="152"/>
        <v>26005.5</v>
      </c>
      <c r="AV39" s="17">
        <f t="shared" si="153"/>
        <v>0</v>
      </c>
      <c r="AW39" s="17">
        <f t="shared" si="134"/>
        <v>0</v>
      </c>
      <c r="AX39" s="17">
        <f t="shared" si="154"/>
        <v>197.38174500000002</v>
      </c>
      <c r="AY39" s="17">
        <f t="shared" si="135"/>
        <v>26005.5</v>
      </c>
      <c r="AZ39" s="17">
        <f t="shared" ca="1" si="168"/>
        <v>157670.90913837269</v>
      </c>
      <c r="BA39" s="17">
        <f t="shared" ca="1" si="169"/>
        <v>32322.536373366402</v>
      </c>
      <c r="BB39" s="17">
        <f t="shared" ca="1" si="170"/>
        <v>1576.7090913837269</v>
      </c>
      <c r="BC39" s="17">
        <f t="shared" ca="1" si="171"/>
        <v>-7883.545456918635</v>
      </c>
      <c r="BD39" s="17">
        <f t="shared" ca="1" si="172"/>
        <v>183686.60914620419</v>
      </c>
      <c r="BU39" s="16">
        <v>37</v>
      </c>
      <c r="BV39" s="24">
        <v>18.5</v>
      </c>
      <c r="BW39" s="25">
        <v>0.39</v>
      </c>
    </row>
    <row r="40" spans="24:75" ht="39.950000000000003" hidden="1" customHeight="1" x14ac:dyDescent="0.25">
      <c r="Z40" s="36" t="s">
        <v>26</v>
      </c>
      <c r="AA40" s="37" t="s">
        <v>103</v>
      </c>
      <c r="AE40" s="22" t="s">
        <v>61</v>
      </c>
      <c r="AF40" s="18">
        <v>1900</v>
      </c>
      <c r="AG40" s="17">
        <f t="shared" si="126"/>
        <v>0</v>
      </c>
      <c r="AH40" s="17">
        <f t="shared" si="127"/>
        <v>6240</v>
      </c>
      <c r="AI40" s="17">
        <f t="shared" si="173"/>
        <v>4108</v>
      </c>
      <c r="AJ40" s="17">
        <f t="shared" si="148"/>
        <v>2132</v>
      </c>
      <c r="AK40" s="17">
        <f t="shared" si="149"/>
        <v>-298.48</v>
      </c>
      <c r="AL40" s="17">
        <f t="shared" si="150"/>
        <v>-21.32</v>
      </c>
      <c r="AM40" s="17">
        <f t="shared" si="129"/>
        <v>5920.2000000000007</v>
      </c>
      <c r="AN40" s="17">
        <f t="shared" si="174"/>
        <v>5920.2000000000007</v>
      </c>
      <c r="AO40" s="17">
        <f t="shared" si="151"/>
        <v>0</v>
      </c>
      <c r="AP40" s="17">
        <f t="shared" ca="1" si="131"/>
        <v>0</v>
      </c>
      <c r="AQ40" s="33">
        <v>30</v>
      </c>
      <c r="AR40" s="17">
        <f t="shared" ca="1" si="132"/>
        <v>3458.9091383726814</v>
      </c>
      <c r="AS40" s="17">
        <f t="shared" si="167"/>
        <v>2120</v>
      </c>
      <c r="AT40" s="17">
        <f t="shared" si="175"/>
        <v>26005.5</v>
      </c>
      <c r="AU40" s="17">
        <f t="shared" si="152"/>
        <v>26005.5</v>
      </c>
      <c r="AV40" s="17">
        <f t="shared" si="153"/>
        <v>0</v>
      </c>
      <c r="AW40" s="17">
        <f t="shared" si="134"/>
        <v>0</v>
      </c>
      <c r="AX40" s="17">
        <f t="shared" si="154"/>
        <v>197.38174500000002</v>
      </c>
      <c r="AY40" s="17">
        <f t="shared" si="135"/>
        <v>26005.5</v>
      </c>
      <c r="AZ40" s="17">
        <f t="shared" ca="1" si="168"/>
        <v>89402.009138372669</v>
      </c>
      <c r="BA40" s="17">
        <f t="shared" ca="1" si="169"/>
        <v>18327.411873366396</v>
      </c>
      <c r="BB40" s="17">
        <f t="shared" ca="1" si="170"/>
        <v>894.02009138372671</v>
      </c>
      <c r="BC40" s="17">
        <f t="shared" ca="1" si="171"/>
        <v>-4470.1004569186334</v>
      </c>
      <c r="BD40" s="17">
        <f t="shared" ca="1" si="172"/>
        <v>104153.34064620416</v>
      </c>
      <c r="BU40" s="16">
        <v>38</v>
      </c>
      <c r="BV40" s="24">
        <v>19</v>
      </c>
      <c r="BW40" s="25">
        <v>0.4</v>
      </c>
    </row>
    <row r="41" spans="24:75" ht="39.950000000000003" hidden="1" customHeight="1" x14ac:dyDescent="0.25">
      <c r="Z41" s="36" t="s">
        <v>27</v>
      </c>
      <c r="AA41" s="37" t="s">
        <v>104</v>
      </c>
      <c r="AE41" s="22" t="s">
        <v>70</v>
      </c>
      <c r="AF41" s="18">
        <v>4360</v>
      </c>
      <c r="AG41" s="17">
        <f>(AG29+AG30+AG31+AG32+AG33+AG34+AG35+AG36+AG37+AG38+AG39+AG40)</f>
        <v>0</v>
      </c>
      <c r="AH41" s="17">
        <f t="shared" ref="AH41" si="176">(AH29+AH30+AH31+AH32+AH33+AH34+AH35+AH36+AH37+AH38+AH39+AH40)</f>
        <v>74880</v>
      </c>
      <c r="AI41" s="17">
        <f>(AI29+AI30+AI31+AI32+AI33+AI34+AI35+AI36+AI37+AI38+AI39+AI40)</f>
        <v>49296</v>
      </c>
      <c r="AJ41" s="17">
        <f>(AJ29+AJ30+AJ31+AJ32+AJ33+AJ34+AJ35+AJ36+AJ37+AJ38+AJ39+AJ40)</f>
        <v>25584</v>
      </c>
      <c r="AK41" s="17">
        <f>(AK29+AK30+AK31+AK32+AK33+AK34+AK35+AK36+AK37+AK38+AK39+AK40)</f>
        <v>-3581.76</v>
      </c>
      <c r="AL41" s="17">
        <f>(AL29+AL30+AL31+AL32+AL33+AL34+AL35+AL36+AL37+AL38+AL39+AL40)</f>
        <v>-255.83999999999995</v>
      </c>
      <c r="AM41" s="17">
        <f t="shared" ref="AM41" si="177">(AM29+AM30+AM31+AM32+AM33+AM34+AM35+AM36+AM37+AM38+AM39+AM40)</f>
        <v>71042.399999999994</v>
      </c>
      <c r="AN41" s="17">
        <f>(AN29+AN30+AN31+AN32+AN33+AN34+AN35+AN36+AN37+AN38+AN39+AN40)</f>
        <v>71042.399999999994</v>
      </c>
      <c r="AO41" s="17">
        <f>(AO29+AO30+AO31+AO32+AO33+AO34+AO35+AO36+AO37+AO38+AO39+AO40)</f>
        <v>0</v>
      </c>
      <c r="AP41" s="17">
        <f ca="1">(AP29+AP30+AP31+AP32+AP33+AP34+AP35+AP36+AP37+AP38+AP39+AP40)</f>
        <v>0</v>
      </c>
      <c r="AQ41" s="33">
        <f>(AQ29+AQ30+AQ31+AQ32+AQ33+AQ34+AQ35+AQ36+AQ37+AQ38+AQ39+AQ40)</f>
        <v>360</v>
      </c>
      <c r="AR41" s="17">
        <f t="shared" ref="AR41:AS41" ca="1" si="178">(AR29+AR30+AR31+AR32+AR33+AR34+AR35+AR36+AR37+AR38+AR39+AR40)</f>
        <v>38940.169648043557</v>
      </c>
      <c r="AS41" s="17">
        <f t="shared" si="178"/>
        <v>25128.333333333336</v>
      </c>
      <c r="AT41" s="17">
        <f t="shared" ref="AT41" si="179">(AT29+AT30+AT31+AT32+AT33+AT34+AT35+AT36+AT37+AT38+AT39+AT40)</f>
        <v>312066</v>
      </c>
      <c r="AU41" s="17">
        <f t="shared" ref="AU41" si="180">(AU29+AU30+AU31+AU32+AU33+AU34+AU35+AU36+AU37+AU38+AU39+AU40)</f>
        <v>312066</v>
      </c>
      <c r="AV41" s="17">
        <f t="shared" ref="AV41:AX41" si="181">(AV29+AV30+AV31+AV32+AV33+AV34+AV35+AV36+AV37+AV38+AV39+AV40)</f>
        <v>0</v>
      </c>
      <c r="AW41" s="17">
        <f>(AW29+AW30+AW31+AW32+AW33+AW34+AW35+AW36+AW37+AW38+AW39+AW40)</f>
        <v>0</v>
      </c>
      <c r="AX41" s="17">
        <f t="shared" si="181"/>
        <v>2368.5809400000007</v>
      </c>
      <c r="AY41" s="17">
        <f t="shared" ref="AY41" si="182">(AY29+AY30+AY31+AY32+AY33+AY34+AY35+AY36+AY37+AY38+AY39+AY40)</f>
        <v>312066</v>
      </c>
      <c r="AZ41" s="17">
        <f t="shared" ca="1" si="168"/>
        <v>87047.909138372677</v>
      </c>
      <c r="BA41" s="17">
        <f t="shared" ca="1" si="169"/>
        <v>17844.821373366398</v>
      </c>
      <c r="BB41" s="17">
        <f t="shared" ca="1" si="170"/>
        <v>870.47909138372677</v>
      </c>
      <c r="BC41" s="17">
        <f t="shared" ca="1" si="171"/>
        <v>-4352.3954569186344</v>
      </c>
      <c r="BD41" s="17">
        <f t="shared" ca="1" si="172"/>
        <v>101410.81414620417</v>
      </c>
      <c r="BU41" s="16">
        <v>39</v>
      </c>
      <c r="BV41" s="24">
        <v>19.5</v>
      </c>
      <c r="BW41" s="25">
        <v>0.41</v>
      </c>
    </row>
    <row r="42" spans="24:75" ht="39.950000000000003" hidden="1" customHeight="1" x14ac:dyDescent="0.25">
      <c r="Z42" s="36" t="s">
        <v>54</v>
      </c>
      <c r="AA42" s="38" t="s">
        <v>59</v>
      </c>
      <c r="AE42" s="22" t="s">
        <v>71</v>
      </c>
      <c r="AF42" s="18">
        <v>4360</v>
      </c>
      <c r="AG42" s="17">
        <f>(AG41/12)</f>
        <v>0</v>
      </c>
      <c r="AH42" s="17">
        <f t="shared" ref="AH42" si="183">(AH41/12)</f>
        <v>6240</v>
      </c>
      <c r="AI42" s="17">
        <f>(AI41/12)</f>
        <v>4108</v>
      </c>
      <c r="AJ42" s="17">
        <f>(AJ41/12)</f>
        <v>2132</v>
      </c>
      <c r="AK42" s="17">
        <f>(AK41/12)</f>
        <v>-298.48</v>
      </c>
      <c r="AL42" s="17">
        <f>(AL41/12)</f>
        <v>-21.319999999999997</v>
      </c>
      <c r="AM42" s="17">
        <f t="shared" ref="AM42" si="184">(AM41/12)</f>
        <v>5920.2</v>
      </c>
      <c r="AN42" s="17">
        <f>(AN41/12)</f>
        <v>5920.2</v>
      </c>
      <c r="AO42" s="17">
        <f>(AO41/12)</f>
        <v>0</v>
      </c>
      <c r="AP42" s="17">
        <f ca="1">(AP41/12)</f>
        <v>0</v>
      </c>
      <c r="AQ42" s="27" t="s">
        <v>0</v>
      </c>
      <c r="AR42" s="17">
        <f t="shared" ref="AR42:AS42" ca="1" si="185">(AR41/12)</f>
        <v>3245.0141373369629</v>
      </c>
      <c r="AS42" s="17">
        <f t="shared" si="185"/>
        <v>2094.0277777777778</v>
      </c>
      <c r="AT42" s="17">
        <f t="shared" ref="AT42" si="186">(AT41/12)</f>
        <v>26005.5</v>
      </c>
      <c r="AU42" s="17">
        <f t="shared" ref="AU42" si="187">(AU41/12)</f>
        <v>26005.5</v>
      </c>
      <c r="AV42" s="17">
        <f t="shared" ref="AV42:AX42" si="188">(AV41/12)</f>
        <v>0</v>
      </c>
      <c r="AW42" s="17">
        <f>(AW41/12)</f>
        <v>0</v>
      </c>
      <c r="AX42" s="17">
        <f t="shared" si="188"/>
        <v>197.38174500000005</v>
      </c>
      <c r="AY42" s="17">
        <f t="shared" ref="AY42" si="189">(AY41/12)</f>
        <v>26005.5</v>
      </c>
      <c r="AZ42" s="17">
        <f t="shared" ca="1" si="168"/>
        <v>160025.00913837267</v>
      </c>
      <c r="BA42" s="17">
        <f t="shared" ca="1" si="169"/>
        <v>32805.126873366396</v>
      </c>
      <c r="BB42" s="17">
        <f t="shared" ca="1" si="170"/>
        <v>1600.2500913837266</v>
      </c>
      <c r="BC42" s="17">
        <f t="shared" ca="1" si="171"/>
        <v>-8001.250456918634</v>
      </c>
      <c r="BD42" s="17">
        <f t="shared" ca="1" si="172"/>
        <v>186429.13564620414</v>
      </c>
      <c r="BU42" s="16">
        <v>40</v>
      </c>
      <c r="BV42" s="24">
        <v>20</v>
      </c>
      <c r="BW42" s="25">
        <v>0.42</v>
      </c>
    </row>
    <row r="43" spans="24:75" ht="39.950000000000003" hidden="1" customHeight="1" x14ac:dyDescent="0.25">
      <c r="Z43" s="36" t="s">
        <v>49</v>
      </c>
      <c r="AA43" s="37" t="s">
        <v>105</v>
      </c>
      <c r="AE43" s="22" t="s">
        <v>72</v>
      </c>
      <c r="AF43" s="18">
        <v>20000</v>
      </c>
      <c r="AG43"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43" s="17">
        <f t="shared" ref="AH43:AH54" si="190">(AL15*AG43)</f>
        <v>0</v>
      </c>
      <c r="AI43" s="17">
        <f t="shared" ref="AI43:AI54" ca="1" si="191">(AH43*BT17)</f>
        <v>0</v>
      </c>
      <c r="AJ43" s="33">
        <v>30</v>
      </c>
      <c r="AK43" s="17">
        <f>(5000/30*AJ43)</f>
        <v>5000</v>
      </c>
      <c r="AL43" s="17">
        <f t="shared" ref="AL43:AL54" ca="1" si="192">(AK43*BT17)</f>
        <v>3574.55</v>
      </c>
      <c r="AZ43" s="17">
        <f t="shared" ref="AZ43" ca="1" si="193">(AZ31+AZ32+AZ33+AZ34+AZ35+AZ36+AZ37+AZ38+AZ39+AZ40+AZ41+AZ42)</f>
        <v>1164330.7433537033</v>
      </c>
      <c r="BA43" s="17">
        <f t="shared" ref="BA43" ca="1" si="194">(BA31+BA32+BA33+BA34+BA35+BA36+BA37+BA38+BA39+BA40+BA41+BA42)</f>
        <v>238687.80238750915</v>
      </c>
      <c r="BB43" s="17">
        <f t="shared" ref="BB43" ca="1" si="195">(BB31+BB32+BB33+BB34+BB35+BB36+BB37+BB38+BB39+BB40+BB41+BB42)</f>
        <v>11643.307433537033</v>
      </c>
      <c r="BC43" s="17">
        <f t="shared" ref="BC43" ca="1" si="196">(BC31+BC32+BC33+BC34+BC35+BC36+BC37+BC38+BC39+BC40+BC41+BC42)</f>
        <v>-58216.537167685157</v>
      </c>
      <c r="BD43" s="17">
        <f t="shared" ref="BD43" ca="1" si="197">(BD31+BD32+BD33+BD34+BD35+BD36+BD37+BD38+BD39+BD40+BD41+BD42)</f>
        <v>1356445.3160070642</v>
      </c>
      <c r="BU43" s="16">
        <v>41</v>
      </c>
      <c r="BV43" s="24">
        <v>20.5</v>
      </c>
      <c r="BW43" s="25">
        <v>0.43</v>
      </c>
    </row>
    <row r="44" spans="24:75" ht="39.950000000000003" hidden="1" customHeight="1" x14ac:dyDescent="0.25">
      <c r="Z44" s="36" t="s">
        <v>55</v>
      </c>
      <c r="AA44" s="38" t="s">
        <v>60</v>
      </c>
      <c r="AE44" s="22" t="s">
        <v>73</v>
      </c>
      <c r="AF44" s="18">
        <v>20000</v>
      </c>
      <c r="AG44"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44" s="17">
        <f t="shared" si="190"/>
        <v>0</v>
      </c>
      <c r="AI44" s="17">
        <f t="shared" ca="1" si="191"/>
        <v>0</v>
      </c>
      <c r="AJ44" s="33">
        <v>30</v>
      </c>
      <c r="AK44" s="17">
        <f t="shared" ref="AK44:AK48" si="198">(5000/30*AJ44)</f>
        <v>5000</v>
      </c>
      <c r="AL44" s="17">
        <f t="shared" ca="1" si="192"/>
        <v>3574.55</v>
      </c>
      <c r="AZ44" s="17">
        <f t="shared" ref="AZ44" ca="1" si="199">(AZ43/12)</f>
        <v>97027.561946141941</v>
      </c>
      <c r="BA44" s="17">
        <f t="shared" ref="BA44" ca="1" si="200">(BA43/12)</f>
        <v>19890.650198959094</v>
      </c>
      <c r="BB44" s="17">
        <f t="shared" ref="BB44" ca="1" si="201">(BB43/12)</f>
        <v>970.27561946141941</v>
      </c>
      <c r="BC44" s="17">
        <f t="shared" ref="BC44" ca="1" si="202">(BC43/12)</f>
        <v>-4851.3780973070961</v>
      </c>
      <c r="BD44" s="17">
        <f t="shared" ref="BD44" ca="1" si="203">(BD43/12)</f>
        <v>113037.10966725535</v>
      </c>
      <c r="BU44" s="16">
        <v>42</v>
      </c>
      <c r="BV44" s="24">
        <v>21</v>
      </c>
      <c r="BW44" s="25">
        <v>0.44</v>
      </c>
    </row>
    <row r="45" spans="24:75" ht="39.950000000000003" hidden="1" customHeight="1" x14ac:dyDescent="0.25">
      <c r="Z45" s="36" t="s">
        <v>25</v>
      </c>
      <c r="AA45" s="37" t="s">
        <v>106</v>
      </c>
      <c r="AE45" s="22" t="s">
        <v>2</v>
      </c>
      <c r="AF45" s="18">
        <v>12000</v>
      </c>
      <c r="AG45" s="33">
        <f>COUNTIF($A$1,"Amir")*(30)
+COUNTIF($A$1,"Gişe")*(30)
+COUNTIF($A$1,"Çıma")*(30)
+COUNTIF($A$1,"Satış Görevlisi")*(10)
+COUNTIF($A$1,"Ustabaşı")*(30)
+COUNTIF($A$1,"İtfaiye Amiri")*(30)
+COUNTIF($A$1,"Usta")*(30)
+COUNTIF($A$1,"Vinç Operatörü")*(30)
+COUNTIF($A$1,"Forklift Operatörü")*(30)
+COUNTIF($A$1,"İtfaiyeci")*(30)
+COUNTIF($A$1,"Usta Yardımcısı")*(30)
+COUNTIF($A$1,"Gemi Havuzlama Personeli")*(30)
+COUNTIF($A$1,"Yakıt Yağ ve Atık Personeli")*(30)
+COUNTIF($A$1,"Tersane Saha Personeli")*(30)</f>
        <v>30</v>
      </c>
      <c r="AH45" s="17">
        <f t="shared" si="190"/>
        <v>52500</v>
      </c>
      <c r="AI45" s="17">
        <f t="shared" ca="1" si="191"/>
        <v>36658.184533230553</v>
      </c>
      <c r="AJ45" s="33">
        <v>30</v>
      </c>
      <c r="AK45" s="17">
        <f t="shared" si="198"/>
        <v>5000</v>
      </c>
      <c r="AL45" s="17">
        <f t="shared" ca="1" si="192"/>
        <v>3491.2556698314811</v>
      </c>
      <c r="BU45" s="16">
        <v>43</v>
      </c>
      <c r="BV45" s="24">
        <v>21.5</v>
      </c>
      <c r="BW45" s="25">
        <v>0.45</v>
      </c>
    </row>
    <row r="46" spans="24:75" ht="39.950000000000003" hidden="1" customHeight="1" x14ac:dyDescent="0.25">
      <c r="Z46" s="36" t="s">
        <v>48</v>
      </c>
      <c r="AA46" s="37" t="s">
        <v>107</v>
      </c>
      <c r="AE46" s="22" t="s">
        <v>76</v>
      </c>
      <c r="AF46" s="18">
        <v>2892</v>
      </c>
      <c r="AG46"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46" s="17">
        <f t="shared" si="190"/>
        <v>0</v>
      </c>
      <c r="AI46" s="17">
        <f t="shared" ca="1" si="191"/>
        <v>0</v>
      </c>
      <c r="AJ46" s="33">
        <v>30</v>
      </c>
      <c r="AK46" s="17">
        <f t="shared" si="198"/>
        <v>5000</v>
      </c>
      <c r="AL46" s="17">
        <f t="shared" ca="1" si="192"/>
        <v>3362.0499999999997</v>
      </c>
      <c r="BU46" s="16">
        <v>44</v>
      </c>
      <c r="BV46" s="24">
        <v>22</v>
      </c>
      <c r="BW46" s="25">
        <v>0.46</v>
      </c>
    </row>
    <row r="47" spans="24:75" ht="39.950000000000003" hidden="1" customHeight="1" x14ac:dyDescent="0.25">
      <c r="Z47" s="39" t="s">
        <v>50</v>
      </c>
      <c r="AA47" s="38" t="s">
        <v>64</v>
      </c>
      <c r="AE47" s="22" t="s">
        <v>77</v>
      </c>
      <c r="AF47" s="18">
        <v>2892</v>
      </c>
      <c r="AG47"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47" s="17">
        <f t="shared" si="190"/>
        <v>0</v>
      </c>
      <c r="AI47" s="17">
        <f t="shared" ca="1" si="191"/>
        <v>0</v>
      </c>
      <c r="AJ47" s="33">
        <v>30</v>
      </c>
      <c r="AK47" s="17">
        <f t="shared" si="198"/>
        <v>5000</v>
      </c>
      <c r="AL47" s="17">
        <f t="shared" ca="1" si="192"/>
        <v>3362.0499999999997</v>
      </c>
      <c r="BU47" s="16">
        <v>45</v>
      </c>
      <c r="BV47" s="24">
        <v>22.5</v>
      </c>
      <c r="BW47" s="25">
        <v>0.47</v>
      </c>
    </row>
    <row r="48" spans="24:75" ht="39.950000000000003" hidden="1" customHeight="1" x14ac:dyDescent="0.25">
      <c r="Z48" s="36" t="s">
        <v>56</v>
      </c>
      <c r="AA48" s="37" t="s">
        <v>63</v>
      </c>
      <c r="AE48" s="22" t="s">
        <v>78</v>
      </c>
      <c r="AF48" s="18">
        <v>3623</v>
      </c>
      <c r="AG48" s="33">
        <f>COUNTIF($A$1,"Amir")*(30)
+COUNTIF($A$1,"Gişe")*(30)
+COUNTIF($A$1,"Çıma")*(30)
+COUNTIF($A$1,"Satış Görevlisi")*(10)
+COUNTIF($A$1,"Ustabaşı")*(30)
+COUNTIF($A$1,"İtfaiye Amiri")*(30)
+COUNTIF($A$1,"Usta")*(30)
+COUNTIF($A$1,"Vinç Operatörü")*(30)
+COUNTIF($A$1,"Forklift Operatörü")*(30)
+COUNTIF($A$1,"İtfaiyeci")*(30)
+COUNTIF($A$1,"Usta Yardımcısı")*(30)
+COUNTIF($A$1,"Gemi Havuzlama Personeli")*(30)
+COUNTIF($A$1,"Yakıt Yağ ve Atık Personeli")*(30)
+COUNTIF($A$1,"Tersane Saha Personeli")*(30)</f>
        <v>30</v>
      </c>
      <c r="AH48" s="17">
        <f t="shared" si="190"/>
        <v>52500</v>
      </c>
      <c r="AI48" s="17">
        <f t="shared" ca="1" si="191"/>
        <v>33223.71037371039</v>
      </c>
      <c r="AJ48" s="33">
        <v>30</v>
      </c>
      <c r="AK48" s="17">
        <f t="shared" si="198"/>
        <v>5000</v>
      </c>
      <c r="AL48" s="17">
        <f t="shared" ca="1" si="192"/>
        <v>3164.1628927343231</v>
      </c>
      <c r="BU48" s="16">
        <v>46</v>
      </c>
      <c r="BV48" s="24">
        <v>23</v>
      </c>
      <c r="BW48" s="25">
        <v>0.48</v>
      </c>
    </row>
    <row r="49" spans="31:75" ht="39.950000000000003" hidden="1" customHeight="1" x14ac:dyDescent="0.25">
      <c r="AE49" s="22" t="s">
        <v>79</v>
      </c>
      <c r="AF49" s="18">
        <v>5422</v>
      </c>
      <c r="AG49"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49" s="17">
        <f t="shared" si="190"/>
        <v>0</v>
      </c>
      <c r="AI49" s="17">
        <f t="shared" ca="1" si="191"/>
        <v>0</v>
      </c>
      <c r="AJ49" s="33">
        <v>30</v>
      </c>
      <c r="AK49" s="17">
        <f>(5900/30*AJ49)</f>
        <v>5900</v>
      </c>
      <c r="AL49" s="17">
        <f t="shared" ca="1" si="192"/>
        <v>3616.1689999999999</v>
      </c>
      <c r="BU49" s="16">
        <v>47</v>
      </c>
      <c r="BV49" s="24">
        <v>23.5</v>
      </c>
      <c r="BW49" s="25">
        <v>0.49</v>
      </c>
    </row>
    <row r="50" spans="31:75" ht="39.950000000000003" hidden="1" customHeight="1" x14ac:dyDescent="0.25">
      <c r="AE50" s="22" t="s">
        <v>74</v>
      </c>
      <c r="AF50" s="18">
        <v>3623</v>
      </c>
      <c r="AG50"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50" s="17">
        <f t="shared" si="190"/>
        <v>0</v>
      </c>
      <c r="AI50" s="17">
        <f t="shared" ca="1" si="191"/>
        <v>0</v>
      </c>
      <c r="AJ50" s="33">
        <v>30</v>
      </c>
      <c r="AK50" s="17">
        <f>(5900/30*AJ50)</f>
        <v>5900</v>
      </c>
      <c r="AL50" s="17">
        <f t="shared" ca="1" si="192"/>
        <v>3616.1689999999999</v>
      </c>
      <c r="BU50" s="16">
        <v>48</v>
      </c>
      <c r="BV50" s="24">
        <v>24</v>
      </c>
      <c r="BW50" s="25">
        <v>0.5</v>
      </c>
    </row>
    <row r="51" spans="31:75" ht="39.950000000000003" hidden="1" customHeight="1" x14ac:dyDescent="0.25">
      <c r="AE51" s="22" t="s">
        <v>75</v>
      </c>
      <c r="AF51" s="18">
        <v>5422</v>
      </c>
      <c r="AG51" s="33">
        <f>COUNTIF($A$1,"Amir")*(30)
+COUNTIF($A$1,"Gişe")*(30)
+COUNTIF($A$1,"Çıma")*(30)
+COUNTIF($A$1,"Satış Görevlisi")*(10)
+COUNTIF($A$1,"Ustabaşı")*(30)
+COUNTIF($A$1,"İtfaiye Amiri")*(30)
+COUNTIF($A$1,"Usta")*(30)
+COUNTIF($A$1,"Vinç Operatörü")*(30)
+COUNTIF($A$1,"Forklift Operatörü")*(30)
+COUNTIF($A$1,"İtfaiyeci")*(30)
+COUNTIF($A$1,"Usta Yardımcısı")*(30)
+COUNTIF($A$1,"Gemi Havuzlama Personeli")*(30)
+COUNTIF($A$1,"Yakıt Yağ ve Atık Personeli")*(30)
+COUNTIF($A$1,"Tersane Saha Personeli")*(30)</f>
        <v>30</v>
      </c>
      <c r="AH51" s="17">
        <f t="shared" si="190"/>
        <v>70623</v>
      </c>
      <c r="AI51" s="17">
        <f t="shared" ca="1" si="191"/>
        <v>43285.542929999996</v>
      </c>
      <c r="AJ51" s="33">
        <v>30</v>
      </c>
      <c r="AK51" s="17">
        <f>(6726/30*AJ51)</f>
        <v>6726</v>
      </c>
      <c r="AL51" s="17">
        <f t="shared" ca="1" si="192"/>
        <v>4122.4326599999995</v>
      </c>
      <c r="BU51" s="16">
        <v>49</v>
      </c>
      <c r="BV51" s="24">
        <v>24.5</v>
      </c>
      <c r="BW51" s="40" t="s">
        <v>0</v>
      </c>
    </row>
    <row r="52" spans="31:75" ht="39.950000000000003" hidden="1" customHeight="1" x14ac:dyDescent="0.25">
      <c r="AE52" s="22" t="s">
        <v>8</v>
      </c>
      <c r="AF52" s="18">
        <v>5000</v>
      </c>
      <c r="AG52"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52" s="17">
        <f t="shared" si="190"/>
        <v>0</v>
      </c>
      <c r="AI52" s="17">
        <f t="shared" ca="1" si="191"/>
        <v>0</v>
      </c>
      <c r="AJ52" s="33">
        <v>30</v>
      </c>
      <c r="AK52" s="17">
        <f t="shared" ref="AK52:AK54" si="204">(6726/30*AJ52)</f>
        <v>6726</v>
      </c>
      <c r="AL52" s="17">
        <f t="shared" ca="1" si="192"/>
        <v>4122.4326599999995</v>
      </c>
      <c r="BU52" s="16">
        <v>50</v>
      </c>
      <c r="BV52" s="24">
        <v>25</v>
      </c>
      <c r="BW52" s="40" t="s">
        <v>0</v>
      </c>
    </row>
    <row r="53" spans="31:75" ht="39.950000000000003" hidden="1" customHeight="1" x14ac:dyDescent="0.25">
      <c r="AE53" s="22" t="s">
        <v>47</v>
      </c>
      <c r="AF53" s="18">
        <v>2500</v>
      </c>
      <c r="AG53" s="33">
        <f>COUNTIF($A$1,"Amir")*(0)
+COUNTIF($A$1,"Gişe")*(0)
+COUNTIF($A$1,"Çıma")*(0)
+COUNTIF($A$1,"Satış Görevlisi")*(0)
+COUNTIF($A$1,"Ustabaşı")*(0)
+COUNTIF($A$1,"İtfaiye Amiri")*(0)
+COUNTIF($A$1,"Usta")*(0)
+COUNTIF($A$1,"Vinç Operatörü")*(0)
+COUNTIF($A$1,"Forklift Operatörü")*(0)
+COUNTIF($A$1,"İtfaiyeci")*(0)
+COUNTIF($A$1,"Usta Yardımcısı")*(0)
+COUNTIF($A$1,"Gemi Havuzlama Personeli")*(0)
+COUNTIF($A$1,"Yakıt Yağ ve Atık Personeli")*(0)
+COUNTIF($A$1,"Tersane Saha Personeli")*(0)</f>
        <v>0</v>
      </c>
      <c r="AH53" s="17">
        <f t="shared" si="190"/>
        <v>0</v>
      </c>
      <c r="AI53" s="17">
        <f t="shared" ca="1" si="191"/>
        <v>0</v>
      </c>
      <c r="AJ53" s="33">
        <v>30</v>
      </c>
      <c r="AK53" s="17">
        <f t="shared" si="204"/>
        <v>6726</v>
      </c>
      <c r="AL53" s="17">
        <f t="shared" ca="1" si="192"/>
        <v>4122.4326599999995</v>
      </c>
      <c r="BU53" s="16">
        <v>51</v>
      </c>
      <c r="BV53" s="24">
        <v>25.5</v>
      </c>
      <c r="BW53" s="40" t="s">
        <v>0</v>
      </c>
    </row>
    <row r="54" spans="31:75" ht="39.950000000000003" hidden="1" customHeight="1" x14ac:dyDescent="0.25">
      <c r="AE54" s="22" t="s">
        <v>35</v>
      </c>
      <c r="AF54" s="18">
        <v>35000</v>
      </c>
      <c r="AG54" s="33">
        <f>COUNTIF($A$1,"Amir")*(30)
+COUNTIF($A$1,"Gişe")*(30)
+COUNTIF($A$1,"Çıma")*(30)
+COUNTIF($A$1,"Satış Görevlisi")*(10)
+COUNTIF($A$1,"Ustabaşı")*(30)
+COUNTIF($A$1,"İtfaiye Amiri")*(30)
+COUNTIF($A$1,"Usta")*(30)
+COUNTIF($A$1,"Vinç Operatörü")*(30)
+COUNTIF($A$1,"Forklift Operatörü")*(30)
+COUNTIF($A$1,"İtfaiyeci")*(30)
+COUNTIF($A$1,"Usta Yardımcısı")*(30)
+COUNTIF($A$1,"Gemi Havuzlama Personeli")*(30)
+COUNTIF($A$1,"Yakıt Yağ ve Atık Personeli")*(30)
+COUNTIF($A$1,"Tersane Saha Personeli")*(30)</f>
        <v>30</v>
      </c>
      <c r="AH54" s="17">
        <f t="shared" si="190"/>
        <v>70623</v>
      </c>
      <c r="AI54" s="17">
        <f t="shared" ca="1" si="191"/>
        <v>43285.542929999996</v>
      </c>
      <c r="AJ54" s="33">
        <v>30</v>
      </c>
      <c r="AK54" s="17">
        <f t="shared" si="204"/>
        <v>6726</v>
      </c>
      <c r="AL54" s="17">
        <f t="shared" ca="1" si="192"/>
        <v>4122.4326599999995</v>
      </c>
      <c r="BU54" s="16">
        <v>52</v>
      </c>
      <c r="BV54" s="24">
        <v>26</v>
      </c>
      <c r="BW54" s="40" t="s">
        <v>0</v>
      </c>
    </row>
    <row r="55" spans="31:75" ht="39.950000000000003" hidden="1" customHeight="1" x14ac:dyDescent="0.25">
      <c r="AG55" s="33">
        <f>(AG43+AG44+AG45+AG46+AG47+AG48+AG49+AG50+AG51+AG52+AG53+AG54)</f>
        <v>120</v>
      </c>
      <c r="AH55" s="17">
        <f t="shared" ref="AH55:AI55" si="205">(AH43+AH44+AH45+AH46+AH47+AH48+AH49+AH50+AH51+AH52+AH53+AH54)</f>
        <v>246246</v>
      </c>
      <c r="AI55" s="17">
        <f t="shared" ca="1" si="205"/>
        <v>156452.98076694092</v>
      </c>
      <c r="AJ55" s="33">
        <f>(AJ43+AJ44+AJ45+AJ46+AJ47+AJ48+AJ49+AJ50+AJ51+AJ52+AJ53+AJ54)</f>
        <v>360</v>
      </c>
      <c r="AK55" s="17">
        <f t="shared" ref="AK55:AL55" si="206">(AK43+AK44+AK45+AK46+AK47+AK48+AK49+AK50+AK51+AK52+AK53+AK54)</f>
        <v>68704</v>
      </c>
      <c r="AL55" s="17">
        <f t="shared" ca="1" si="206"/>
        <v>44250.687202565801</v>
      </c>
      <c r="BU55" s="16">
        <v>53</v>
      </c>
      <c r="BV55" s="24">
        <v>26.5</v>
      </c>
      <c r="BW55" s="40" t="s">
        <v>0</v>
      </c>
    </row>
    <row r="56" spans="31:75" ht="39.950000000000003" hidden="1" customHeight="1" x14ac:dyDescent="0.25">
      <c r="AG56" s="27" t="s">
        <v>0</v>
      </c>
      <c r="AH56" s="17">
        <f t="shared" ref="AH56:AI56" si="207">(AH55/12)</f>
        <v>20520.5</v>
      </c>
      <c r="AI56" s="17">
        <f t="shared" ca="1" si="207"/>
        <v>13037.748397245077</v>
      </c>
      <c r="AJ56" s="27" t="s">
        <v>0</v>
      </c>
      <c r="AK56" s="17">
        <f t="shared" ref="AK56:AL56" si="208">(AK55/12)</f>
        <v>5725.333333333333</v>
      </c>
      <c r="AL56" s="17">
        <f t="shared" ca="1" si="208"/>
        <v>3687.5572668804834</v>
      </c>
      <c r="BU56" s="16">
        <v>54</v>
      </c>
      <c r="BV56" s="24">
        <v>27</v>
      </c>
      <c r="BW56" s="40" t="s">
        <v>0</v>
      </c>
    </row>
    <row r="57" spans="31:75" ht="39.950000000000003" hidden="1" customHeight="1" x14ac:dyDescent="0.25">
      <c r="BU57" s="16">
        <v>55</v>
      </c>
      <c r="BV57" s="24">
        <v>27.5</v>
      </c>
      <c r="BW57" s="40" t="s">
        <v>0</v>
      </c>
    </row>
    <row r="58" spans="31:75" ht="39.950000000000003" hidden="1" customHeight="1" x14ac:dyDescent="0.25">
      <c r="BU58" s="16">
        <v>56</v>
      </c>
      <c r="BV58" s="24">
        <v>28</v>
      </c>
      <c r="BW58" s="40" t="s">
        <v>0</v>
      </c>
    </row>
    <row r="59" spans="31:75" ht="39.950000000000003" hidden="1" customHeight="1" x14ac:dyDescent="0.25">
      <c r="BU59" s="16">
        <v>57</v>
      </c>
      <c r="BV59" s="24">
        <v>28.5</v>
      </c>
      <c r="BW59" s="40" t="s">
        <v>0</v>
      </c>
    </row>
    <row r="60" spans="31:75" ht="39.950000000000003" hidden="1" customHeight="1" x14ac:dyDescent="0.25">
      <c r="BU60" s="16">
        <v>58</v>
      </c>
      <c r="BV60" s="24">
        <v>29</v>
      </c>
      <c r="BW60" s="40" t="s">
        <v>0</v>
      </c>
    </row>
    <row r="61" spans="31:75" ht="39.950000000000003" hidden="1" customHeight="1" x14ac:dyDescent="0.25">
      <c r="BU61" s="16">
        <v>59</v>
      </c>
      <c r="BV61" s="24">
        <v>29.5</v>
      </c>
      <c r="BW61" s="40" t="s">
        <v>0</v>
      </c>
    </row>
    <row r="62" spans="31:75" ht="39.950000000000003" hidden="1" customHeight="1" x14ac:dyDescent="0.25">
      <c r="BU62" s="16">
        <v>60</v>
      </c>
      <c r="BV62" s="24">
        <v>30</v>
      </c>
      <c r="BW62" s="40" t="s">
        <v>0</v>
      </c>
    </row>
    <row r="63" spans="31:75" ht="39.950000000000003" hidden="1" customHeight="1" x14ac:dyDescent="0.25">
      <c r="BU63" s="16">
        <v>61</v>
      </c>
      <c r="BV63" s="24">
        <v>30.5</v>
      </c>
      <c r="BW63" s="40" t="s">
        <v>0</v>
      </c>
    </row>
    <row r="64" spans="31:75" ht="39.950000000000003" hidden="1" customHeight="1" x14ac:dyDescent="0.25">
      <c r="BU64" s="16">
        <v>62</v>
      </c>
      <c r="BV64" s="24">
        <v>31</v>
      </c>
      <c r="BW64" s="40" t="s">
        <v>0</v>
      </c>
    </row>
    <row r="65" spans="73:75" ht="39.950000000000003" hidden="1" customHeight="1" x14ac:dyDescent="0.25">
      <c r="BU65" s="16">
        <v>63</v>
      </c>
      <c r="BV65" s="24">
        <v>31.5</v>
      </c>
      <c r="BW65" s="40" t="s">
        <v>0</v>
      </c>
    </row>
    <row r="66" spans="73:75" ht="39.950000000000003" hidden="1" customHeight="1" x14ac:dyDescent="0.25">
      <c r="BU66" s="16">
        <v>64</v>
      </c>
      <c r="BV66" s="24">
        <v>32</v>
      </c>
      <c r="BW66" s="40" t="s">
        <v>0</v>
      </c>
    </row>
    <row r="67" spans="73:75" ht="39.950000000000003" hidden="1" customHeight="1" x14ac:dyDescent="0.25">
      <c r="BU67" s="16">
        <v>65</v>
      </c>
      <c r="BV67" s="24">
        <v>32.5</v>
      </c>
      <c r="BW67" s="40" t="s">
        <v>0</v>
      </c>
    </row>
    <row r="68" spans="73:75" ht="39.950000000000003" hidden="1" customHeight="1" x14ac:dyDescent="0.25">
      <c r="BU68" s="16">
        <v>66</v>
      </c>
      <c r="BV68" s="24">
        <v>33</v>
      </c>
      <c r="BW68" s="40" t="s">
        <v>0</v>
      </c>
    </row>
    <row r="69" spans="73:75" ht="39.950000000000003" hidden="1" customHeight="1" x14ac:dyDescent="0.25">
      <c r="BU69" s="16">
        <v>67</v>
      </c>
      <c r="BV69" s="24">
        <v>33.5</v>
      </c>
      <c r="BW69" s="40" t="s">
        <v>0</v>
      </c>
    </row>
    <row r="70" spans="73:75" ht="39.950000000000003" hidden="1" customHeight="1" x14ac:dyDescent="0.25">
      <c r="BU70" s="16">
        <v>68</v>
      </c>
      <c r="BV70" s="24">
        <v>34</v>
      </c>
      <c r="BW70" s="40" t="s">
        <v>0</v>
      </c>
    </row>
    <row r="71" spans="73:75" ht="39.950000000000003" hidden="1" customHeight="1" x14ac:dyDescent="0.25">
      <c r="BU71" s="16">
        <v>69</v>
      </c>
      <c r="BV71" s="24">
        <v>34.5</v>
      </c>
      <c r="BW71" s="40" t="s">
        <v>0</v>
      </c>
    </row>
    <row r="72" spans="73:75" ht="39.950000000000003" hidden="1" customHeight="1" x14ac:dyDescent="0.25">
      <c r="BU72" s="16">
        <v>70</v>
      </c>
      <c r="BV72" s="24">
        <v>35</v>
      </c>
      <c r="BW72" s="40" t="s">
        <v>0</v>
      </c>
    </row>
    <row r="73" spans="73:75" ht="39.950000000000003" hidden="1" customHeight="1" x14ac:dyDescent="0.25">
      <c r="BU73" s="16">
        <v>71</v>
      </c>
      <c r="BV73" s="24">
        <v>35.5</v>
      </c>
      <c r="BW73" s="40" t="s">
        <v>0</v>
      </c>
    </row>
    <row r="74" spans="73:75" ht="39.950000000000003" hidden="1" customHeight="1" x14ac:dyDescent="0.25">
      <c r="BU74" s="16">
        <v>72</v>
      </c>
      <c r="BV74" s="24">
        <v>36</v>
      </c>
      <c r="BW74" s="40" t="s">
        <v>0</v>
      </c>
    </row>
    <row r="75" spans="73:75" ht="39.950000000000003" hidden="1" customHeight="1" x14ac:dyDescent="0.25">
      <c r="BU75" s="16">
        <v>73</v>
      </c>
      <c r="BV75" s="24">
        <v>36.5</v>
      </c>
      <c r="BW75" s="40" t="s">
        <v>0</v>
      </c>
    </row>
    <row r="76" spans="73:75" ht="39.950000000000003" hidden="1" customHeight="1" x14ac:dyDescent="0.25">
      <c r="BU76" s="16">
        <v>74</v>
      </c>
      <c r="BV76" s="24">
        <v>37</v>
      </c>
      <c r="BW76" s="40" t="s">
        <v>0</v>
      </c>
    </row>
    <row r="77" spans="73:75" ht="39.950000000000003" hidden="1" customHeight="1" x14ac:dyDescent="0.25">
      <c r="BU77" s="16">
        <v>75</v>
      </c>
      <c r="BV77" s="24">
        <v>37.5</v>
      </c>
      <c r="BW77" s="40" t="s">
        <v>0</v>
      </c>
    </row>
    <row r="78" spans="73:75" ht="39.950000000000003" hidden="1" customHeight="1" x14ac:dyDescent="0.25">
      <c r="BU78" s="16">
        <v>76</v>
      </c>
      <c r="BV78" s="24">
        <v>38</v>
      </c>
      <c r="BW78" s="40" t="s">
        <v>0</v>
      </c>
    </row>
    <row r="79" spans="73:75" ht="39.950000000000003" hidden="1" customHeight="1" x14ac:dyDescent="0.25">
      <c r="BU79" s="16">
        <v>77</v>
      </c>
      <c r="BV79" s="24">
        <v>38.5</v>
      </c>
      <c r="BW79" s="40" t="s">
        <v>0</v>
      </c>
    </row>
    <row r="80" spans="73:75" ht="39.950000000000003" hidden="1" customHeight="1" x14ac:dyDescent="0.25">
      <c r="BU80" s="16">
        <v>78</v>
      </c>
      <c r="BV80" s="24">
        <v>39</v>
      </c>
      <c r="BW80" s="40" t="s">
        <v>0</v>
      </c>
    </row>
    <row r="81" spans="73:75" ht="39.950000000000003" hidden="1" customHeight="1" x14ac:dyDescent="0.25">
      <c r="BU81" s="16">
        <v>79</v>
      </c>
      <c r="BV81" s="24">
        <v>39.5</v>
      </c>
      <c r="BW81" s="40" t="s">
        <v>0</v>
      </c>
    </row>
    <row r="82" spans="73:75" ht="39.950000000000003" hidden="1" customHeight="1" x14ac:dyDescent="0.25">
      <c r="BU82" s="16">
        <v>80</v>
      </c>
      <c r="BV82" s="24">
        <v>40</v>
      </c>
      <c r="BW82" s="40" t="s">
        <v>0</v>
      </c>
    </row>
    <row r="83" spans="73:75" ht="39.950000000000003" hidden="1" customHeight="1" x14ac:dyDescent="0.25">
      <c r="BU83" s="16">
        <v>81</v>
      </c>
      <c r="BV83" s="24">
        <v>40.5</v>
      </c>
      <c r="BW83" s="40" t="s">
        <v>0</v>
      </c>
    </row>
    <row r="84" spans="73:75" ht="39.950000000000003" hidden="1" customHeight="1" x14ac:dyDescent="0.25">
      <c r="BU84" s="16">
        <v>82</v>
      </c>
      <c r="BV84" s="24">
        <v>41</v>
      </c>
      <c r="BW84" s="40" t="s">
        <v>0</v>
      </c>
    </row>
    <row r="85" spans="73:75" ht="39.950000000000003" hidden="1" customHeight="1" x14ac:dyDescent="0.25">
      <c r="BU85" s="16">
        <v>83</v>
      </c>
      <c r="BV85" s="24">
        <v>41.5</v>
      </c>
      <c r="BW85" s="40" t="s">
        <v>0</v>
      </c>
    </row>
    <row r="86" spans="73:75" ht="39.950000000000003" hidden="1" customHeight="1" x14ac:dyDescent="0.25">
      <c r="BU86" s="16">
        <v>84</v>
      </c>
      <c r="BV86" s="24">
        <v>42</v>
      </c>
      <c r="BW86" s="40" t="s">
        <v>0</v>
      </c>
    </row>
    <row r="87" spans="73:75" ht="39.950000000000003" hidden="1" customHeight="1" x14ac:dyDescent="0.25">
      <c r="BU87" s="16">
        <v>85</v>
      </c>
      <c r="BV87" s="24">
        <v>42.5</v>
      </c>
      <c r="BW87" s="40" t="s">
        <v>0</v>
      </c>
    </row>
    <row r="88" spans="73:75" ht="39.950000000000003" hidden="1" customHeight="1" x14ac:dyDescent="0.25">
      <c r="BU88" s="16">
        <v>86</v>
      </c>
      <c r="BV88" s="24">
        <v>43</v>
      </c>
      <c r="BW88" s="40" t="s">
        <v>0</v>
      </c>
    </row>
    <row r="89" spans="73:75" ht="39.950000000000003" hidden="1" customHeight="1" x14ac:dyDescent="0.25">
      <c r="BU89" s="16">
        <v>87</v>
      </c>
      <c r="BV89" s="24">
        <v>43.5</v>
      </c>
      <c r="BW89" s="40" t="s">
        <v>0</v>
      </c>
    </row>
    <row r="90" spans="73:75" ht="39.950000000000003" hidden="1" customHeight="1" x14ac:dyDescent="0.25">
      <c r="BU90" s="16">
        <v>88</v>
      </c>
      <c r="BV90" s="24">
        <v>44</v>
      </c>
      <c r="BW90" s="40" t="s">
        <v>0</v>
      </c>
    </row>
    <row r="91" spans="73:75" ht="39.950000000000003" hidden="1" customHeight="1" x14ac:dyDescent="0.25">
      <c r="BU91" s="16">
        <v>89</v>
      </c>
      <c r="BV91" s="24">
        <v>44.5</v>
      </c>
      <c r="BW91" s="40" t="s">
        <v>0</v>
      </c>
    </row>
    <row r="92" spans="73:75" ht="39.950000000000003" hidden="1" customHeight="1" x14ac:dyDescent="0.25">
      <c r="BU92" s="16">
        <v>90</v>
      </c>
      <c r="BV92" s="24">
        <v>45</v>
      </c>
      <c r="BW92" s="40" t="s">
        <v>0</v>
      </c>
    </row>
    <row r="93" spans="73:75" ht="39.950000000000003" hidden="1" customHeight="1" x14ac:dyDescent="0.25">
      <c r="BU93" s="16">
        <v>91</v>
      </c>
      <c r="BV93" s="24">
        <v>45.5</v>
      </c>
      <c r="BW93" s="40" t="s">
        <v>0</v>
      </c>
    </row>
    <row r="94" spans="73:75" ht="39.950000000000003" hidden="1" customHeight="1" x14ac:dyDescent="0.25">
      <c r="BU94" s="16">
        <v>92</v>
      </c>
      <c r="BV94" s="24">
        <v>46</v>
      </c>
      <c r="BW94" s="40" t="s">
        <v>0</v>
      </c>
    </row>
    <row r="95" spans="73:75" ht="39.950000000000003" hidden="1" customHeight="1" x14ac:dyDescent="0.25">
      <c r="BU95" s="16">
        <v>93</v>
      </c>
      <c r="BV95" s="24">
        <v>46.5</v>
      </c>
      <c r="BW95" s="40" t="s">
        <v>0</v>
      </c>
    </row>
    <row r="96" spans="73:75" ht="39.950000000000003" hidden="1" customHeight="1" x14ac:dyDescent="0.25">
      <c r="BU96" s="16">
        <v>94</v>
      </c>
      <c r="BV96" s="24">
        <v>47</v>
      </c>
      <c r="BW96" s="40" t="s">
        <v>0</v>
      </c>
    </row>
    <row r="97" spans="73:75" ht="39.950000000000003" hidden="1" customHeight="1" x14ac:dyDescent="0.25">
      <c r="BU97" s="16">
        <v>95</v>
      </c>
      <c r="BV97" s="24">
        <v>47.5</v>
      </c>
      <c r="BW97" s="40" t="s">
        <v>0</v>
      </c>
    </row>
    <row r="98" spans="73:75" ht="39.950000000000003" hidden="1" customHeight="1" x14ac:dyDescent="0.25">
      <c r="BU98" s="16">
        <v>96</v>
      </c>
      <c r="BV98" s="24">
        <v>48</v>
      </c>
      <c r="BW98" s="40" t="s">
        <v>0</v>
      </c>
    </row>
    <row r="99" spans="73:75" ht="39.950000000000003" hidden="1" customHeight="1" x14ac:dyDescent="0.25">
      <c r="BU99" s="16">
        <v>97</v>
      </c>
      <c r="BV99" s="24">
        <v>48.5</v>
      </c>
      <c r="BW99" s="40" t="s">
        <v>0</v>
      </c>
    </row>
    <row r="100" spans="73:75" ht="39.950000000000003" hidden="1" customHeight="1" x14ac:dyDescent="0.25">
      <c r="BU100" s="16">
        <v>98</v>
      </c>
      <c r="BV100" s="24">
        <v>49</v>
      </c>
      <c r="BW100" s="40" t="s">
        <v>0</v>
      </c>
    </row>
    <row r="101" spans="73:75" ht="39.950000000000003" hidden="1" customHeight="1" x14ac:dyDescent="0.25">
      <c r="BU101" s="16">
        <v>99</v>
      </c>
      <c r="BV101" s="24">
        <v>49.5</v>
      </c>
      <c r="BW101" s="40" t="s">
        <v>0</v>
      </c>
    </row>
    <row r="102" spans="73:75" ht="39.950000000000003" hidden="1" customHeight="1" x14ac:dyDescent="0.25">
      <c r="BU102" s="16">
        <v>100</v>
      </c>
      <c r="BV102" s="24">
        <v>50</v>
      </c>
      <c r="BW102" s="40" t="s">
        <v>0</v>
      </c>
    </row>
    <row r="103" spans="73:75" ht="39.950000000000003" hidden="1" customHeight="1" x14ac:dyDescent="0.25">
      <c r="BU103" s="16">
        <v>101</v>
      </c>
      <c r="BV103" s="24">
        <v>50.5</v>
      </c>
      <c r="BW103" s="40" t="s">
        <v>0</v>
      </c>
    </row>
    <row r="104" spans="73:75" ht="39.950000000000003" hidden="1" customHeight="1" x14ac:dyDescent="0.25">
      <c r="BU104" s="16">
        <v>102</v>
      </c>
      <c r="BV104" s="24">
        <v>51</v>
      </c>
      <c r="BW104" s="40" t="s">
        <v>0</v>
      </c>
    </row>
    <row r="105" spans="73:75" ht="39.950000000000003" hidden="1" customHeight="1" x14ac:dyDescent="0.25">
      <c r="BU105" s="16">
        <v>103</v>
      </c>
      <c r="BV105" s="24">
        <v>51.5</v>
      </c>
      <c r="BW105" s="40" t="s">
        <v>0</v>
      </c>
    </row>
    <row r="106" spans="73:75" ht="39.950000000000003" hidden="1" customHeight="1" x14ac:dyDescent="0.25">
      <c r="BU106" s="16">
        <v>104</v>
      </c>
      <c r="BV106" s="24">
        <v>52</v>
      </c>
      <c r="BW106" s="40" t="s">
        <v>0</v>
      </c>
    </row>
    <row r="107" spans="73:75" ht="39.950000000000003" hidden="1" customHeight="1" x14ac:dyDescent="0.25">
      <c r="BU107" s="16">
        <v>105</v>
      </c>
      <c r="BV107" s="24">
        <v>52.5</v>
      </c>
      <c r="BW107" s="40" t="s">
        <v>0</v>
      </c>
    </row>
    <row r="108" spans="73:75" ht="39.950000000000003" hidden="1" customHeight="1" x14ac:dyDescent="0.25">
      <c r="BU108" s="16">
        <v>106</v>
      </c>
      <c r="BV108" s="24">
        <v>53</v>
      </c>
      <c r="BW108" s="40" t="s">
        <v>0</v>
      </c>
    </row>
    <row r="109" spans="73:75" ht="39.950000000000003" hidden="1" customHeight="1" x14ac:dyDescent="0.25">
      <c r="BU109" s="16">
        <v>107</v>
      </c>
      <c r="BV109" s="24">
        <v>53.5</v>
      </c>
      <c r="BW109" s="40" t="s">
        <v>0</v>
      </c>
    </row>
    <row r="110" spans="73:75" ht="39.950000000000003" hidden="1" customHeight="1" x14ac:dyDescent="0.25">
      <c r="BU110" s="16">
        <v>108</v>
      </c>
      <c r="BV110" s="24">
        <v>54</v>
      </c>
      <c r="BW110" s="40" t="s">
        <v>0</v>
      </c>
    </row>
    <row r="111" spans="73:75" ht="39.950000000000003" hidden="1" customHeight="1" x14ac:dyDescent="0.25">
      <c r="BU111" s="16">
        <v>109</v>
      </c>
      <c r="BV111" s="24">
        <v>54.5</v>
      </c>
      <c r="BW111" s="40" t="s">
        <v>0</v>
      </c>
    </row>
    <row r="112" spans="73:75" ht="39.950000000000003" hidden="1" customHeight="1" x14ac:dyDescent="0.25">
      <c r="BU112" s="16">
        <v>110</v>
      </c>
      <c r="BV112" s="24">
        <v>55</v>
      </c>
      <c r="BW112" s="40" t="s">
        <v>0</v>
      </c>
    </row>
    <row r="113" spans="73:75" ht="39.950000000000003" hidden="1" customHeight="1" x14ac:dyDescent="0.25">
      <c r="BU113" s="16">
        <v>111</v>
      </c>
      <c r="BV113" s="24">
        <v>55.5</v>
      </c>
      <c r="BW113" s="40" t="s">
        <v>0</v>
      </c>
    </row>
    <row r="114" spans="73:75" ht="39.950000000000003" hidden="1" customHeight="1" x14ac:dyDescent="0.25">
      <c r="BU114" s="16">
        <v>112</v>
      </c>
      <c r="BV114" s="24">
        <v>56</v>
      </c>
      <c r="BW114" s="40" t="s">
        <v>0</v>
      </c>
    </row>
    <row r="115" spans="73:75" ht="39.950000000000003" hidden="1" customHeight="1" x14ac:dyDescent="0.25">
      <c r="BU115" s="16">
        <v>113</v>
      </c>
      <c r="BV115" s="24">
        <v>56.5</v>
      </c>
      <c r="BW115" s="40" t="s">
        <v>0</v>
      </c>
    </row>
    <row r="116" spans="73:75" ht="39.950000000000003" hidden="1" customHeight="1" x14ac:dyDescent="0.25">
      <c r="BU116" s="16">
        <v>114</v>
      </c>
      <c r="BV116" s="24">
        <v>57</v>
      </c>
      <c r="BW116" s="40" t="s">
        <v>0</v>
      </c>
    </row>
    <row r="117" spans="73:75" ht="39.950000000000003" hidden="1" customHeight="1" x14ac:dyDescent="0.25">
      <c r="BU117" s="16">
        <v>115</v>
      </c>
      <c r="BV117" s="24">
        <v>57.5</v>
      </c>
      <c r="BW117" s="40" t="s">
        <v>0</v>
      </c>
    </row>
    <row r="118" spans="73:75" ht="39.950000000000003" hidden="1" customHeight="1" x14ac:dyDescent="0.25">
      <c r="BU118" s="16">
        <v>116</v>
      </c>
      <c r="BV118" s="24">
        <v>58</v>
      </c>
      <c r="BW118" s="40" t="s">
        <v>0</v>
      </c>
    </row>
    <row r="119" spans="73:75" ht="39.950000000000003" hidden="1" customHeight="1" x14ac:dyDescent="0.25">
      <c r="BU119" s="16">
        <v>117</v>
      </c>
      <c r="BV119" s="24">
        <v>58.5</v>
      </c>
      <c r="BW119" s="40" t="s">
        <v>0</v>
      </c>
    </row>
    <row r="120" spans="73:75" ht="39.950000000000003" hidden="1" customHeight="1" x14ac:dyDescent="0.25">
      <c r="BU120" s="16">
        <v>118</v>
      </c>
      <c r="BV120" s="24">
        <v>59</v>
      </c>
      <c r="BW120" s="40" t="s">
        <v>0</v>
      </c>
    </row>
    <row r="121" spans="73:75" ht="39.950000000000003" hidden="1" customHeight="1" x14ac:dyDescent="0.25">
      <c r="BU121" s="16">
        <v>119</v>
      </c>
      <c r="BV121" s="24">
        <v>59.5</v>
      </c>
      <c r="BW121" s="40" t="s">
        <v>0</v>
      </c>
    </row>
    <row r="122" spans="73:75" ht="39.950000000000003" hidden="1" customHeight="1" x14ac:dyDescent="0.25">
      <c r="BU122" s="16">
        <v>120</v>
      </c>
      <c r="BV122" s="24">
        <v>60</v>
      </c>
      <c r="BW122" s="40" t="s">
        <v>0</v>
      </c>
    </row>
    <row r="123" spans="73:75" ht="39.950000000000003" hidden="1" customHeight="1" x14ac:dyDescent="0.25">
      <c r="BU123" s="16">
        <v>121</v>
      </c>
      <c r="BV123" s="24">
        <v>60.5</v>
      </c>
      <c r="BW123" s="40" t="s">
        <v>0</v>
      </c>
    </row>
    <row r="124" spans="73:75" ht="39.950000000000003" hidden="1" customHeight="1" x14ac:dyDescent="0.25">
      <c r="BU124" s="16">
        <v>122</v>
      </c>
      <c r="BV124" s="24">
        <v>61</v>
      </c>
      <c r="BW124" s="40" t="s">
        <v>0</v>
      </c>
    </row>
    <row r="125" spans="73:75" ht="39.950000000000003" hidden="1" customHeight="1" x14ac:dyDescent="0.25">
      <c r="BU125" s="16">
        <v>123</v>
      </c>
      <c r="BV125" s="24">
        <v>61.5</v>
      </c>
      <c r="BW125" s="40" t="s">
        <v>0</v>
      </c>
    </row>
    <row r="126" spans="73:75" ht="39.950000000000003" hidden="1" customHeight="1" x14ac:dyDescent="0.25">
      <c r="BU126" s="16">
        <v>124</v>
      </c>
      <c r="BV126" s="24">
        <v>62</v>
      </c>
      <c r="BW126" s="40" t="s">
        <v>0</v>
      </c>
    </row>
    <row r="127" spans="73:75" ht="39.950000000000003" hidden="1" customHeight="1" x14ac:dyDescent="0.25">
      <c r="BU127" s="16">
        <v>125</v>
      </c>
      <c r="BV127" s="24">
        <v>62.5</v>
      </c>
      <c r="BW127" s="40" t="s">
        <v>0</v>
      </c>
    </row>
    <row r="128" spans="73:75" ht="39.950000000000003" hidden="1" customHeight="1" x14ac:dyDescent="0.25">
      <c r="BU128" s="16">
        <v>126</v>
      </c>
      <c r="BV128" s="24">
        <v>63</v>
      </c>
      <c r="BW128" s="40" t="s">
        <v>0</v>
      </c>
    </row>
    <row r="129" spans="73:75" ht="39.950000000000003" hidden="1" customHeight="1" x14ac:dyDescent="0.25">
      <c r="BU129" s="16">
        <v>127</v>
      </c>
      <c r="BV129" s="24">
        <v>63.5</v>
      </c>
      <c r="BW129" s="40" t="s">
        <v>0</v>
      </c>
    </row>
    <row r="130" spans="73:75" ht="39.950000000000003" hidden="1" customHeight="1" x14ac:dyDescent="0.25">
      <c r="BU130" s="16">
        <v>128</v>
      </c>
      <c r="BV130" s="24">
        <v>64</v>
      </c>
      <c r="BW130" s="40" t="s">
        <v>0</v>
      </c>
    </row>
    <row r="131" spans="73:75" ht="39.950000000000003" hidden="1" customHeight="1" x14ac:dyDescent="0.25">
      <c r="BU131" s="16">
        <v>129</v>
      </c>
      <c r="BV131" s="24">
        <v>64.5</v>
      </c>
      <c r="BW131" s="40" t="s">
        <v>0</v>
      </c>
    </row>
    <row r="132" spans="73:75" ht="39.950000000000003" hidden="1" customHeight="1" x14ac:dyDescent="0.25">
      <c r="BU132" s="16">
        <v>130</v>
      </c>
      <c r="BV132" s="24">
        <v>65</v>
      </c>
      <c r="BW132" s="40" t="s">
        <v>0</v>
      </c>
    </row>
    <row r="133" spans="73:75" ht="39.950000000000003" hidden="1" customHeight="1" x14ac:dyDescent="0.25">
      <c r="BU133" s="16">
        <v>131</v>
      </c>
      <c r="BV133" s="24">
        <v>65.5</v>
      </c>
      <c r="BW133" s="40" t="s">
        <v>0</v>
      </c>
    </row>
    <row r="134" spans="73:75" ht="39.950000000000003" hidden="1" customHeight="1" x14ac:dyDescent="0.25">
      <c r="BU134" s="16">
        <v>132</v>
      </c>
      <c r="BV134" s="24">
        <v>66</v>
      </c>
      <c r="BW134" s="40" t="s">
        <v>0</v>
      </c>
    </row>
    <row r="135" spans="73:75" ht="39.950000000000003" hidden="1" customHeight="1" x14ac:dyDescent="0.25">
      <c r="BU135" s="16">
        <v>133</v>
      </c>
      <c r="BV135" s="24">
        <v>66.5</v>
      </c>
      <c r="BW135" s="40" t="s">
        <v>0</v>
      </c>
    </row>
    <row r="136" spans="73:75" ht="39.950000000000003" hidden="1" customHeight="1" x14ac:dyDescent="0.25">
      <c r="BU136" s="16">
        <v>134</v>
      </c>
      <c r="BV136" s="24">
        <v>67</v>
      </c>
      <c r="BW136" s="40" t="s">
        <v>0</v>
      </c>
    </row>
    <row r="137" spans="73:75" ht="39.950000000000003" hidden="1" customHeight="1" x14ac:dyDescent="0.25">
      <c r="BU137" s="16">
        <v>135</v>
      </c>
      <c r="BV137" s="24">
        <v>67.5</v>
      </c>
      <c r="BW137" s="40" t="s">
        <v>0</v>
      </c>
    </row>
    <row r="138" spans="73:75" ht="39.950000000000003" hidden="1" customHeight="1" x14ac:dyDescent="0.25">
      <c r="BU138" s="16">
        <v>136</v>
      </c>
      <c r="BV138" s="24">
        <v>68</v>
      </c>
      <c r="BW138" s="40" t="s">
        <v>0</v>
      </c>
    </row>
    <row r="139" spans="73:75" ht="39.950000000000003" hidden="1" customHeight="1" x14ac:dyDescent="0.25">
      <c r="BU139" s="16">
        <v>137</v>
      </c>
      <c r="BV139" s="24">
        <v>68.5</v>
      </c>
      <c r="BW139" s="40" t="s">
        <v>0</v>
      </c>
    </row>
    <row r="140" spans="73:75" ht="39.950000000000003" hidden="1" customHeight="1" x14ac:dyDescent="0.25">
      <c r="BU140" s="16">
        <v>138</v>
      </c>
      <c r="BV140" s="24">
        <v>69</v>
      </c>
      <c r="BW140" s="40" t="s">
        <v>0</v>
      </c>
    </row>
    <row r="141" spans="73:75" ht="39.950000000000003" hidden="1" customHeight="1" x14ac:dyDescent="0.25">
      <c r="BU141" s="16">
        <v>139</v>
      </c>
      <c r="BV141" s="24">
        <v>69.5</v>
      </c>
      <c r="BW141" s="40" t="s">
        <v>0</v>
      </c>
    </row>
    <row r="142" spans="73:75" ht="39.950000000000003" hidden="1" customHeight="1" x14ac:dyDescent="0.25">
      <c r="BU142" s="16">
        <v>140</v>
      </c>
      <c r="BV142" s="24">
        <v>70</v>
      </c>
      <c r="BW142" s="40" t="s">
        <v>0</v>
      </c>
    </row>
    <row r="143" spans="73:75" ht="39.950000000000003" hidden="1" customHeight="1" x14ac:dyDescent="0.25">
      <c r="BU143" s="16">
        <v>141</v>
      </c>
      <c r="BV143" s="24">
        <v>70.5</v>
      </c>
      <c r="BW143" s="40" t="s">
        <v>0</v>
      </c>
    </row>
    <row r="144" spans="73:75" ht="39.950000000000003" hidden="1" customHeight="1" x14ac:dyDescent="0.25">
      <c r="BU144" s="16">
        <v>142</v>
      </c>
      <c r="BV144" s="24">
        <v>71</v>
      </c>
      <c r="BW144" s="40" t="s">
        <v>0</v>
      </c>
    </row>
    <row r="145" spans="73:75" ht="39.950000000000003" hidden="1" customHeight="1" x14ac:dyDescent="0.25">
      <c r="BU145" s="16">
        <v>143</v>
      </c>
      <c r="BV145" s="24">
        <v>71.5</v>
      </c>
      <c r="BW145" s="40" t="s">
        <v>0</v>
      </c>
    </row>
    <row r="146" spans="73:75" ht="39.950000000000003" hidden="1" customHeight="1" x14ac:dyDescent="0.25">
      <c r="BU146" s="16">
        <v>144</v>
      </c>
      <c r="BV146" s="24">
        <v>72</v>
      </c>
      <c r="BW146" s="40" t="s">
        <v>0</v>
      </c>
    </row>
    <row r="147" spans="73:75" ht="39.950000000000003" hidden="1" customHeight="1" x14ac:dyDescent="0.25">
      <c r="BU147" s="16">
        <v>145</v>
      </c>
      <c r="BV147" s="24">
        <v>72.5</v>
      </c>
      <c r="BW147" s="40" t="s">
        <v>0</v>
      </c>
    </row>
    <row r="148" spans="73:75" ht="39.950000000000003" hidden="1" customHeight="1" x14ac:dyDescent="0.25">
      <c r="BU148" s="16">
        <v>146</v>
      </c>
      <c r="BV148" s="24">
        <v>73</v>
      </c>
      <c r="BW148" s="40" t="s">
        <v>0</v>
      </c>
    </row>
    <row r="149" spans="73:75" ht="39.950000000000003" hidden="1" customHeight="1" x14ac:dyDescent="0.25">
      <c r="BU149" s="16">
        <v>147</v>
      </c>
      <c r="BV149" s="24">
        <v>73.5</v>
      </c>
      <c r="BW149" s="40" t="s">
        <v>0</v>
      </c>
    </row>
    <row r="150" spans="73:75" ht="39.950000000000003" hidden="1" customHeight="1" x14ac:dyDescent="0.25">
      <c r="BU150" s="16">
        <v>148</v>
      </c>
      <c r="BV150" s="24">
        <v>74</v>
      </c>
      <c r="BW150" s="40" t="s">
        <v>0</v>
      </c>
    </row>
    <row r="151" spans="73:75" ht="39.950000000000003" hidden="1" customHeight="1" x14ac:dyDescent="0.25">
      <c r="BU151" s="16">
        <v>149</v>
      </c>
      <c r="BV151" s="24">
        <v>74.5</v>
      </c>
      <c r="BW151" s="40" t="s">
        <v>0</v>
      </c>
    </row>
    <row r="152" spans="73:75" ht="39.950000000000003" hidden="1" customHeight="1" x14ac:dyDescent="0.25">
      <c r="BU152" s="16">
        <v>150</v>
      </c>
      <c r="BV152" s="24">
        <v>75</v>
      </c>
      <c r="BW152" s="40" t="s">
        <v>0</v>
      </c>
    </row>
    <row r="153" spans="73:75" ht="39.950000000000003" hidden="1" customHeight="1" x14ac:dyDescent="0.25">
      <c r="BU153" s="16">
        <v>151</v>
      </c>
      <c r="BV153" s="24">
        <v>75.5</v>
      </c>
      <c r="BW153" s="40" t="s">
        <v>0</v>
      </c>
    </row>
    <row r="154" spans="73:75" ht="39.950000000000003" hidden="1" customHeight="1" x14ac:dyDescent="0.25">
      <c r="BU154" s="16">
        <v>152</v>
      </c>
      <c r="BV154" s="24">
        <v>76</v>
      </c>
      <c r="BW154" s="40" t="s">
        <v>0</v>
      </c>
    </row>
    <row r="155" spans="73:75" ht="39.950000000000003" hidden="1" customHeight="1" x14ac:dyDescent="0.25">
      <c r="BU155" s="16">
        <v>153</v>
      </c>
      <c r="BV155" s="24">
        <v>76.5</v>
      </c>
      <c r="BW155" s="40" t="s">
        <v>0</v>
      </c>
    </row>
    <row r="156" spans="73:75" ht="39.950000000000003" hidden="1" customHeight="1" x14ac:dyDescent="0.25">
      <c r="BU156" s="16">
        <v>154</v>
      </c>
      <c r="BV156" s="24">
        <v>77</v>
      </c>
      <c r="BW156" s="40" t="s">
        <v>0</v>
      </c>
    </row>
    <row r="157" spans="73:75" ht="39.950000000000003" hidden="1" customHeight="1" x14ac:dyDescent="0.25">
      <c r="BU157" s="16">
        <v>155</v>
      </c>
      <c r="BV157" s="24">
        <v>77.5</v>
      </c>
      <c r="BW157" s="40" t="s">
        <v>0</v>
      </c>
    </row>
    <row r="158" spans="73:75" ht="39.950000000000003" hidden="1" customHeight="1" x14ac:dyDescent="0.25">
      <c r="BU158" s="16">
        <v>156</v>
      </c>
      <c r="BV158" s="24">
        <v>78</v>
      </c>
      <c r="BW158" s="40" t="s">
        <v>0</v>
      </c>
    </row>
    <row r="159" spans="73:75" ht="39.950000000000003" hidden="1" customHeight="1" x14ac:dyDescent="0.25">
      <c r="BU159" s="16">
        <v>157</v>
      </c>
      <c r="BV159" s="24">
        <v>78.5</v>
      </c>
      <c r="BW159" s="40" t="s">
        <v>0</v>
      </c>
    </row>
    <row r="160" spans="73:75" ht="39.950000000000003" hidden="1" customHeight="1" x14ac:dyDescent="0.25">
      <c r="BU160" s="16">
        <v>158</v>
      </c>
      <c r="BV160" s="24">
        <v>79</v>
      </c>
      <c r="BW160" s="40" t="s">
        <v>0</v>
      </c>
    </row>
    <row r="161" spans="73:75" ht="39.950000000000003" hidden="1" customHeight="1" x14ac:dyDescent="0.25">
      <c r="BU161" s="16">
        <v>159</v>
      </c>
      <c r="BV161" s="24">
        <v>79.5</v>
      </c>
      <c r="BW161" s="40" t="s">
        <v>0</v>
      </c>
    </row>
    <row r="162" spans="73:75" ht="39.950000000000003" hidden="1" customHeight="1" x14ac:dyDescent="0.25">
      <c r="BU162" s="16">
        <v>160</v>
      </c>
      <c r="BV162" s="24">
        <v>80</v>
      </c>
      <c r="BW162" s="40" t="s">
        <v>0</v>
      </c>
    </row>
    <row r="163" spans="73:75" ht="39.950000000000003" hidden="1" customHeight="1" x14ac:dyDescent="0.25">
      <c r="BU163" s="16">
        <v>161</v>
      </c>
      <c r="BV163" s="24">
        <v>80.5</v>
      </c>
      <c r="BW163" s="40" t="s">
        <v>0</v>
      </c>
    </row>
    <row r="164" spans="73:75" ht="39.950000000000003" hidden="1" customHeight="1" x14ac:dyDescent="0.25">
      <c r="BU164" s="16">
        <v>162</v>
      </c>
      <c r="BV164" s="24">
        <v>81</v>
      </c>
      <c r="BW164" s="40" t="s">
        <v>0</v>
      </c>
    </row>
    <row r="165" spans="73:75" ht="39.950000000000003" hidden="1" customHeight="1" x14ac:dyDescent="0.25">
      <c r="BU165" s="16">
        <v>163</v>
      </c>
      <c r="BV165" s="24">
        <v>81.5</v>
      </c>
      <c r="BW165" s="40" t="s">
        <v>0</v>
      </c>
    </row>
    <row r="166" spans="73:75" ht="39.950000000000003" hidden="1" customHeight="1" x14ac:dyDescent="0.25">
      <c r="BU166" s="16">
        <v>164</v>
      </c>
      <c r="BV166" s="24">
        <v>82</v>
      </c>
      <c r="BW166" s="40" t="s">
        <v>0</v>
      </c>
    </row>
    <row r="167" spans="73:75" ht="39.950000000000003" hidden="1" customHeight="1" x14ac:dyDescent="0.25">
      <c r="BU167" s="16">
        <v>165</v>
      </c>
      <c r="BV167" s="24">
        <v>82.5</v>
      </c>
      <c r="BW167" s="40" t="s">
        <v>0</v>
      </c>
    </row>
    <row r="168" spans="73:75" ht="39.950000000000003" hidden="1" customHeight="1" x14ac:dyDescent="0.25">
      <c r="BU168" s="16">
        <v>166</v>
      </c>
      <c r="BV168" s="24">
        <v>83</v>
      </c>
      <c r="BW168" s="40" t="s">
        <v>0</v>
      </c>
    </row>
    <row r="169" spans="73:75" ht="39.950000000000003" hidden="1" customHeight="1" x14ac:dyDescent="0.25">
      <c r="BU169" s="16">
        <v>167</v>
      </c>
      <c r="BV169" s="24">
        <v>83.5</v>
      </c>
      <c r="BW169" s="40" t="s">
        <v>0</v>
      </c>
    </row>
    <row r="170" spans="73:75" ht="39.950000000000003" hidden="1" customHeight="1" x14ac:dyDescent="0.25">
      <c r="BU170" s="16">
        <v>168</v>
      </c>
      <c r="BV170" s="24">
        <v>84</v>
      </c>
      <c r="BW170" s="40" t="s">
        <v>0</v>
      </c>
    </row>
    <row r="171" spans="73:75" ht="39.950000000000003" hidden="1" customHeight="1" x14ac:dyDescent="0.25">
      <c r="BU171" s="16">
        <v>169</v>
      </c>
      <c r="BV171" s="24">
        <v>84.5</v>
      </c>
      <c r="BW171" s="40" t="s">
        <v>0</v>
      </c>
    </row>
    <row r="172" spans="73:75" ht="39.950000000000003" hidden="1" customHeight="1" x14ac:dyDescent="0.25">
      <c r="BU172" s="16">
        <v>170</v>
      </c>
      <c r="BV172" s="24">
        <v>85</v>
      </c>
      <c r="BW172" s="40" t="s">
        <v>0</v>
      </c>
    </row>
    <row r="173" spans="73:75" ht="39.950000000000003" hidden="1" customHeight="1" x14ac:dyDescent="0.25">
      <c r="BU173" s="16">
        <v>171</v>
      </c>
      <c r="BV173" s="24">
        <v>85.5</v>
      </c>
      <c r="BW173" s="40" t="s">
        <v>0</v>
      </c>
    </row>
    <row r="174" spans="73:75" ht="39.950000000000003" hidden="1" customHeight="1" x14ac:dyDescent="0.25">
      <c r="BU174" s="16">
        <v>172</v>
      </c>
      <c r="BV174" s="24">
        <v>86</v>
      </c>
      <c r="BW174" s="40" t="s">
        <v>0</v>
      </c>
    </row>
    <row r="175" spans="73:75" ht="39.950000000000003" hidden="1" customHeight="1" x14ac:dyDescent="0.25">
      <c r="BU175" s="16">
        <v>173</v>
      </c>
      <c r="BV175" s="24">
        <v>86.5</v>
      </c>
      <c r="BW175" s="40" t="s">
        <v>0</v>
      </c>
    </row>
    <row r="176" spans="73:75" ht="39.950000000000003" hidden="1" customHeight="1" x14ac:dyDescent="0.25">
      <c r="BU176" s="16">
        <v>174</v>
      </c>
      <c r="BV176" s="24">
        <v>87</v>
      </c>
      <c r="BW176" s="40" t="s">
        <v>0</v>
      </c>
    </row>
    <row r="177" spans="73:75" ht="39.950000000000003" hidden="1" customHeight="1" x14ac:dyDescent="0.25">
      <c r="BU177" s="16">
        <v>175</v>
      </c>
      <c r="BV177" s="24">
        <v>87.5</v>
      </c>
      <c r="BW177" s="40" t="s">
        <v>0</v>
      </c>
    </row>
    <row r="178" spans="73:75" ht="39.950000000000003" hidden="1" customHeight="1" x14ac:dyDescent="0.25">
      <c r="BU178" s="16">
        <v>176</v>
      </c>
      <c r="BV178" s="24">
        <v>88</v>
      </c>
      <c r="BW178" s="40" t="s">
        <v>0</v>
      </c>
    </row>
    <row r="179" spans="73:75" ht="39.950000000000003" hidden="1" customHeight="1" x14ac:dyDescent="0.25">
      <c r="BU179" s="16">
        <v>177</v>
      </c>
      <c r="BV179" s="24">
        <v>88.5</v>
      </c>
      <c r="BW179" s="40" t="s">
        <v>0</v>
      </c>
    </row>
    <row r="180" spans="73:75" ht="39.950000000000003" hidden="1" customHeight="1" x14ac:dyDescent="0.25">
      <c r="BU180" s="16">
        <v>178</v>
      </c>
      <c r="BV180" s="24">
        <v>89</v>
      </c>
      <c r="BW180" s="40" t="s">
        <v>0</v>
      </c>
    </row>
    <row r="181" spans="73:75" ht="39.950000000000003" hidden="1" customHeight="1" x14ac:dyDescent="0.25">
      <c r="BU181" s="16">
        <v>179</v>
      </c>
      <c r="BV181" s="24">
        <v>89.5</v>
      </c>
      <c r="BW181" s="40" t="s">
        <v>0</v>
      </c>
    </row>
    <row r="182" spans="73:75" ht="39.950000000000003" hidden="1" customHeight="1" x14ac:dyDescent="0.25">
      <c r="BU182" s="16">
        <v>180</v>
      </c>
      <c r="BV182" s="24">
        <v>90</v>
      </c>
      <c r="BW182" s="40" t="s">
        <v>0</v>
      </c>
    </row>
    <row r="183" spans="73:75" ht="39.950000000000003" hidden="1" customHeight="1" x14ac:dyDescent="0.25">
      <c r="BU183" s="16">
        <v>181</v>
      </c>
      <c r="BV183" s="24">
        <v>90.5</v>
      </c>
      <c r="BW183" s="40" t="s">
        <v>0</v>
      </c>
    </row>
    <row r="184" spans="73:75" ht="39.950000000000003" hidden="1" customHeight="1" x14ac:dyDescent="0.25">
      <c r="BU184" s="16">
        <v>182</v>
      </c>
      <c r="BV184" s="24">
        <v>91</v>
      </c>
      <c r="BW184" s="40" t="s">
        <v>0</v>
      </c>
    </row>
    <row r="185" spans="73:75" ht="39.950000000000003" hidden="1" customHeight="1" x14ac:dyDescent="0.25">
      <c r="BU185" s="16">
        <v>183</v>
      </c>
      <c r="BV185" s="24">
        <v>91.5</v>
      </c>
      <c r="BW185" s="40" t="s">
        <v>0</v>
      </c>
    </row>
    <row r="186" spans="73:75" ht="39.950000000000003" hidden="1" customHeight="1" x14ac:dyDescent="0.25">
      <c r="BU186" s="16">
        <v>184</v>
      </c>
      <c r="BV186" s="24">
        <v>92</v>
      </c>
      <c r="BW186" s="40" t="s">
        <v>0</v>
      </c>
    </row>
    <row r="187" spans="73:75" ht="39.950000000000003" hidden="1" customHeight="1" x14ac:dyDescent="0.25">
      <c r="BU187" s="16">
        <v>185</v>
      </c>
      <c r="BV187" s="24">
        <v>92.5</v>
      </c>
      <c r="BW187" s="40" t="s">
        <v>0</v>
      </c>
    </row>
    <row r="188" spans="73:75" ht="39.950000000000003" hidden="1" customHeight="1" x14ac:dyDescent="0.25">
      <c r="BU188" s="16">
        <v>186</v>
      </c>
      <c r="BV188" s="24">
        <v>93</v>
      </c>
      <c r="BW188" s="40" t="s">
        <v>0</v>
      </c>
    </row>
    <row r="189" spans="73:75" ht="39.950000000000003" hidden="1" customHeight="1" x14ac:dyDescent="0.25">
      <c r="BU189" s="16">
        <v>187</v>
      </c>
      <c r="BV189" s="24">
        <v>93.5</v>
      </c>
      <c r="BW189" s="40" t="s">
        <v>0</v>
      </c>
    </row>
    <row r="190" spans="73:75" ht="39.950000000000003" hidden="1" customHeight="1" x14ac:dyDescent="0.25">
      <c r="BU190" s="16">
        <v>188</v>
      </c>
      <c r="BV190" s="24">
        <v>94</v>
      </c>
      <c r="BW190" s="40" t="s">
        <v>0</v>
      </c>
    </row>
    <row r="191" spans="73:75" ht="39.950000000000003" hidden="1" customHeight="1" x14ac:dyDescent="0.25">
      <c r="BU191" s="16">
        <v>189</v>
      </c>
      <c r="BV191" s="24">
        <v>94.5</v>
      </c>
      <c r="BW191" s="40" t="s">
        <v>0</v>
      </c>
    </row>
    <row r="192" spans="73:75" ht="39.950000000000003" hidden="1" customHeight="1" x14ac:dyDescent="0.25">
      <c r="BU192" s="16">
        <v>190</v>
      </c>
      <c r="BV192" s="24">
        <v>95</v>
      </c>
      <c r="BW192" s="40" t="s">
        <v>0</v>
      </c>
    </row>
    <row r="193" spans="73:75" ht="39.950000000000003" hidden="1" customHeight="1" x14ac:dyDescent="0.25">
      <c r="BU193" s="16">
        <v>191</v>
      </c>
      <c r="BV193" s="24">
        <v>95.5</v>
      </c>
      <c r="BW193" s="40" t="s">
        <v>0</v>
      </c>
    </row>
    <row r="194" spans="73:75" ht="39.950000000000003" hidden="1" customHeight="1" x14ac:dyDescent="0.25">
      <c r="BU194" s="16">
        <v>192</v>
      </c>
      <c r="BV194" s="24">
        <v>96</v>
      </c>
      <c r="BW194" s="40" t="s">
        <v>0</v>
      </c>
    </row>
    <row r="195" spans="73:75" ht="39.950000000000003" hidden="1" customHeight="1" x14ac:dyDescent="0.25">
      <c r="BU195" s="16">
        <v>193</v>
      </c>
      <c r="BV195" s="24">
        <v>96.5</v>
      </c>
      <c r="BW195" s="40" t="s">
        <v>0</v>
      </c>
    </row>
    <row r="196" spans="73:75" ht="39.950000000000003" hidden="1" customHeight="1" x14ac:dyDescent="0.25">
      <c r="BU196" s="16">
        <v>194</v>
      </c>
      <c r="BV196" s="24">
        <v>97</v>
      </c>
      <c r="BW196" s="40" t="s">
        <v>0</v>
      </c>
    </row>
    <row r="197" spans="73:75" ht="39.950000000000003" hidden="1" customHeight="1" x14ac:dyDescent="0.25">
      <c r="BU197" s="16">
        <v>195</v>
      </c>
      <c r="BV197" s="24">
        <v>97.5</v>
      </c>
      <c r="BW197" s="40" t="s">
        <v>0</v>
      </c>
    </row>
    <row r="198" spans="73:75" ht="39.950000000000003" hidden="1" customHeight="1" x14ac:dyDescent="0.25">
      <c r="BU198" s="16">
        <v>196</v>
      </c>
      <c r="BV198" s="24">
        <v>98</v>
      </c>
      <c r="BW198" s="40" t="s">
        <v>0</v>
      </c>
    </row>
    <row r="199" spans="73:75" ht="39.950000000000003" hidden="1" customHeight="1" x14ac:dyDescent="0.25">
      <c r="BU199" s="16">
        <v>197</v>
      </c>
      <c r="BV199" s="24">
        <v>98.5</v>
      </c>
      <c r="BW199" s="40" t="s">
        <v>0</v>
      </c>
    </row>
    <row r="200" spans="73:75" ht="39.950000000000003" hidden="1" customHeight="1" x14ac:dyDescent="0.25">
      <c r="BU200" s="16">
        <v>198</v>
      </c>
      <c r="BV200" s="24">
        <v>99</v>
      </c>
      <c r="BW200" s="40" t="s">
        <v>0</v>
      </c>
    </row>
    <row r="201" spans="73:75" ht="39.950000000000003" hidden="1" customHeight="1" x14ac:dyDescent="0.25">
      <c r="BU201" s="16">
        <v>199</v>
      </c>
      <c r="BV201" s="24">
        <v>99.5</v>
      </c>
      <c r="BW201" s="40" t="s">
        <v>0</v>
      </c>
    </row>
    <row r="202" spans="73:75" ht="39.950000000000003" hidden="1" customHeight="1" x14ac:dyDescent="0.25">
      <c r="BU202" s="16">
        <v>200</v>
      </c>
      <c r="BV202" s="24">
        <v>100</v>
      </c>
      <c r="BW202" s="40" t="s">
        <v>0</v>
      </c>
    </row>
    <row r="203" spans="73:75" ht="39.950000000000003" hidden="1" customHeight="1" x14ac:dyDescent="0.25">
      <c r="BU203" s="16">
        <v>201</v>
      </c>
      <c r="BV203" s="24">
        <v>100.5</v>
      </c>
      <c r="BW203" s="40" t="s">
        <v>0</v>
      </c>
    </row>
    <row r="204" spans="73:75" ht="39.950000000000003" hidden="1" customHeight="1" x14ac:dyDescent="0.25">
      <c r="BU204" s="16">
        <v>202</v>
      </c>
      <c r="BV204" s="24">
        <v>101</v>
      </c>
      <c r="BW204" s="40" t="s">
        <v>0</v>
      </c>
    </row>
    <row r="205" spans="73:75" ht="39.950000000000003" hidden="1" customHeight="1" x14ac:dyDescent="0.25">
      <c r="BU205" s="16">
        <v>203</v>
      </c>
      <c r="BV205" s="24">
        <v>101.5</v>
      </c>
      <c r="BW205" s="40" t="s">
        <v>0</v>
      </c>
    </row>
    <row r="206" spans="73:75" ht="39.950000000000003" hidden="1" customHeight="1" x14ac:dyDescent="0.25">
      <c r="BU206" s="16">
        <v>204</v>
      </c>
      <c r="BV206" s="24">
        <v>102</v>
      </c>
      <c r="BW206" s="40" t="s">
        <v>0</v>
      </c>
    </row>
    <row r="207" spans="73:75" ht="39.950000000000003" hidden="1" customHeight="1" x14ac:dyDescent="0.25">
      <c r="BU207" s="16">
        <v>205</v>
      </c>
      <c r="BV207" s="24">
        <v>102.5</v>
      </c>
      <c r="BW207" s="40" t="s">
        <v>0</v>
      </c>
    </row>
    <row r="208" spans="73:75" ht="39.950000000000003" hidden="1" customHeight="1" x14ac:dyDescent="0.25">
      <c r="BU208" s="16">
        <v>206</v>
      </c>
      <c r="BV208" s="24">
        <v>103</v>
      </c>
      <c r="BW208" s="40" t="s">
        <v>0</v>
      </c>
    </row>
    <row r="209" spans="73:75" ht="39.950000000000003" hidden="1" customHeight="1" x14ac:dyDescent="0.25">
      <c r="BU209" s="16">
        <v>207</v>
      </c>
      <c r="BV209" s="24">
        <v>103.5</v>
      </c>
      <c r="BW209" s="40" t="s">
        <v>0</v>
      </c>
    </row>
    <row r="210" spans="73:75" ht="39.950000000000003" hidden="1" customHeight="1" x14ac:dyDescent="0.25">
      <c r="BU210" s="16">
        <v>208</v>
      </c>
      <c r="BV210" s="24">
        <v>104</v>
      </c>
      <c r="BW210" s="40" t="s">
        <v>0</v>
      </c>
    </row>
    <row r="211" spans="73:75" ht="39.950000000000003" hidden="1" customHeight="1" x14ac:dyDescent="0.25">
      <c r="BU211" s="16">
        <v>209</v>
      </c>
      <c r="BV211" s="24">
        <v>104.5</v>
      </c>
      <c r="BW211" s="40" t="s">
        <v>0</v>
      </c>
    </row>
    <row r="212" spans="73:75" ht="39.950000000000003" hidden="1" customHeight="1" x14ac:dyDescent="0.25">
      <c r="BU212" s="16">
        <v>210</v>
      </c>
      <c r="BV212" s="24">
        <v>105</v>
      </c>
      <c r="BW212" s="40" t="s">
        <v>0</v>
      </c>
    </row>
    <row r="213" spans="73:75" ht="39.950000000000003" hidden="1" customHeight="1" x14ac:dyDescent="0.25">
      <c r="BU213" s="16">
        <v>211</v>
      </c>
      <c r="BV213" s="24">
        <v>105.5</v>
      </c>
      <c r="BW213" s="40" t="s">
        <v>0</v>
      </c>
    </row>
    <row r="214" spans="73:75" ht="39.950000000000003" hidden="1" customHeight="1" x14ac:dyDescent="0.25">
      <c r="BU214" s="16">
        <v>212</v>
      </c>
      <c r="BV214" s="24">
        <v>106</v>
      </c>
      <c r="BW214" s="40" t="s">
        <v>0</v>
      </c>
    </row>
    <row r="215" spans="73:75" ht="39.950000000000003" hidden="1" customHeight="1" x14ac:dyDescent="0.25">
      <c r="BU215" s="16">
        <v>213</v>
      </c>
      <c r="BV215" s="24">
        <v>106.5</v>
      </c>
      <c r="BW215" s="40" t="s">
        <v>0</v>
      </c>
    </row>
    <row r="216" spans="73:75" ht="39.950000000000003" hidden="1" customHeight="1" x14ac:dyDescent="0.25">
      <c r="BU216" s="16">
        <v>214</v>
      </c>
      <c r="BV216" s="24">
        <v>107</v>
      </c>
      <c r="BW216" s="40" t="s">
        <v>0</v>
      </c>
    </row>
    <row r="217" spans="73:75" ht="39.950000000000003" hidden="1" customHeight="1" x14ac:dyDescent="0.25">
      <c r="BU217" s="16">
        <v>215</v>
      </c>
      <c r="BV217" s="24">
        <v>107.5</v>
      </c>
      <c r="BW217" s="40" t="s">
        <v>0</v>
      </c>
    </row>
    <row r="218" spans="73:75" ht="39.950000000000003" hidden="1" customHeight="1" x14ac:dyDescent="0.25">
      <c r="BU218" s="16">
        <v>216</v>
      </c>
      <c r="BV218" s="24">
        <v>108</v>
      </c>
      <c r="BW218" s="40" t="s">
        <v>0</v>
      </c>
    </row>
    <row r="219" spans="73:75" ht="39.950000000000003" hidden="1" customHeight="1" x14ac:dyDescent="0.25">
      <c r="BU219" s="16">
        <v>217</v>
      </c>
      <c r="BV219" s="24">
        <v>108.5</v>
      </c>
      <c r="BW219" s="40" t="s">
        <v>0</v>
      </c>
    </row>
    <row r="220" spans="73:75" ht="39.950000000000003" hidden="1" customHeight="1" x14ac:dyDescent="0.25">
      <c r="BU220" s="16">
        <v>218</v>
      </c>
      <c r="BV220" s="24">
        <v>109</v>
      </c>
      <c r="BW220" s="40" t="s">
        <v>0</v>
      </c>
    </row>
    <row r="221" spans="73:75" ht="39.950000000000003" hidden="1" customHeight="1" x14ac:dyDescent="0.25">
      <c r="BU221" s="16">
        <v>219</v>
      </c>
      <c r="BV221" s="24">
        <v>109.5</v>
      </c>
      <c r="BW221" s="40" t="s">
        <v>0</v>
      </c>
    </row>
    <row r="222" spans="73:75" ht="39.950000000000003" hidden="1" customHeight="1" x14ac:dyDescent="0.25">
      <c r="BU222" s="16">
        <v>220</v>
      </c>
      <c r="BV222" s="24">
        <v>110</v>
      </c>
      <c r="BW222" s="40" t="s">
        <v>0</v>
      </c>
    </row>
    <row r="223" spans="73:75" ht="39.950000000000003" hidden="1" customHeight="1" x14ac:dyDescent="0.25">
      <c r="BU223" s="16">
        <v>221</v>
      </c>
      <c r="BV223" s="24">
        <v>110.5</v>
      </c>
      <c r="BW223" s="40" t="s">
        <v>0</v>
      </c>
    </row>
    <row r="224" spans="73:75" ht="39.950000000000003" hidden="1" customHeight="1" x14ac:dyDescent="0.25">
      <c r="BU224" s="16">
        <v>222</v>
      </c>
      <c r="BV224" s="24">
        <v>111</v>
      </c>
      <c r="BW224" s="40" t="s">
        <v>0</v>
      </c>
    </row>
    <row r="225" spans="73:75" ht="39.950000000000003" hidden="1" customHeight="1" x14ac:dyDescent="0.25">
      <c r="BU225" s="16">
        <v>223</v>
      </c>
      <c r="BV225" s="24">
        <v>111.5</v>
      </c>
      <c r="BW225" s="40" t="s">
        <v>0</v>
      </c>
    </row>
    <row r="226" spans="73:75" ht="39.950000000000003" hidden="1" customHeight="1" x14ac:dyDescent="0.25">
      <c r="BU226" s="16">
        <v>224</v>
      </c>
      <c r="BV226" s="24">
        <v>112</v>
      </c>
      <c r="BW226" s="40" t="s">
        <v>0</v>
      </c>
    </row>
    <row r="227" spans="73:75" ht="39.950000000000003" hidden="1" customHeight="1" x14ac:dyDescent="0.25">
      <c r="BU227" s="16">
        <v>225</v>
      </c>
      <c r="BV227" s="24">
        <v>112.5</v>
      </c>
      <c r="BW227" s="40" t="s">
        <v>0</v>
      </c>
    </row>
    <row r="228" spans="73:75" ht="39.950000000000003" hidden="1" customHeight="1" x14ac:dyDescent="0.25">
      <c r="BU228" s="16">
        <v>226</v>
      </c>
      <c r="BV228" s="24">
        <v>113</v>
      </c>
      <c r="BW228" s="40" t="s">
        <v>0</v>
      </c>
    </row>
    <row r="229" spans="73:75" ht="39.950000000000003" hidden="1" customHeight="1" x14ac:dyDescent="0.25">
      <c r="BU229" s="16">
        <v>227</v>
      </c>
      <c r="BV229" s="24">
        <v>113.5</v>
      </c>
      <c r="BW229" s="40" t="s">
        <v>0</v>
      </c>
    </row>
    <row r="230" spans="73:75" ht="39.950000000000003" hidden="1" customHeight="1" x14ac:dyDescent="0.25">
      <c r="BU230" s="16">
        <v>228</v>
      </c>
      <c r="BV230" s="24">
        <v>114</v>
      </c>
      <c r="BW230" s="40" t="s">
        <v>0</v>
      </c>
    </row>
    <row r="231" spans="73:75" ht="39.950000000000003" hidden="1" customHeight="1" x14ac:dyDescent="0.25">
      <c r="BU231" s="16">
        <v>229</v>
      </c>
      <c r="BV231" s="24">
        <v>114.5</v>
      </c>
      <c r="BW231" s="40" t="s">
        <v>0</v>
      </c>
    </row>
    <row r="232" spans="73:75" ht="39.950000000000003" hidden="1" customHeight="1" x14ac:dyDescent="0.25">
      <c r="BU232" s="16">
        <v>230</v>
      </c>
      <c r="BV232" s="24">
        <v>115</v>
      </c>
      <c r="BW232" s="40" t="s">
        <v>0</v>
      </c>
    </row>
    <row r="233" spans="73:75" ht="39.950000000000003" hidden="1" customHeight="1" x14ac:dyDescent="0.25">
      <c r="BU233" s="16">
        <v>231</v>
      </c>
      <c r="BV233" s="24">
        <v>115.5</v>
      </c>
      <c r="BW233" s="40" t="s">
        <v>0</v>
      </c>
    </row>
    <row r="234" spans="73:75" ht="39.950000000000003" hidden="1" customHeight="1" x14ac:dyDescent="0.25">
      <c r="BU234" s="16">
        <v>232</v>
      </c>
      <c r="BV234" s="24">
        <v>116</v>
      </c>
      <c r="BW234" s="40" t="s">
        <v>0</v>
      </c>
    </row>
    <row r="235" spans="73:75" ht="39.950000000000003" hidden="1" customHeight="1" x14ac:dyDescent="0.25">
      <c r="BU235" s="16">
        <v>233</v>
      </c>
      <c r="BV235" s="24">
        <v>116.5</v>
      </c>
      <c r="BW235" s="40" t="s">
        <v>0</v>
      </c>
    </row>
    <row r="236" spans="73:75" ht="39.950000000000003" hidden="1" customHeight="1" x14ac:dyDescent="0.25">
      <c r="BU236" s="16">
        <v>234</v>
      </c>
      <c r="BV236" s="24">
        <v>117</v>
      </c>
      <c r="BW236" s="40" t="s">
        <v>0</v>
      </c>
    </row>
    <row r="237" spans="73:75" ht="39.950000000000003" hidden="1" customHeight="1" x14ac:dyDescent="0.25">
      <c r="BU237" s="16">
        <v>235</v>
      </c>
      <c r="BV237" s="24">
        <v>117.5</v>
      </c>
      <c r="BW237" s="40" t="s">
        <v>0</v>
      </c>
    </row>
    <row r="238" spans="73:75" ht="39.950000000000003" hidden="1" customHeight="1" x14ac:dyDescent="0.25">
      <c r="BU238" s="16">
        <v>236</v>
      </c>
      <c r="BV238" s="24">
        <v>118</v>
      </c>
      <c r="BW238" s="40" t="s">
        <v>0</v>
      </c>
    </row>
    <row r="239" spans="73:75" ht="39.950000000000003" hidden="1" customHeight="1" x14ac:dyDescent="0.25">
      <c r="BU239" s="16">
        <v>237</v>
      </c>
      <c r="BV239" s="24">
        <v>118.5</v>
      </c>
      <c r="BW239" s="40" t="s">
        <v>0</v>
      </c>
    </row>
    <row r="240" spans="73:75" ht="39.950000000000003" hidden="1" customHeight="1" x14ac:dyDescent="0.25">
      <c r="BU240" s="16">
        <v>238</v>
      </c>
      <c r="BV240" s="24">
        <v>119</v>
      </c>
      <c r="BW240" s="40" t="s">
        <v>0</v>
      </c>
    </row>
    <row r="241" spans="1:75" ht="39.950000000000003" hidden="1" customHeight="1" x14ac:dyDescent="0.25">
      <c r="BU241" s="16">
        <v>239</v>
      </c>
      <c r="BV241" s="24">
        <v>119.5</v>
      </c>
      <c r="BW241" s="40" t="s">
        <v>0</v>
      </c>
    </row>
    <row r="242" spans="1:75" ht="39.950000000000003" hidden="1" customHeight="1" x14ac:dyDescent="0.25">
      <c r="BU242" s="16">
        <v>240</v>
      </c>
      <c r="BV242" s="24">
        <v>120</v>
      </c>
      <c r="BW242" s="40" t="s">
        <v>0</v>
      </c>
    </row>
    <row r="243" spans="1:75" ht="39.950000000000003" hidden="1" customHeight="1" x14ac:dyDescent="0.25">
      <c r="BU243" s="16">
        <v>241</v>
      </c>
      <c r="BV243" s="24">
        <v>120.5</v>
      </c>
      <c r="BW243" s="40" t="s">
        <v>0</v>
      </c>
    </row>
    <row r="244" spans="1:75" ht="39.950000000000003" hidden="1" customHeight="1" x14ac:dyDescent="0.25">
      <c r="BU244" s="16">
        <v>242</v>
      </c>
      <c r="BV244" s="24">
        <v>121</v>
      </c>
      <c r="BW244" s="40" t="s">
        <v>0</v>
      </c>
    </row>
    <row r="245" spans="1:75" ht="39.950000000000003" hidden="1" customHeight="1" x14ac:dyDescent="0.25">
      <c r="BU245" s="16">
        <v>243</v>
      </c>
      <c r="BV245" s="24">
        <v>121.5</v>
      </c>
      <c r="BW245" s="40" t="s">
        <v>0</v>
      </c>
    </row>
    <row r="246" spans="1:75" ht="39.950000000000003" hidden="1" customHeight="1" x14ac:dyDescent="0.25">
      <c r="BU246" s="16">
        <v>244</v>
      </c>
      <c r="BV246" s="24">
        <v>122</v>
      </c>
      <c r="BW246" s="40" t="s">
        <v>0</v>
      </c>
    </row>
    <row r="247" spans="1:75" ht="39.950000000000003" hidden="1" customHeight="1" x14ac:dyDescent="0.25">
      <c r="BU247" s="16">
        <v>245</v>
      </c>
      <c r="BV247" s="24">
        <v>122.5</v>
      </c>
      <c r="BW247" s="40" t="s">
        <v>0</v>
      </c>
    </row>
    <row r="248" spans="1:75" ht="39.950000000000003" hidden="1" customHeight="1" x14ac:dyDescent="0.25">
      <c r="BU248" s="16">
        <v>246</v>
      </c>
      <c r="BV248" s="24">
        <v>123</v>
      </c>
      <c r="BW248" s="40" t="s">
        <v>0</v>
      </c>
    </row>
    <row r="249" spans="1:75" ht="39.950000000000003" hidden="1" customHeight="1" x14ac:dyDescent="0.25">
      <c r="BU249" s="16">
        <v>247</v>
      </c>
      <c r="BV249" s="24">
        <v>123.5</v>
      </c>
      <c r="BW249" s="40" t="s">
        <v>0</v>
      </c>
    </row>
    <row r="250" spans="1:75" ht="39.950000000000003" hidden="1" customHeight="1" x14ac:dyDescent="0.25">
      <c r="BU250" s="16">
        <v>248</v>
      </c>
      <c r="BV250" s="24">
        <v>124</v>
      </c>
      <c r="BW250" s="40" t="s">
        <v>0</v>
      </c>
    </row>
    <row r="251" spans="1:75" ht="39.950000000000003" hidden="1" customHeight="1" x14ac:dyDescent="0.25">
      <c r="BU251" s="16">
        <v>249</v>
      </c>
      <c r="BV251" s="24">
        <v>124.5</v>
      </c>
      <c r="BW251" s="40" t="s">
        <v>0</v>
      </c>
    </row>
    <row r="252" spans="1:75" ht="39.950000000000003" hidden="1" customHeight="1" x14ac:dyDescent="0.25">
      <c r="BU252" s="16">
        <v>250</v>
      </c>
      <c r="BV252" s="24">
        <v>125</v>
      </c>
      <c r="BW252" s="40" t="s">
        <v>0</v>
      </c>
    </row>
    <row r="253" spans="1:75" ht="39.950000000000003" hidden="1" customHeight="1" x14ac:dyDescent="0.25">
      <c r="BU253" s="16">
        <v>251</v>
      </c>
      <c r="BV253" s="24">
        <v>125.5</v>
      </c>
      <c r="BW253" s="40" t="s">
        <v>0</v>
      </c>
    </row>
    <row r="254" spans="1:75" s="47" customFormat="1" ht="39.950000000000003" hidden="1"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45"/>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v>252</v>
      </c>
      <c r="BV254" s="24">
        <v>126</v>
      </c>
      <c r="BW254" s="40" t="s">
        <v>0</v>
      </c>
    </row>
    <row r="255" spans="1:75" s="47" customFormat="1" ht="39.950000000000003" hidden="1"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45"/>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v>253</v>
      </c>
      <c r="BV255" s="24">
        <v>126.5</v>
      </c>
      <c r="BW255" s="40" t="s">
        <v>0</v>
      </c>
    </row>
    <row r="256" spans="1:75" s="47" customFormat="1" ht="39.950000000000003" hidden="1"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45"/>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v>254</v>
      </c>
      <c r="BV256" s="24">
        <v>127</v>
      </c>
      <c r="BW256" s="40" t="s">
        <v>0</v>
      </c>
    </row>
    <row r="257" spans="1:75" s="47" customFormat="1" ht="39.950000000000003" hidden="1"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45"/>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v>255</v>
      </c>
      <c r="BV257" s="24">
        <v>127.5</v>
      </c>
      <c r="BW257" s="40" t="s">
        <v>0</v>
      </c>
    </row>
    <row r="258" spans="1:75" s="47" customFormat="1" ht="39.950000000000003" hidden="1"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45"/>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v>256</v>
      </c>
      <c r="BV258" s="24">
        <v>128</v>
      </c>
      <c r="BW258" s="40" t="s">
        <v>0</v>
      </c>
    </row>
    <row r="259" spans="1:75" s="47" customFormat="1" ht="39.950000000000003" hidden="1"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45"/>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v>257</v>
      </c>
      <c r="BV259" s="24">
        <v>128.5</v>
      </c>
      <c r="BW259" s="40" t="s">
        <v>0</v>
      </c>
    </row>
    <row r="260" spans="1:75" s="47" customFormat="1" ht="39.950000000000003" hidden="1"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45"/>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v>258</v>
      </c>
      <c r="BV260" s="24">
        <v>129</v>
      </c>
      <c r="BW260" s="40" t="s">
        <v>0</v>
      </c>
    </row>
    <row r="261" spans="1:75" s="47" customFormat="1" ht="39.950000000000003" hidden="1"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45"/>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v>259</v>
      </c>
      <c r="BV261" s="24">
        <v>129.5</v>
      </c>
      <c r="BW261" s="40" t="s">
        <v>0</v>
      </c>
    </row>
    <row r="262" spans="1:75" s="47" customFormat="1" ht="39.950000000000003" hidden="1"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45"/>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v>260</v>
      </c>
      <c r="BV262" s="24">
        <v>130</v>
      </c>
      <c r="BW262" s="40" t="s">
        <v>0</v>
      </c>
    </row>
    <row r="263" spans="1:75" s="47" customFormat="1" ht="39.950000000000003" hidden="1"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45"/>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v>261</v>
      </c>
      <c r="BV263" s="24">
        <v>130.5</v>
      </c>
      <c r="BW263" s="40" t="s">
        <v>0</v>
      </c>
    </row>
    <row r="264" spans="1:75" s="47" customFormat="1" ht="39.950000000000003" hidden="1"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45"/>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v>262</v>
      </c>
      <c r="BV264" s="24">
        <v>131</v>
      </c>
      <c r="BW264" s="40" t="s">
        <v>0</v>
      </c>
    </row>
    <row r="265" spans="1:75" s="47" customFormat="1" ht="39.950000000000003" hidden="1"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45"/>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v>263</v>
      </c>
      <c r="BV265" s="24">
        <v>131.5</v>
      </c>
      <c r="BW265" s="40" t="s">
        <v>0</v>
      </c>
    </row>
    <row r="266" spans="1:75" s="47" customFormat="1" ht="39.950000000000003" hidden="1"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45"/>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v>264</v>
      </c>
      <c r="BV266" s="24">
        <v>132</v>
      </c>
      <c r="BW266" s="40" t="s">
        <v>0</v>
      </c>
    </row>
    <row r="267" spans="1:75" s="47" customFormat="1" ht="39.950000000000003" hidden="1"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45"/>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v>265</v>
      </c>
      <c r="BV267" s="24">
        <v>132.5</v>
      </c>
      <c r="BW267" s="40" t="s">
        <v>0</v>
      </c>
    </row>
    <row r="268" spans="1:75" s="47" customFormat="1" ht="39.950000000000003" hidden="1"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45"/>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v>266</v>
      </c>
      <c r="BV268" s="24">
        <v>133</v>
      </c>
      <c r="BW268" s="40" t="s">
        <v>0</v>
      </c>
    </row>
    <row r="269" spans="1:75" s="47" customFormat="1" ht="39.950000000000003" hidden="1"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45"/>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v>267</v>
      </c>
      <c r="BV269" s="24">
        <v>133.5</v>
      </c>
      <c r="BW269" s="40" t="s">
        <v>0</v>
      </c>
    </row>
    <row r="270" spans="1:75" ht="39.950000000000003" hidden="1" customHeight="1" x14ac:dyDescent="0.25">
      <c r="BU270" s="16">
        <v>268</v>
      </c>
      <c r="BV270" s="24">
        <v>134</v>
      </c>
      <c r="BW270" s="40" t="s">
        <v>0</v>
      </c>
    </row>
    <row r="271" spans="1:75" ht="39.950000000000003" hidden="1" customHeight="1" x14ac:dyDescent="0.25">
      <c r="BU271" s="16">
        <v>269</v>
      </c>
      <c r="BV271" s="24">
        <v>134.5</v>
      </c>
      <c r="BW271" s="40" t="s">
        <v>0</v>
      </c>
    </row>
    <row r="272" spans="1:75" ht="39.950000000000003" hidden="1" customHeight="1" x14ac:dyDescent="0.25">
      <c r="BU272" s="16">
        <v>270</v>
      </c>
      <c r="BV272" s="24">
        <v>135</v>
      </c>
      <c r="BW272" s="40" t="s">
        <v>0</v>
      </c>
    </row>
    <row r="273" spans="73:75" ht="39.950000000000003" hidden="1" customHeight="1" x14ac:dyDescent="0.25">
      <c r="BU273" s="16">
        <v>271</v>
      </c>
      <c r="BV273" s="24">
        <v>135.5</v>
      </c>
      <c r="BW273" s="40" t="s">
        <v>0</v>
      </c>
    </row>
    <row r="274" spans="73:75" ht="39.950000000000003" hidden="1" customHeight="1" x14ac:dyDescent="0.25">
      <c r="BU274" s="16">
        <v>272</v>
      </c>
      <c r="BV274" s="24">
        <v>136</v>
      </c>
      <c r="BW274" s="40" t="s">
        <v>0</v>
      </c>
    </row>
    <row r="275" spans="73:75" ht="39.950000000000003" hidden="1" customHeight="1" x14ac:dyDescent="0.25">
      <c r="BU275" s="16">
        <v>273</v>
      </c>
      <c r="BV275" s="24">
        <v>136.5</v>
      </c>
      <c r="BW275" s="40" t="s">
        <v>0</v>
      </c>
    </row>
    <row r="276" spans="73:75" ht="39.950000000000003" hidden="1" customHeight="1" x14ac:dyDescent="0.25">
      <c r="BU276" s="16">
        <v>274</v>
      </c>
      <c r="BV276" s="24">
        <v>137</v>
      </c>
      <c r="BW276" s="40" t="s">
        <v>0</v>
      </c>
    </row>
    <row r="277" spans="73:75" ht="39.950000000000003" hidden="1" customHeight="1" x14ac:dyDescent="0.25">
      <c r="BU277" s="16">
        <v>275</v>
      </c>
      <c r="BV277" s="24">
        <v>137.5</v>
      </c>
      <c r="BW277" s="40" t="s">
        <v>0</v>
      </c>
    </row>
    <row r="278" spans="73:75" ht="39.950000000000003" hidden="1" customHeight="1" x14ac:dyDescent="0.25">
      <c r="BU278" s="16">
        <v>276</v>
      </c>
      <c r="BV278" s="24">
        <v>138</v>
      </c>
      <c r="BW278" s="40" t="s">
        <v>0</v>
      </c>
    </row>
    <row r="279" spans="73:75" ht="39.950000000000003" hidden="1" customHeight="1" x14ac:dyDescent="0.25">
      <c r="BU279" s="16">
        <v>277</v>
      </c>
      <c r="BV279" s="24">
        <v>138.5</v>
      </c>
      <c r="BW279" s="40" t="s">
        <v>0</v>
      </c>
    </row>
    <row r="280" spans="73:75" ht="39.950000000000003" hidden="1" customHeight="1" x14ac:dyDescent="0.25">
      <c r="BU280" s="16">
        <v>278</v>
      </c>
      <c r="BV280" s="24">
        <v>139</v>
      </c>
      <c r="BW280" s="40" t="s">
        <v>0</v>
      </c>
    </row>
    <row r="281" spans="73:75" ht="39.950000000000003" hidden="1" customHeight="1" x14ac:dyDescent="0.25">
      <c r="BU281" s="16">
        <v>279</v>
      </c>
      <c r="BV281" s="24">
        <v>139.5</v>
      </c>
      <c r="BW281" s="40" t="s">
        <v>0</v>
      </c>
    </row>
    <row r="282" spans="73:75" ht="39.950000000000003" hidden="1" customHeight="1" x14ac:dyDescent="0.25">
      <c r="BU282" s="16">
        <v>280</v>
      </c>
      <c r="BV282" s="24">
        <v>140</v>
      </c>
      <c r="BW282" s="40" t="s">
        <v>0</v>
      </c>
    </row>
    <row r="283" spans="73:75" ht="39.950000000000003" hidden="1" customHeight="1" x14ac:dyDescent="0.25">
      <c r="BU283" s="16">
        <v>281</v>
      </c>
      <c r="BV283" s="24">
        <v>140.5</v>
      </c>
      <c r="BW283" s="40" t="s">
        <v>0</v>
      </c>
    </row>
    <row r="284" spans="73:75" ht="39.950000000000003" hidden="1" customHeight="1" x14ac:dyDescent="0.25">
      <c r="BU284" s="16">
        <v>282</v>
      </c>
      <c r="BV284" s="24">
        <v>141</v>
      </c>
      <c r="BW284" s="40" t="s">
        <v>0</v>
      </c>
    </row>
    <row r="285" spans="73:75" ht="39.950000000000003" hidden="1" customHeight="1" x14ac:dyDescent="0.25">
      <c r="BU285" s="16">
        <v>283</v>
      </c>
      <c r="BV285" s="24">
        <v>141.5</v>
      </c>
      <c r="BW285" s="40" t="s">
        <v>0</v>
      </c>
    </row>
    <row r="286" spans="73:75" ht="39.950000000000003" hidden="1" customHeight="1" x14ac:dyDescent="0.25">
      <c r="BU286" s="16">
        <v>284</v>
      </c>
      <c r="BV286" s="24">
        <v>142</v>
      </c>
      <c r="BW286" s="40" t="s">
        <v>0</v>
      </c>
    </row>
    <row r="287" spans="73:75" ht="39.950000000000003" hidden="1" customHeight="1" x14ac:dyDescent="0.25">
      <c r="BU287" s="16">
        <v>285</v>
      </c>
      <c r="BV287" s="24">
        <v>142.5</v>
      </c>
      <c r="BW287" s="40" t="s">
        <v>0</v>
      </c>
    </row>
    <row r="288" spans="73:75" ht="39.950000000000003" hidden="1" customHeight="1" x14ac:dyDescent="0.25">
      <c r="BU288" s="16">
        <v>286</v>
      </c>
      <c r="BV288" s="24">
        <v>143</v>
      </c>
      <c r="BW288" s="40" t="s">
        <v>0</v>
      </c>
    </row>
    <row r="289" spans="73:75" ht="39.950000000000003" hidden="1" customHeight="1" x14ac:dyDescent="0.25">
      <c r="BU289" s="16">
        <v>287</v>
      </c>
      <c r="BV289" s="24">
        <v>143.5</v>
      </c>
      <c r="BW289" s="40" t="s">
        <v>0</v>
      </c>
    </row>
    <row r="290" spans="73:75" ht="39.950000000000003" hidden="1" customHeight="1" x14ac:dyDescent="0.25">
      <c r="BU290" s="16">
        <v>288</v>
      </c>
      <c r="BV290" s="24">
        <v>144</v>
      </c>
      <c r="BW290" s="40" t="s">
        <v>0</v>
      </c>
    </row>
    <row r="291" spans="73:75" ht="39.950000000000003" hidden="1" customHeight="1" x14ac:dyDescent="0.25">
      <c r="BU291" s="16">
        <v>289</v>
      </c>
      <c r="BV291" s="24">
        <v>144.5</v>
      </c>
      <c r="BW291" s="40" t="s">
        <v>0</v>
      </c>
    </row>
    <row r="292" spans="73:75" ht="39.950000000000003" hidden="1" customHeight="1" x14ac:dyDescent="0.25">
      <c r="BU292" s="16">
        <v>290</v>
      </c>
      <c r="BV292" s="24">
        <v>145</v>
      </c>
      <c r="BW292" s="40" t="s">
        <v>0</v>
      </c>
    </row>
    <row r="293" spans="73:75" ht="39.950000000000003" hidden="1" customHeight="1" x14ac:dyDescent="0.25">
      <c r="BU293" s="16">
        <v>291</v>
      </c>
      <c r="BV293" s="24">
        <v>145.5</v>
      </c>
      <c r="BW293" s="40" t="s">
        <v>0</v>
      </c>
    </row>
    <row r="294" spans="73:75" ht="39.950000000000003" hidden="1" customHeight="1" x14ac:dyDescent="0.25">
      <c r="BU294" s="16">
        <v>292</v>
      </c>
      <c r="BV294" s="24">
        <v>146</v>
      </c>
      <c r="BW294" s="40" t="s">
        <v>0</v>
      </c>
    </row>
    <row r="295" spans="73:75" ht="39.950000000000003" hidden="1" customHeight="1" x14ac:dyDescent="0.25">
      <c r="BU295" s="16">
        <v>293</v>
      </c>
      <c r="BV295" s="24">
        <v>146.5</v>
      </c>
      <c r="BW295" s="40" t="s">
        <v>0</v>
      </c>
    </row>
    <row r="296" spans="73:75" ht="39.950000000000003" hidden="1" customHeight="1" x14ac:dyDescent="0.25">
      <c r="BU296" s="16">
        <v>294</v>
      </c>
      <c r="BV296" s="24">
        <v>147</v>
      </c>
      <c r="BW296" s="40" t="s">
        <v>0</v>
      </c>
    </row>
    <row r="297" spans="73:75" ht="39.950000000000003" hidden="1" customHeight="1" x14ac:dyDescent="0.25">
      <c r="BU297" s="16">
        <v>295</v>
      </c>
      <c r="BV297" s="24">
        <v>147.5</v>
      </c>
      <c r="BW297" s="40" t="s">
        <v>0</v>
      </c>
    </row>
    <row r="298" spans="73:75" ht="39.950000000000003" hidden="1" customHeight="1" x14ac:dyDescent="0.25">
      <c r="BU298" s="16">
        <v>296</v>
      </c>
      <c r="BV298" s="24">
        <v>148</v>
      </c>
      <c r="BW298" s="40" t="s">
        <v>0</v>
      </c>
    </row>
    <row r="299" spans="73:75" ht="39.950000000000003" hidden="1" customHeight="1" x14ac:dyDescent="0.25">
      <c r="BU299" s="16">
        <v>297</v>
      </c>
      <c r="BV299" s="24">
        <v>148.5</v>
      </c>
      <c r="BW299" s="40" t="s">
        <v>0</v>
      </c>
    </row>
    <row r="300" spans="73:75" ht="39.950000000000003" hidden="1" customHeight="1" x14ac:dyDescent="0.25">
      <c r="BU300" s="16">
        <v>298</v>
      </c>
      <c r="BV300" s="24">
        <v>149</v>
      </c>
      <c r="BW300" s="40" t="s">
        <v>0</v>
      </c>
    </row>
    <row r="301" spans="73:75" ht="39.950000000000003" hidden="1" customHeight="1" x14ac:dyDescent="0.25">
      <c r="BU301" s="16">
        <v>299</v>
      </c>
      <c r="BV301" s="24">
        <v>149.5</v>
      </c>
      <c r="BW301" s="40" t="s">
        <v>0</v>
      </c>
    </row>
    <row r="302" spans="73:75" ht="39.950000000000003" hidden="1" customHeight="1" x14ac:dyDescent="0.25">
      <c r="BU302" s="16">
        <v>300</v>
      </c>
      <c r="BV302" s="24">
        <v>150</v>
      </c>
      <c r="BW302" s="40" t="s">
        <v>0</v>
      </c>
    </row>
    <row r="303" spans="73:75" ht="39.950000000000003" hidden="1" customHeight="1" x14ac:dyDescent="0.25">
      <c r="BU303" s="16">
        <v>301</v>
      </c>
      <c r="BV303" s="24">
        <v>150.5</v>
      </c>
      <c r="BW303" s="40" t="s">
        <v>0</v>
      </c>
    </row>
    <row r="304" spans="73:75" ht="39.950000000000003" hidden="1" customHeight="1" x14ac:dyDescent="0.25">
      <c r="BU304" s="16">
        <v>302</v>
      </c>
      <c r="BV304" s="24">
        <v>151</v>
      </c>
      <c r="BW304" s="40" t="s">
        <v>0</v>
      </c>
    </row>
    <row r="305" spans="73:75" ht="39.950000000000003" hidden="1" customHeight="1" x14ac:dyDescent="0.25">
      <c r="BU305" s="16">
        <v>303</v>
      </c>
      <c r="BV305" s="24">
        <v>151.5</v>
      </c>
      <c r="BW305" s="40" t="s">
        <v>0</v>
      </c>
    </row>
    <row r="306" spans="73:75" ht="39.950000000000003" hidden="1" customHeight="1" x14ac:dyDescent="0.25">
      <c r="BU306" s="16">
        <v>304</v>
      </c>
      <c r="BV306" s="24">
        <v>152</v>
      </c>
      <c r="BW306" s="40" t="s">
        <v>0</v>
      </c>
    </row>
    <row r="307" spans="73:75" ht="39.950000000000003" hidden="1" customHeight="1" x14ac:dyDescent="0.25">
      <c r="BU307" s="16">
        <v>305</v>
      </c>
      <c r="BV307" s="24">
        <v>152.5</v>
      </c>
      <c r="BW307" s="40" t="s">
        <v>0</v>
      </c>
    </row>
    <row r="308" spans="73:75" ht="39.950000000000003" hidden="1" customHeight="1" x14ac:dyDescent="0.25">
      <c r="BU308" s="16">
        <v>306</v>
      </c>
      <c r="BV308" s="24">
        <v>153</v>
      </c>
      <c r="BW308" s="40" t="s">
        <v>0</v>
      </c>
    </row>
    <row r="309" spans="73:75" ht="39.950000000000003" hidden="1" customHeight="1" x14ac:dyDescent="0.25">
      <c r="BU309" s="16">
        <v>307</v>
      </c>
      <c r="BV309" s="24">
        <v>153.5</v>
      </c>
      <c r="BW309" s="40" t="s">
        <v>0</v>
      </c>
    </row>
    <row r="310" spans="73:75" ht="39.950000000000003" hidden="1" customHeight="1" x14ac:dyDescent="0.25">
      <c r="BU310" s="16">
        <v>308</v>
      </c>
      <c r="BV310" s="24">
        <v>154</v>
      </c>
      <c r="BW310" s="40" t="s">
        <v>0</v>
      </c>
    </row>
    <row r="311" spans="73:75" ht="39.950000000000003" hidden="1" customHeight="1" x14ac:dyDescent="0.25">
      <c r="BU311" s="16">
        <v>309</v>
      </c>
      <c r="BV311" s="24">
        <v>154.5</v>
      </c>
      <c r="BW311" s="40" t="s">
        <v>0</v>
      </c>
    </row>
    <row r="312" spans="73:75" ht="39.950000000000003" hidden="1" customHeight="1" x14ac:dyDescent="0.25">
      <c r="BU312" s="16">
        <v>310</v>
      </c>
      <c r="BV312" s="24">
        <v>155</v>
      </c>
      <c r="BW312" s="40" t="s">
        <v>0</v>
      </c>
    </row>
    <row r="313" spans="73:75" ht="39.950000000000003" hidden="1" customHeight="1" x14ac:dyDescent="0.25">
      <c r="BU313" s="16">
        <v>311</v>
      </c>
      <c r="BV313" s="24">
        <v>155.5</v>
      </c>
      <c r="BW313" s="40" t="s">
        <v>0</v>
      </c>
    </row>
    <row r="314" spans="73:75" ht="39.950000000000003" hidden="1" customHeight="1" x14ac:dyDescent="0.25">
      <c r="BU314" s="16">
        <v>312</v>
      </c>
      <c r="BV314" s="24">
        <v>156</v>
      </c>
      <c r="BW314" s="40" t="s">
        <v>0</v>
      </c>
    </row>
    <row r="315" spans="73:75" ht="39.950000000000003" hidden="1" customHeight="1" x14ac:dyDescent="0.25">
      <c r="BU315" s="16">
        <v>313</v>
      </c>
      <c r="BV315" s="24">
        <v>156.5</v>
      </c>
      <c r="BW315" s="40" t="s">
        <v>0</v>
      </c>
    </row>
    <row r="316" spans="73:75" ht="39.950000000000003" hidden="1" customHeight="1" x14ac:dyDescent="0.25">
      <c r="BU316" s="16">
        <v>314</v>
      </c>
      <c r="BV316" s="24">
        <v>157</v>
      </c>
      <c r="BW316" s="40" t="s">
        <v>0</v>
      </c>
    </row>
    <row r="317" spans="73:75" ht="39.950000000000003" hidden="1" customHeight="1" x14ac:dyDescent="0.25">
      <c r="BU317" s="16">
        <v>315</v>
      </c>
      <c r="BV317" s="24">
        <v>157.5</v>
      </c>
      <c r="BW317" s="40" t="s">
        <v>0</v>
      </c>
    </row>
    <row r="318" spans="73:75" ht="39.950000000000003" hidden="1" customHeight="1" x14ac:dyDescent="0.25">
      <c r="BU318" s="16">
        <v>316</v>
      </c>
      <c r="BV318" s="24">
        <v>158</v>
      </c>
      <c r="BW318" s="40" t="s">
        <v>0</v>
      </c>
    </row>
    <row r="319" spans="73:75" ht="39.950000000000003" hidden="1" customHeight="1" x14ac:dyDescent="0.25">
      <c r="BU319" s="16">
        <v>317</v>
      </c>
      <c r="BV319" s="24">
        <v>158.5</v>
      </c>
      <c r="BW319" s="40" t="s">
        <v>0</v>
      </c>
    </row>
    <row r="320" spans="73:75" ht="39.950000000000003" hidden="1" customHeight="1" x14ac:dyDescent="0.25">
      <c r="BU320" s="16">
        <v>318</v>
      </c>
      <c r="BV320" s="24">
        <v>159</v>
      </c>
      <c r="BW320" s="40" t="s">
        <v>0</v>
      </c>
    </row>
    <row r="321" spans="73:75" ht="39.950000000000003" hidden="1" customHeight="1" x14ac:dyDescent="0.25">
      <c r="BU321" s="16">
        <v>319</v>
      </c>
      <c r="BV321" s="24">
        <v>159.5</v>
      </c>
      <c r="BW321" s="40" t="s">
        <v>0</v>
      </c>
    </row>
    <row r="322" spans="73:75" ht="39.950000000000003" hidden="1" customHeight="1" x14ac:dyDescent="0.25">
      <c r="BU322" s="16">
        <v>320</v>
      </c>
      <c r="BV322" s="24">
        <v>160</v>
      </c>
      <c r="BW322" s="40" t="s">
        <v>0</v>
      </c>
    </row>
    <row r="323" spans="73:75" ht="39.950000000000003" hidden="1" customHeight="1" x14ac:dyDescent="0.25">
      <c r="BU323" s="16">
        <v>321</v>
      </c>
      <c r="BV323" s="24">
        <v>160.5</v>
      </c>
      <c r="BW323" s="40" t="s">
        <v>0</v>
      </c>
    </row>
    <row r="324" spans="73:75" ht="39.950000000000003" hidden="1" customHeight="1" x14ac:dyDescent="0.25">
      <c r="BU324" s="16">
        <v>322</v>
      </c>
      <c r="BV324" s="24">
        <v>161</v>
      </c>
      <c r="BW324" s="40" t="s">
        <v>0</v>
      </c>
    </row>
    <row r="325" spans="73:75" ht="39.950000000000003" hidden="1" customHeight="1" x14ac:dyDescent="0.25">
      <c r="BU325" s="16">
        <v>323</v>
      </c>
      <c r="BV325" s="24">
        <v>161.5</v>
      </c>
      <c r="BW325" s="40" t="s">
        <v>0</v>
      </c>
    </row>
    <row r="326" spans="73:75" ht="39.950000000000003" hidden="1" customHeight="1" x14ac:dyDescent="0.25">
      <c r="BU326" s="16">
        <v>324</v>
      </c>
      <c r="BV326" s="24">
        <v>162</v>
      </c>
      <c r="BW326" s="40" t="s">
        <v>0</v>
      </c>
    </row>
    <row r="327" spans="73:75" ht="39.950000000000003" hidden="1" customHeight="1" x14ac:dyDescent="0.25">
      <c r="BU327" s="16">
        <v>325</v>
      </c>
      <c r="BV327" s="24">
        <v>162.5</v>
      </c>
      <c r="BW327" s="40" t="s">
        <v>0</v>
      </c>
    </row>
    <row r="328" spans="73:75" ht="39.950000000000003" hidden="1" customHeight="1" x14ac:dyDescent="0.25">
      <c r="BU328" s="16">
        <v>326</v>
      </c>
      <c r="BV328" s="24">
        <v>163</v>
      </c>
      <c r="BW328" s="40" t="s">
        <v>0</v>
      </c>
    </row>
    <row r="329" spans="73:75" ht="39.950000000000003" hidden="1" customHeight="1" x14ac:dyDescent="0.25">
      <c r="BU329" s="16">
        <v>327</v>
      </c>
      <c r="BV329" s="24">
        <v>163.5</v>
      </c>
      <c r="BW329" s="40" t="s">
        <v>0</v>
      </c>
    </row>
    <row r="330" spans="73:75" ht="39.950000000000003" hidden="1" customHeight="1" x14ac:dyDescent="0.25">
      <c r="BU330" s="16">
        <v>328</v>
      </c>
      <c r="BV330" s="24">
        <v>164</v>
      </c>
      <c r="BW330" s="40" t="s">
        <v>0</v>
      </c>
    </row>
    <row r="331" spans="73:75" ht="39.950000000000003" hidden="1" customHeight="1" x14ac:dyDescent="0.25">
      <c r="BU331" s="16">
        <v>329</v>
      </c>
      <c r="BV331" s="24">
        <v>164.5</v>
      </c>
      <c r="BW331" s="40" t="s">
        <v>0</v>
      </c>
    </row>
    <row r="332" spans="73:75" ht="39.950000000000003" hidden="1" customHeight="1" x14ac:dyDescent="0.25">
      <c r="BU332" s="16">
        <v>330</v>
      </c>
      <c r="BV332" s="24">
        <v>165</v>
      </c>
      <c r="BW332" s="40" t="s">
        <v>0</v>
      </c>
    </row>
    <row r="333" spans="73:75" ht="39.950000000000003" hidden="1" customHeight="1" x14ac:dyDescent="0.25">
      <c r="BU333" s="16">
        <v>331</v>
      </c>
      <c r="BV333" s="24">
        <v>165.5</v>
      </c>
      <c r="BW333" s="40" t="s">
        <v>0</v>
      </c>
    </row>
    <row r="334" spans="73:75" ht="39.950000000000003" hidden="1" customHeight="1" x14ac:dyDescent="0.25">
      <c r="BU334" s="16">
        <v>332</v>
      </c>
      <c r="BV334" s="24">
        <v>166</v>
      </c>
      <c r="BW334" s="40" t="s">
        <v>0</v>
      </c>
    </row>
    <row r="335" spans="73:75" ht="39.950000000000003" hidden="1" customHeight="1" x14ac:dyDescent="0.25">
      <c r="BU335" s="16">
        <v>333</v>
      </c>
      <c r="BV335" s="24">
        <v>166.5</v>
      </c>
      <c r="BW335" s="40" t="s">
        <v>0</v>
      </c>
    </row>
    <row r="336" spans="73:75" ht="39.950000000000003" hidden="1" customHeight="1" x14ac:dyDescent="0.25">
      <c r="BU336" s="16">
        <v>334</v>
      </c>
      <c r="BV336" s="24">
        <v>167</v>
      </c>
      <c r="BW336" s="40" t="s">
        <v>0</v>
      </c>
    </row>
    <row r="337" spans="73:75" ht="39.950000000000003" hidden="1" customHeight="1" x14ac:dyDescent="0.25">
      <c r="BU337" s="16">
        <v>335</v>
      </c>
      <c r="BV337" s="24">
        <v>167.5</v>
      </c>
      <c r="BW337" s="40" t="s">
        <v>0</v>
      </c>
    </row>
    <row r="338" spans="73:75" ht="39.950000000000003" hidden="1" customHeight="1" x14ac:dyDescent="0.25">
      <c r="BU338" s="16">
        <v>336</v>
      </c>
      <c r="BV338" s="24">
        <v>168</v>
      </c>
      <c r="BW338" s="40" t="s">
        <v>0</v>
      </c>
    </row>
    <row r="339" spans="73:75" ht="39.950000000000003" hidden="1" customHeight="1" x14ac:dyDescent="0.25">
      <c r="BU339" s="16">
        <v>337</v>
      </c>
      <c r="BV339" s="24">
        <v>168.5</v>
      </c>
      <c r="BW339" s="40" t="s">
        <v>0</v>
      </c>
    </row>
    <row r="340" spans="73:75" ht="39.950000000000003" hidden="1" customHeight="1" x14ac:dyDescent="0.25">
      <c r="BU340" s="16">
        <v>338</v>
      </c>
      <c r="BV340" s="24">
        <v>169</v>
      </c>
      <c r="BW340" s="40" t="s">
        <v>0</v>
      </c>
    </row>
    <row r="341" spans="73:75" ht="39.950000000000003" hidden="1" customHeight="1" x14ac:dyDescent="0.25">
      <c r="BU341" s="16">
        <v>339</v>
      </c>
      <c r="BV341" s="24">
        <v>169.5</v>
      </c>
      <c r="BW341" s="40" t="s">
        <v>0</v>
      </c>
    </row>
    <row r="342" spans="73:75" ht="39.950000000000003" hidden="1" customHeight="1" x14ac:dyDescent="0.25">
      <c r="BU342" s="16">
        <v>340</v>
      </c>
      <c r="BV342" s="24">
        <v>170</v>
      </c>
      <c r="BW342" s="40" t="s">
        <v>0</v>
      </c>
    </row>
    <row r="343" spans="73:75" ht="39.950000000000003" hidden="1" customHeight="1" x14ac:dyDescent="0.25">
      <c r="BU343" s="16">
        <v>341</v>
      </c>
      <c r="BV343" s="24">
        <v>170.5</v>
      </c>
      <c r="BW343" s="40" t="s">
        <v>0</v>
      </c>
    </row>
    <row r="344" spans="73:75" ht="39.950000000000003" hidden="1" customHeight="1" x14ac:dyDescent="0.25">
      <c r="BU344" s="16">
        <v>342</v>
      </c>
      <c r="BV344" s="24">
        <v>171</v>
      </c>
      <c r="BW344" s="40" t="s">
        <v>0</v>
      </c>
    </row>
    <row r="345" spans="73:75" ht="39.950000000000003" hidden="1" customHeight="1" x14ac:dyDescent="0.25">
      <c r="BU345" s="16">
        <v>343</v>
      </c>
      <c r="BV345" s="24">
        <v>171.5</v>
      </c>
      <c r="BW345" s="40" t="s">
        <v>0</v>
      </c>
    </row>
    <row r="346" spans="73:75" ht="39.950000000000003" hidden="1" customHeight="1" x14ac:dyDescent="0.25">
      <c r="BU346" s="16">
        <v>344</v>
      </c>
      <c r="BV346" s="24">
        <v>172</v>
      </c>
      <c r="BW346" s="40" t="s">
        <v>0</v>
      </c>
    </row>
    <row r="347" spans="73:75" ht="39.950000000000003" hidden="1" customHeight="1" x14ac:dyDescent="0.25">
      <c r="BU347" s="16">
        <v>345</v>
      </c>
      <c r="BV347" s="24">
        <v>172.5</v>
      </c>
      <c r="BW347" s="40" t="s">
        <v>0</v>
      </c>
    </row>
    <row r="348" spans="73:75" ht="39.950000000000003" hidden="1" customHeight="1" x14ac:dyDescent="0.25">
      <c r="BU348" s="16">
        <v>346</v>
      </c>
      <c r="BV348" s="24">
        <v>173</v>
      </c>
      <c r="BW348" s="40" t="s">
        <v>0</v>
      </c>
    </row>
    <row r="349" spans="73:75" ht="39.950000000000003" hidden="1" customHeight="1" x14ac:dyDescent="0.25">
      <c r="BU349" s="16">
        <v>347</v>
      </c>
      <c r="BV349" s="24">
        <v>173.5</v>
      </c>
      <c r="BW349" s="40" t="s">
        <v>0</v>
      </c>
    </row>
    <row r="350" spans="73:75" ht="39.950000000000003" hidden="1" customHeight="1" x14ac:dyDescent="0.25">
      <c r="BU350" s="16">
        <v>348</v>
      </c>
      <c r="BV350" s="24">
        <v>174</v>
      </c>
      <c r="BW350" s="40" t="s">
        <v>0</v>
      </c>
    </row>
    <row r="351" spans="73:75" ht="39.950000000000003" hidden="1" customHeight="1" x14ac:dyDescent="0.25">
      <c r="BU351" s="16">
        <v>349</v>
      </c>
      <c r="BV351" s="24">
        <v>174.5</v>
      </c>
      <c r="BW351" s="40" t="s">
        <v>0</v>
      </c>
    </row>
    <row r="352" spans="73:75" ht="39.950000000000003" hidden="1" customHeight="1" x14ac:dyDescent="0.25">
      <c r="BU352" s="16">
        <v>350</v>
      </c>
      <c r="BV352" s="24">
        <v>175</v>
      </c>
      <c r="BW352" s="40" t="s">
        <v>0</v>
      </c>
    </row>
    <row r="353" spans="73:75" ht="39.950000000000003" hidden="1" customHeight="1" x14ac:dyDescent="0.25">
      <c r="BU353" s="16">
        <v>351</v>
      </c>
      <c r="BV353" s="24">
        <v>175.5</v>
      </c>
      <c r="BW353" s="40" t="s">
        <v>0</v>
      </c>
    </row>
    <row r="354" spans="73:75" ht="39.950000000000003" hidden="1" customHeight="1" x14ac:dyDescent="0.25">
      <c r="BU354" s="16">
        <v>352</v>
      </c>
      <c r="BV354" s="24">
        <v>176</v>
      </c>
      <c r="BW354" s="40" t="s">
        <v>0</v>
      </c>
    </row>
    <row r="355" spans="73:75" ht="39.950000000000003" hidden="1" customHeight="1" x14ac:dyDescent="0.25">
      <c r="BU355" s="16">
        <v>353</v>
      </c>
      <c r="BV355" s="24">
        <v>176.5</v>
      </c>
      <c r="BW355" s="40" t="s">
        <v>0</v>
      </c>
    </row>
    <row r="356" spans="73:75" ht="39.950000000000003" hidden="1" customHeight="1" x14ac:dyDescent="0.25">
      <c r="BU356" s="16">
        <v>354</v>
      </c>
      <c r="BV356" s="24">
        <v>177</v>
      </c>
      <c r="BW356" s="40" t="s">
        <v>0</v>
      </c>
    </row>
    <row r="357" spans="73:75" ht="39.950000000000003" hidden="1" customHeight="1" x14ac:dyDescent="0.25">
      <c r="BU357" s="16">
        <v>355</v>
      </c>
      <c r="BV357" s="24">
        <v>177.5</v>
      </c>
      <c r="BW357" s="40" t="s">
        <v>0</v>
      </c>
    </row>
    <row r="358" spans="73:75" ht="39.950000000000003" hidden="1" customHeight="1" x14ac:dyDescent="0.25">
      <c r="BU358" s="16">
        <v>356</v>
      </c>
      <c r="BV358" s="24">
        <v>178</v>
      </c>
      <c r="BW358" s="40" t="s">
        <v>0</v>
      </c>
    </row>
    <row r="359" spans="73:75" ht="39.950000000000003" hidden="1" customHeight="1" x14ac:dyDescent="0.25">
      <c r="BU359" s="16">
        <v>357</v>
      </c>
      <c r="BV359" s="24">
        <v>178.5</v>
      </c>
      <c r="BW359" s="40" t="s">
        <v>0</v>
      </c>
    </row>
    <row r="360" spans="73:75" ht="39.950000000000003" hidden="1" customHeight="1" x14ac:dyDescent="0.25">
      <c r="BU360" s="16">
        <v>358</v>
      </c>
      <c r="BV360" s="24">
        <v>179</v>
      </c>
      <c r="BW360" s="40" t="s">
        <v>0</v>
      </c>
    </row>
    <row r="361" spans="73:75" ht="39.950000000000003" hidden="1" customHeight="1" x14ac:dyDescent="0.25">
      <c r="BU361" s="16">
        <v>359</v>
      </c>
      <c r="BV361" s="24">
        <v>179.5</v>
      </c>
      <c r="BW361" s="40" t="s">
        <v>0</v>
      </c>
    </row>
    <row r="362" spans="73:75" ht="39.950000000000003" hidden="1" customHeight="1" x14ac:dyDescent="0.25">
      <c r="BU362" s="16">
        <v>360</v>
      </c>
      <c r="BV362" s="24">
        <v>180</v>
      </c>
      <c r="BW362" s="40" t="s">
        <v>0</v>
      </c>
    </row>
    <row r="363" spans="73:75" ht="9.9499999999999993" hidden="1" customHeight="1" x14ac:dyDescent="0.25"/>
  </sheetData>
  <sheetProtection algorithmName="SHA-512" hashValue="HBqf2HCP1p0iXPreKkyCA1tNb8K3UXx/zqDjYML6XuEsqACmUohdfhf7qGISoq3/C43VPpzg4tiHYulelKiqcQ==" saltValue="cK/FJq/vNgYfvARQEqPcSQ==" spinCount="100000" sheet="1" objects="1" scenarios="1" selectLockedCells="1"/>
  <mergeCells count="25">
    <mergeCell ref="A1:A14"/>
    <mergeCell ref="D1:D14"/>
    <mergeCell ref="H1:H14"/>
    <mergeCell ref="N1:N14"/>
    <mergeCell ref="L1:L14"/>
    <mergeCell ref="B2:B5"/>
    <mergeCell ref="B6:B9"/>
    <mergeCell ref="B10:B13"/>
    <mergeCell ref="M1:M14"/>
    <mergeCell ref="W1:W28"/>
    <mergeCell ref="G1:G14"/>
    <mergeCell ref="F1:F14"/>
    <mergeCell ref="C1:C14"/>
    <mergeCell ref="E1:E14"/>
    <mergeCell ref="I1:K14"/>
    <mergeCell ref="T2:T27"/>
    <mergeCell ref="V2:V27"/>
    <mergeCell ref="U2:U27"/>
    <mergeCell ref="T1:V1"/>
    <mergeCell ref="Q1:Q28"/>
    <mergeCell ref="T28:V28"/>
    <mergeCell ref="R1:R28"/>
    <mergeCell ref="P1:P14"/>
    <mergeCell ref="O1:O14"/>
    <mergeCell ref="S1:S28"/>
  </mergeCells>
  <phoneticPr fontId="4" type="noConversion"/>
  <dataValidations count="10">
    <dataValidation type="list" allowBlank="1" showInputMessage="1" showErrorMessage="1" sqref="AW15:AW26" xr:uid="{00000000-0002-0000-0000-000000000000}">
      <formula1>"Yok, Var"</formula1>
    </dataValidation>
    <dataValidation type="list" allowBlank="1" showInputMessage="1" showErrorMessage="1" sqref="L15:L26" xr:uid="{D6DB34B5-9590-4803-9833-F0079B9818CB}">
      <formula1>$BW$2:$BW$50</formula1>
    </dataValidation>
    <dataValidation type="list" allowBlank="1" showInputMessage="1" showErrorMessage="1" sqref="Q1:Q28" xr:uid="{00000000-0002-0000-0000-000002000000}">
      <formula1>"Ocak, Şubat, Mart, Nisan, Mayıs, Haziran, Temmuz, Ağustos, Eylül, Ekim, Kasım, Aralık, Yıllık Toplam, Yıllık Ortalama"</formula1>
    </dataValidation>
    <dataValidation type="list" allowBlank="1" showInputMessage="1" showErrorMessage="1" sqref="AH18" xr:uid="{00000000-0002-0000-0000-000003000000}">
      <formula1>#REF!</formula1>
    </dataValidation>
    <dataValidation type="list" allowBlank="1" showInputMessage="1" showErrorMessage="1" sqref="D15:G26" xr:uid="{00000000-0002-0000-0000-000005000000}">
      <formula1>$BV$2:$BV$362</formula1>
    </dataValidation>
    <dataValidation type="list" allowBlank="1" showInputMessage="1" showErrorMessage="1" sqref="AJ43:AJ54 C15:C26 AQ29:AQ40 H15:H26" xr:uid="{00000000-0002-0000-0000-000006000000}">
      <formula1>$BU$2:$BU$362</formula1>
    </dataValidation>
    <dataValidation type="list" allowBlank="1" showInputMessage="1" showErrorMessage="1" sqref="M15:M26" xr:uid="{7325020B-39D5-44BD-BE83-E1F4896C42EB}">
      <formula1>"Yok,1. Derece,2. Derece,3. Derece"</formula1>
    </dataValidation>
    <dataValidation type="list" allowBlank="1" showInputMessage="1" showErrorMessage="1" sqref="I15:K26" xr:uid="{8D39B2D0-F4D0-45BF-964A-23D3EE799D8B}">
      <formula1>$AE$39:$AE$54</formula1>
    </dataValidation>
    <dataValidation type="list" allowBlank="1" showInputMessage="1" showErrorMessage="1" sqref="A1:A14" xr:uid="{ED3E3646-9B85-4FC6-81EA-D4ECEE5C785A}">
      <formula1>$X$21:$X$34</formula1>
    </dataValidation>
    <dataValidation type="list" allowBlank="1" showInputMessage="1" showErrorMessage="1" sqref="S1" xr:uid="{00000000-0002-0000-0000-000007000000}">
      <formula1>$Z$35:$Z$48</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½</cp:lastModifiedBy>
  <cp:lastPrinted>2021-01-27T16:23:43Z</cp:lastPrinted>
  <dcterms:created xsi:type="dcterms:W3CDTF">2015-06-05T18:19:34Z</dcterms:created>
  <dcterms:modified xsi:type="dcterms:W3CDTF">2025-06-19T18:41:08Z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