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BuÇalışmaKitabı" autoCompressPictures="0" defaultThemeVersion="124226"/>
  <mc:AlternateContent xmlns:mc="http://schemas.openxmlformats.org/markup-compatibility/2006">
    <mc:Choice Requires="x15">
      <x15ac:absPath xmlns:x15ac="http://schemas.microsoft.com/office/spreadsheetml/2010/11/ac" url="C:\Users\½\Desktop\"/>
    </mc:Choice>
  </mc:AlternateContent>
  <xr:revisionPtr revIDLastSave="0" documentId="13_ncr:1_{8EC9C256-5B25-49B0-B465-6224DF802C8F}" xr6:coauthVersionLast="47" xr6:coauthVersionMax="47" xr10:uidLastSave="{00000000-0000-0000-0000-000000000000}"/>
  <workbookProtection workbookAlgorithmName="SHA-512" workbookHashValue="MoPVU1G+b1P/hXUhbii9Rmg65wiDS74/vgxItvZugu7+HQ7vVM0TbZuqFh9mHqwrMFFMoQ1irqad6tPm1SAU4A==" workbookSaltValue="mrw9ZSb7wGoerj5lIv7ATg=="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9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43" i="130" l="1"/>
  <c r="AT44" i="130"/>
  <c r="AT45" i="130"/>
  <c r="AT46" i="130"/>
  <c r="AT47" i="130"/>
  <c r="AT48" i="130"/>
  <c r="AT49" i="130"/>
  <c r="AT50" i="130"/>
  <c r="AX12" i="130" l="1"/>
  <c r="AW12" i="130"/>
  <c r="AX11" i="130"/>
  <c r="AW11" i="130"/>
  <c r="AX10" i="130"/>
  <c r="AW10" i="130"/>
  <c r="AX9" i="130"/>
  <c r="AW9" i="130"/>
  <c r="AX8" i="130"/>
  <c r="AW8" i="130"/>
  <c r="AX7" i="130"/>
  <c r="AW7" i="130"/>
  <c r="AX6" i="130"/>
  <c r="AW6" i="130"/>
  <c r="AX5" i="130"/>
  <c r="AW5" i="130"/>
  <c r="AX4" i="130"/>
  <c r="AW4" i="130"/>
  <c r="AX3" i="130"/>
  <c r="AW3" i="130"/>
  <c r="AX2" i="130"/>
  <c r="AW2" i="130"/>
  <c r="AX1" i="130"/>
  <c r="AW1" i="130"/>
  <c r="AX52" i="130"/>
  <c r="AX53" i="130"/>
  <c r="AX54" i="130"/>
  <c r="AX51" i="130"/>
  <c r="AX50" i="130"/>
  <c r="AX49" i="130"/>
  <c r="AX44" i="130"/>
  <c r="AX45" i="130"/>
  <c r="AX46" i="130"/>
  <c r="AX47" i="130"/>
  <c r="AX48" i="130"/>
  <c r="AX43" i="130"/>
  <c r="AT54" i="130"/>
  <c r="AT53" i="130"/>
  <c r="AT52" i="130"/>
  <c r="AT51" i="130"/>
  <c r="AO45" i="130"/>
  <c r="AO46" i="130"/>
  <c r="AO47" i="130"/>
  <c r="AO48" i="130"/>
  <c r="AO49" i="130"/>
  <c r="AO50" i="130"/>
  <c r="AO51" i="130"/>
  <c r="AO52" i="130"/>
  <c r="AO53" i="130"/>
  <c r="AO54" i="130"/>
  <c r="AO44" i="130"/>
  <c r="AO43" i="130"/>
  <c r="AS4" i="130"/>
  <c r="AS5" i="130"/>
  <c r="AS6" i="130"/>
  <c r="AS7" i="130"/>
  <c r="AS8" i="130"/>
  <c r="AS9" i="130"/>
  <c r="AS10" i="130"/>
  <c r="AS11" i="130"/>
  <c r="AS12" i="130"/>
  <c r="AS3" i="130"/>
  <c r="AS2" i="130"/>
  <c r="AS1" i="130"/>
  <c r="AM2" i="130"/>
  <c r="AM3" i="130"/>
  <c r="AM4" i="130"/>
  <c r="AM5" i="130"/>
  <c r="AM6" i="130"/>
  <c r="AM7" i="130"/>
  <c r="AM8" i="130"/>
  <c r="AM9" i="130"/>
  <c r="AM10" i="130"/>
  <c r="AM11" i="130"/>
  <c r="AM12" i="130"/>
  <c r="AM1" i="130"/>
  <c r="B10" i="130"/>
  <c r="B6" i="130"/>
  <c r="B2" i="130"/>
  <c r="AK12" i="130"/>
  <c r="AK11" i="130"/>
  <c r="AK10" i="130"/>
  <c r="AK9" i="130"/>
  <c r="AK8" i="130"/>
  <c r="AK7" i="130"/>
  <c r="AK6" i="130"/>
  <c r="AK5" i="130"/>
  <c r="AK4" i="130"/>
  <c r="AK3" i="130"/>
  <c r="AK2" i="130"/>
  <c r="AK1" i="130"/>
  <c r="AI10" i="130"/>
  <c r="AI11" i="130"/>
  <c r="AI12" i="130"/>
  <c r="AI9" i="130"/>
  <c r="AI8" i="130"/>
  <c r="AI7" i="130"/>
  <c r="AI2" i="130"/>
  <c r="AI3" i="130"/>
  <c r="AI4" i="130"/>
  <c r="AI5" i="130"/>
  <c r="AI6" i="130"/>
  <c r="AI1" i="130"/>
  <c r="AD35" i="130"/>
  <c r="AG35" i="130" s="1"/>
  <c r="AE27" i="130"/>
  <c r="AD26" i="130"/>
  <c r="AF26" i="130" s="1"/>
  <c r="AD25" i="130"/>
  <c r="AF25" i="130" s="1"/>
  <c r="AD24" i="130"/>
  <c r="AG24" i="130" s="1"/>
  <c r="AD23" i="130"/>
  <c r="AD20" i="130"/>
  <c r="AD18" i="130"/>
  <c r="AG18" i="130" s="1"/>
  <c r="AD17" i="130"/>
  <c r="AG17" i="130" s="1"/>
  <c r="AG6" i="130" s="1"/>
  <c r="AD14" i="130"/>
  <c r="AD5" i="130"/>
  <c r="AG5" i="130" s="1"/>
  <c r="AD4" i="130"/>
  <c r="AF4" i="130" s="1"/>
  <c r="AD3" i="130"/>
  <c r="AF3" i="130" s="1"/>
  <c r="AV55" i="130"/>
  <c r="AG25" i="130" l="1"/>
  <c r="AG4" i="130"/>
  <c r="AF17" i="130"/>
  <c r="AF6" i="130" s="1"/>
  <c r="AG26" i="130"/>
  <c r="AD27" i="130"/>
  <c r="AG3" i="130"/>
  <c r="AG20" i="130"/>
  <c r="AG21" i="130" s="1"/>
  <c r="AG7" i="130"/>
  <c r="AF27" i="130"/>
  <c r="AG27" i="130"/>
  <c r="AF23" i="130"/>
  <c r="AF18" i="130"/>
  <c r="AD19" i="130"/>
  <c r="AF24" i="130"/>
  <c r="AG23" i="130"/>
  <c r="AD34" i="130"/>
  <c r="AF5" i="130"/>
  <c r="AF35" i="130"/>
  <c r="AX55" i="130"/>
  <c r="AX56" i="130" s="1"/>
  <c r="AG28" i="130" l="1"/>
  <c r="AF20" i="130"/>
  <c r="AF21" i="130" s="1"/>
  <c r="AF7" i="130"/>
  <c r="AG34" i="130"/>
  <c r="AF34" i="130"/>
  <c r="AG19" i="130"/>
  <c r="AG8" i="130" s="1"/>
  <c r="AF19" i="130"/>
  <c r="AF8" i="130" s="1"/>
  <c r="AF28" i="130"/>
  <c r="W9" i="130"/>
  <c r="V9" i="130" s="1"/>
  <c r="AI44" i="130"/>
  <c r="AI45" i="130"/>
  <c r="AI46" i="130"/>
  <c r="AI47" i="130"/>
  <c r="AI48" i="130"/>
  <c r="AI49" i="130"/>
  <c r="AI50" i="130"/>
  <c r="AI51" i="130"/>
  <c r="AI52" i="130"/>
  <c r="AI53" i="130"/>
  <c r="AI54" i="130"/>
  <c r="AI43" i="130"/>
  <c r="AL30" i="130"/>
  <c r="AL31" i="130"/>
  <c r="AL32" i="130"/>
  <c r="AL33" i="130"/>
  <c r="AL34" i="130"/>
  <c r="AL35" i="130"/>
  <c r="AL36" i="130"/>
  <c r="AL37" i="130"/>
  <c r="AL38" i="130"/>
  <c r="AL39" i="130"/>
  <c r="AL40" i="130"/>
  <c r="AL29" i="130"/>
  <c r="AM13" i="130" l="1"/>
  <c r="AM14" i="130" s="1"/>
  <c r="AS13" i="130"/>
  <c r="AI55" i="130"/>
  <c r="AI56" i="130" s="1"/>
  <c r="AL41" i="130"/>
  <c r="AL42" i="130" s="1"/>
  <c r="AV40" i="130"/>
  <c r="AZ40" i="130" s="1"/>
  <c r="AV39" i="130"/>
  <c r="AZ39" i="130" s="1"/>
  <c r="AV38" i="130"/>
  <c r="AZ38" i="130" s="1"/>
  <c r="AV37" i="130"/>
  <c r="AZ37" i="130" s="1"/>
  <c r="AV36" i="130"/>
  <c r="BA36" i="130" s="1"/>
  <c r="AV35" i="130"/>
  <c r="BA35" i="130" s="1"/>
  <c r="AV34" i="130"/>
  <c r="AZ34" i="130" s="1"/>
  <c r="AV33" i="130"/>
  <c r="BA33" i="130" s="1"/>
  <c r="AV32" i="130"/>
  <c r="AZ32" i="130" s="1"/>
  <c r="AV31" i="130"/>
  <c r="AZ31" i="130" s="1"/>
  <c r="AV30" i="130"/>
  <c r="BA30" i="130" s="1"/>
  <c r="AV29" i="130"/>
  <c r="AZ29" i="130" s="1"/>
  <c r="AQ5" i="130"/>
  <c r="AQ2" i="130"/>
  <c r="AQ8" i="130"/>
  <c r="AQ9" i="130"/>
  <c r="AQ10" i="130"/>
  <c r="AO11" i="130"/>
  <c r="AO12" i="130"/>
  <c r="AQ7" i="130"/>
  <c r="AQ3" i="130"/>
  <c r="AO3" i="130"/>
  <c r="AR45" i="130"/>
  <c r="AR46" i="130"/>
  <c r="AQ4" i="130"/>
  <c r="AO4" i="130"/>
  <c r="AR50" i="130"/>
  <c r="AO8" i="130"/>
  <c r="AO6" i="130"/>
  <c r="AQ6" i="130"/>
  <c r="AR48" i="130"/>
  <c r="AO1" i="130"/>
  <c r="AR43" i="130"/>
  <c r="AQ1" i="130"/>
  <c r="AO2" i="130"/>
  <c r="AR44" i="130"/>
  <c r="AS57" i="130"/>
  <c r="AR57" i="130"/>
  <c r="R2" i="130"/>
  <c r="BA74" i="130"/>
  <c r="BA75" i="130"/>
  <c r="BA76" i="130"/>
  <c r="BA77" i="130"/>
  <c r="BA78" i="130"/>
  <c r="BA79" i="130"/>
  <c r="BA80" i="130"/>
  <c r="BA81" i="130"/>
  <c r="BA82" i="130"/>
  <c r="BA83" i="130"/>
  <c r="BA84" i="130"/>
  <c r="BA73" i="130"/>
  <c r="AU72" i="130"/>
  <c r="AT72" i="130"/>
  <c r="E27" i="130"/>
  <c r="D27" i="130"/>
  <c r="AS55" i="130"/>
  <c r="AU41" i="130"/>
  <c r="F27" i="130"/>
  <c r="AP59" i="130"/>
  <c r="AP60" i="130"/>
  <c r="AP61" i="130"/>
  <c r="AP62" i="130"/>
  <c r="AP63" i="130"/>
  <c r="AP64" i="130"/>
  <c r="AP65" i="130"/>
  <c r="AP66" i="130"/>
  <c r="AP67" i="130"/>
  <c r="AP68" i="130"/>
  <c r="AP69" i="130"/>
  <c r="AP58" i="130"/>
  <c r="AG59" i="130"/>
  <c r="AH59" i="130" s="1"/>
  <c r="AI59" i="130" s="1"/>
  <c r="AG60" i="130"/>
  <c r="AH60" i="130" s="1"/>
  <c r="AI60" i="130" s="1"/>
  <c r="AG61" i="130"/>
  <c r="AH61" i="130" s="1"/>
  <c r="AJ61" i="130" s="1"/>
  <c r="AG62" i="130"/>
  <c r="AG63" i="130"/>
  <c r="AG64" i="130"/>
  <c r="AG65" i="130"/>
  <c r="AG66" i="130"/>
  <c r="AG67" i="130"/>
  <c r="AG68" i="130"/>
  <c r="AG69" i="130"/>
  <c r="AH69" i="130" s="1"/>
  <c r="AG58" i="130"/>
  <c r="AX59" i="130"/>
  <c r="AL59" i="130"/>
  <c r="AX61" i="130"/>
  <c r="AX60" i="130"/>
  <c r="AX58" i="130"/>
  <c r="AI15" i="130"/>
  <c r="AJ15" i="130" s="1"/>
  <c r="AN15" i="130" s="1"/>
  <c r="AL62" i="130"/>
  <c r="AL61" i="130"/>
  <c r="AL60" i="130"/>
  <c r="AN59" i="130"/>
  <c r="AO55" i="130"/>
  <c r="AO56" i="130" s="1"/>
  <c r="AX69" i="130" l="1"/>
  <c r="AX63" i="130"/>
  <c r="AH63" i="130"/>
  <c r="AJ63" i="130" s="1"/>
  <c r="AX64" i="130"/>
  <c r="AX62" i="130"/>
  <c r="AH62" i="130"/>
  <c r="AJ62" i="130" s="1"/>
  <c r="AH64" i="130"/>
  <c r="AI64" i="130" s="1"/>
  <c r="AW38" i="130"/>
  <c r="AX66" i="130"/>
  <c r="AH66" i="130"/>
  <c r="AJ66" i="130" s="1"/>
  <c r="AH68" i="130"/>
  <c r="AJ68" i="130" s="1"/>
  <c r="AX68" i="130"/>
  <c r="AH67" i="130"/>
  <c r="AJ67" i="130" s="1"/>
  <c r="AX67" i="130"/>
  <c r="AW29" i="130"/>
  <c r="AX65" i="130"/>
  <c r="AH65" i="130"/>
  <c r="AJ65" i="130" s="1"/>
  <c r="BA29" i="130"/>
  <c r="AV41" i="130"/>
  <c r="AV42" i="130" s="1"/>
  <c r="BA38" i="130"/>
  <c r="AJ69" i="130"/>
  <c r="AI69" i="130"/>
  <c r="AI63" i="130"/>
  <c r="AO63" i="130" s="1"/>
  <c r="AW13" i="130"/>
  <c r="AW14" i="130" s="1"/>
  <c r="AP70" i="130"/>
  <c r="AP71" i="130" s="1"/>
  <c r="AS14" i="130"/>
  <c r="W5" i="130" s="1"/>
  <c r="V5" i="130" s="1"/>
  <c r="AK15" i="130"/>
  <c r="AL15" i="130" s="1"/>
  <c r="AH16" i="130"/>
  <c r="AI16" i="130" s="1"/>
  <c r="AQ11" i="130"/>
  <c r="AO5" i="130"/>
  <c r="AR47" i="130"/>
  <c r="AR53" i="130"/>
  <c r="AO7" i="130"/>
  <c r="AI13" i="130"/>
  <c r="AI14" i="130" s="1"/>
  <c r="AR49" i="130"/>
  <c r="AO9" i="130"/>
  <c r="BA34" i="130"/>
  <c r="AW32" i="130"/>
  <c r="AH32" i="130" s="1"/>
  <c r="AR51" i="130"/>
  <c r="AJ59" i="130"/>
  <c r="AQ59" i="130" s="1"/>
  <c r="BA32" i="130"/>
  <c r="AW33" i="130"/>
  <c r="AH33" i="130" s="1"/>
  <c r="AO10" i="130"/>
  <c r="AI61" i="130"/>
  <c r="AO61" i="130" s="1"/>
  <c r="AR52" i="130"/>
  <c r="AG70" i="130"/>
  <c r="AG71" i="130" s="1"/>
  <c r="AH58" i="130"/>
  <c r="AI62" i="130"/>
  <c r="AJ60" i="130"/>
  <c r="AO60" i="130" s="1"/>
  <c r="W2" i="130"/>
  <c r="V2" i="130" s="1"/>
  <c r="AN60" i="130"/>
  <c r="AN61" i="130" s="1"/>
  <c r="AN62" i="130" s="1"/>
  <c r="W6" i="130"/>
  <c r="V6" i="130" s="1"/>
  <c r="AW31" i="130"/>
  <c r="AH31" i="130" s="1"/>
  <c r="AZ35" i="130"/>
  <c r="AW37" i="130"/>
  <c r="AH37" i="130" s="1"/>
  <c r="BA31" i="130"/>
  <c r="BA37" i="130"/>
  <c r="AZ30" i="130"/>
  <c r="AZ36" i="130"/>
  <c r="AW40" i="130"/>
  <c r="AH40" i="130" s="1"/>
  <c r="AW36" i="130"/>
  <c r="AH36" i="130" s="1"/>
  <c r="AK13" i="130"/>
  <c r="AK14" i="130" s="1"/>
  <c r="AQ12" i="130"/>
  <c r="BA40" i="130"/>
  <c r="AR54" i="130"/>
  <c r="AW35" i="130"/>
  <c r="AH35" i="130" s="1"/>
  <c r="AW39" i="130"/>
  <c r="AH39" i="130" s="1"/>
  <c r="AW30" i="130"/>
  <c r="AH30" i="130" s="1"/>
  <c r="BA39" i="130"/>
  <c r="AZ33" i="130"/>
  <c r="AW34" i="130"/>
  <c r="AH34" i="130" s="1"/>
  <c r="AI66" i="130" l="1"/>
  <c r="AO66" i="130" s="1"/>
  <c r="AJ64" i="130"/>
  <c r="AQ69" i="130"/>
  <c r="AQ63" i="130"/>
  <c r="AI67" i="130"/>
  <c r="AI65" i="130"/>
  <c r="AI68" i="130"/>
  <c r="AQ68" i="130" s="1"/>
  <c r="AX70" i="130"/>
  <c r="AX71" i="130" s="1"/>
  <c r="AO69" i="130"/>
  <c r="AQ61" i="130"/>
  <c r="AH38" i="130"/>
  <c r="AX38" i="130"/>
  <c r="AY38" i="130" s="1"/>
  <c r="AY67" i="130" s="1"/>
  <c r="AH29" i="130"/>
  <c r="AX29" i="130"/>
  <c r="AY29" i="130" s="1"/>
  <c r="AO13" i="130"/>
  <c r="AO14" i="130" s="1"/>
  <c r="W3" i="130" s="1"/>
  <c r="V3" i="130" s="1"/>
  <c r="AR55" i="130"/>
  <c r="AR56" i="130" s="1"/>
  <c r="W7" i="130" s="1"/>
  <c r="V7" i="130" s="1"/>
  <c r="AX33" i="130"/>
  <c r="AY33" i="130" s="1"/>
  <c r="AY62" i="130" s="1"/>
  <c r="AO59" i="130"/>
  <c r="AQ60" i="130"/>
  <c r="AX32" i="130"/>
  <c r="AY32" i="130" s="1"/>
  <c r="AY61" i="130" s="1"/>
  <c r="BA41" i="130"/>
  <c r="BA42" i="130" s="1"/>
  <c r="AX31" i="130"/>
  <c r="AY31" i="130" s="1"/>
  <c r="AY60" i="130" s="1"/>
  <c r="AQ62" i="130"/>
  <c r="AO62" i="130"/>
  <c r="AQ13" i="130"/>
  <c r="AX40" i="130"/>
  <c r="AY40" i="130" s="1"/>
  <c r="AY69" i="130" s="1"/>
  <c r="AX36" i="130"/>
  <c r="AY36" i="130" s="1"/>
  <c r="AX39" i="130"/>
  <c r="AY39" i="130" s="1"/>
  <c r="AX35" i="130"/>
  <c r="AY35" i="130" s="1"/>
  <c r="AY64" i="130" s="1"/>
  <c r="AX37" i="130"/>
  <c r="AY37" i="130" s="1"/>
  <c r="AO64" i="130"/>
  <c r="AQ64" i="130"/>
  <c r="AQ65" i="130"/>
  <c r="AO65" i="130"/>
  <c r="AX34" i="130"/>
  <c r="AY34" i="130" s="1"/>
  <c r="AY63" i="130" s="1"/>
  <c r="AJ16" i="130"/>
  <c r="AN16" i="130" s="1"/>
  <c r="AH17" i="130"/>
  <c r="AJ58" i="130"/>
  <c r="AJ70" i="130" s="1"/>
  <c r="AJ71" i="130" s="1"/>
  <c r="AH70" i="130"/>
  <c r="AH71" i="130" s="1"/>
  <c r="AI58" i="130"/>
  <c r="AK16" i="130"/>
  <c r="AZ41" i="130"/>
  <c r="AZ42" i="130" s="1"/>
  <c r="AX30" i="130"/>
  <c r="AW41" i="130"/>
  <c r="AW42" i="130" s="1"/>
  <c r="AO67" i="130"/>
  <c r="AQ67" i="130"/>
  <c r="AQ66" i="130" l="1"/>
  <c r="AY66" i="130"/>
  <c r="AY68" i="130"/>
  <c r="AY65" i="130"/>
  <c r="AO68" i="130"/>
  <c r="AI17" i="130"/>
  <c r="AK17" i="130" s="1"/>
  <c r="AX41" i="130"/>
  <c r="AX42" i="130" s="1"/>
  <c r="AY30" i="130"/>
  <c r="AQ14" i="130"/>
  <c r="W4" i="130"/>
  <c r="V4" i="130" s="1"/>
  <c r="AL16" i="130"/>
  <c r="AO58" i="130"/>
  <c r="AO70" i="130" s="1"/>
  <c r="AO71" i="130" s="1"/>
  <c r="AQ58" i="130"/>
  <c r="AY58" i="130"/>
  <c r="AI70" i="130"/>
  <c r="AI71" i="130" s="1"/>
  <c r="AH41" i="130"/>
  <c r="AH42" i="130" s="1"/>
  <c r="AY59" i="130" l="1"/>
  <c r="AY70" i="130" s="1"/>
  <c r="AY71" i="130" s="1"/>
  <c r="AY41" i="130"/>
  <c r="AY42" i="130" s="1"/>
  <c r="AR64" i="130"/>
  <c r="AS64" i="130" s="1"/>
  <c r="AR68" i="130"/>
  <c r="AS68" i="130" s="1"/>
  <c r="AR63" i="130"/>
  <c r="AS63" i="130" s="1"/>
  <c r="AR67" i="130"/>
  <c r="AS67" i="130" s="1"/>
  <c r="AR69" i="130"/>
  <c r="AS69" i="130" s="1"/>
  <c r="AR65" i="130"/>
  <c r="AS65" i="130" s="1"/>
  <c r="AR59" i="130"/>
  <c r="AS59" i="130" s="1"/>
  <c r="AQ70" i="130"/>
  <c r="AQ71" i="130" s="1"/>
  <c r="AR61" i="130"/>
  <c r="AS61" i="130" s="1"/>
  <c r="AR62" i="130"/>
  <c r="AS62" i="130" s="1"/>
  <c r="AR60" i="130"/>
  <c r="AS60" i="130" s="1"/>
  <c r="AR66" i="130"/>
  <c r="AS66" i="130" s="1"/>
  <c r="AR58" i="130"/>
  <c r="AS58" i="130" s="1"/>
  <c r="AT58" i="130" s="1"/>
  <c r="AU58" i="130" s="1"/>
  <c r="AW58" i="130" s="1"/>
  <c r="AJ17" i="130"/>
  <c r="AN17" i="130" s="1"/>
  <c r="AH18" i="130"/>
  <c r="AT63" i="130" l="1"/>
  <c r="AU63" i="130" s="1"/>
  <c r="AT68" i="130"/>
  <c r="AU68" i="130" s="1"/>
  <c r="AW68" i="130" s="1"/>
  <c r="AT64" i="130"/>
  <c r="AU64" i="130" s="1"/>
  <c r="AW64" i="130" s="1"/>
  <c r="AT60" i="130"/>
  <c r="AU60" i="130" s="1"/>
  <c r="AW60" i="130" s="1"/>
  <c r="AT66" i="130"/>
  <c r="AU66" i="130" s="1"/>
  <c r="AW66" i="130" s="1"/>
  <c r="AT62" i="130"/>
  <c r="AU62" i="130" s="1"/>
  <c r="AV62" i="130" s="1"/>
  <c r="AL47" i="130" s="1"/>
  <c r="AL17" i="130"/>
  <c r="AV58" i="130"/>
  <c r="AL43" i="130" s="1"/>
  <c r="AT59" i="130"/>
  <c r="AU59" i="130" s="1"/>
  <c r="AT69" i="130"/>
  <c r="AU69" i="130" s="1"/>
  <c r="AW63" i="130"/>
  <c r="AV63" i="130"/>
  <c r="AL48" i="130" s="1"/>
  <c r="AT61" i="130"/>
  <c r="AU61" i="130" s="1"/>
  <c r="AT65" i="130"/>
  <c r="AU65" i="130" s="1"/>
  <c r="AI18" i="130"/>
  <c r="AT67" i="130"/>
  <c r="AU67" i="130" s="1"/>
  <c r="AV60" i="130" l="1"/>
  <c r="AL45" i="130" s="1"/>
  <c r="AV68" i="130"/>
  <c r="AL53" i="130" s="1"/>
  <c r="AV66" i="130"/>
  <c r="AL51" i="130" s="1"/>
  <c r="AV64" i="130"/>
  <c r="AL49" i="130" s="1"/>
  <c r="AW62" i="130"/>
  <c r="AW59" i="130"/>
  <c r="AV59" i="130"/>
  <c r="AL44" i="130" s="1"/>
  <c r="AJ18" i="130"/>
  <c r="AN18" i="130" s="1"/>
  <c r="AH19" i="130"/>
  <c r="AW69" i="130"/>
  <c r="AV69" i="130"/>
  <c r="AL54" i="130" s="1"/>
  <c r="AW65" i="130"/>
  <c r="AV65" i="130"/>
  <c r="AL50" i="130" s="1"/>
  <c r="AK18" i="130"/>
  <c r="AW61" i="130"/>
  <c r="AV61" i="130"/>
  <c r="AL46" i="130" s="1"/>
  <c r="AW67" i="130"/>
  <c r="AV67" i="130"/>
  <c r="AL52" i="130" s="1"/>
  <c r="AL18" i="130" l="1"/>
  <c r="AL55" i="130"/>
  <c r="AL56" i="130" s="1"/>
  <c r="AV70" i="130"/>
  <c r="AV71" i="130" s="1"/>
  <c r="AI19" i="130"/>
  <c r="AJ19" i="130" l="1"/>
  <c r="AN19" i="130" s="1"/>
  <c r="AH20" i="130"/>
  <c r="AK19" i="130"/>
  <c r="AI20" i="130" l="1"/>
  <c r="AK20" i="130" s="1"/>
  <c r="AL19" i="130"/>
  <c r="AJ20" i="130" l="1"/>
  <c r="AN20" i="130" s="1"/>
  <c r="AH21" i="130"/>
  <c r="AL20" i="130" l="1"/>
  <c r="AI21" i="130"/>
  <c r="AH22" i="130" l="1"/>
  <c r="AJ21" i="130"/>
  <c r="AN21" i="130" s="1"/>
  <c r="AK21" i="130"/>
  <c r="AL21" i="130" l="1"/>
  <c r="AI22" i="130"/>
  <c r="AJ22" i="130" l="1"/>
  <c r="AN22" i="130" s="1"/>
  <c r="AH23" i="130"/>
  <c r="AK22" i="130"/>
  <c r="AI23" i="130" l="1"/>
  <c r="AK23" i="130" s="1"/>
  <c r="AL22" i="130"/>
  <c r="AJ23" i="130" l="1"/>
  <c r="AN23" i="130" s="1"/>
  <c r="AH24" i="130"/>
  <c r="AI24" i="130" l="1"/>
  <c r="AK24" i="130" s="1"/>
  <c r="AL23" i="130"/>
  <c r="AJ24" i="130" l="1"/>
  <c r="AN24" i="130" s="1"/>
  <c r="AH25" i="130"/>
  <c r="AI25" i="130" l="1"/>
  <c r="AL24" i="130"/>
  <c r="AJ25" i="130" l="1"/>
  <c r="AN25" i="130" s="1"/>
  <c r="AH26" i="130"/>
  <c r="AK25" i="130"/>
  <c r="AI26" i="130" l="1"/>
  <c r="AJ26" i="130" s="1"/>
  <c r="AN26" i="130" s="1"/>
  <c r="AL25" i="130"/>
  <c r="AJ27" i="130" l="1"/>
  <c r="AK26" i="130"/>
  <c r="AK27" i="130" s="1"/>
  <c r="AL26" i="130" l="1"/>
  <c r="AL27" i="130" s="1"/>
  <c r="AN27" i="130"/>
  <c r="AN28" i="130" s="1"/>
  <c r="W1" i="130" l="1"/>
  <c r="V1" i="130" s="1"/>
  <c r="AT55" i="130" l="1"/>
  <c r="AT56" i="130" s="1"/>
  <c r="AX13" i="130"/>
  <c r="AX14" i="130" s="1"/>
  <c r="W10" i="130" l="1"/>
  <c r="V10" i="130" s="1"/>
  <c r="AH1" i="130"/>
  <c r="AJ1" i="130"/>
  <c r="AL1" i="130"/>
  <c r="AN1" i="130"/>
  <c r="AP1" i="130"/>
  <c r="AR1" i="130"/>
  <c r="AT1" i="130"/>
  <c r="AU1" i="130"/>
  <c r="AV1" i="130"/>
  <c r="AZ1" i="130"/>
  <c r="BA1" i="130"/>
  <c r="AH2" i="130"/>
  <c r="AJ2" i="130"/>
  <c r="AL2" i="130"/>
  <c r="AN2" i="130"/>
  <c r="AP2" i="130"/>
  <c r="AR2" i="130"/>
  <c r="AT2" i="130"/>
  <c r="AU2" i="130"/>
  <c r="AV2" i="130"/>
  <c r="AZ2" i="130"/>
  <c r="BA2" i="130"/>
  <c r="AH3" i="130"/>
  <c r="AJ3" i="130"/>
  <c r="AL3" i="130"/>
  <c r="AN3" i="130"/>
  <c r="AP3" i="130"/>
  <c r="AR3" i="130"/>
  <c r="AT3" i="130"/>
  <c r="AU3" i="130"/>
  <c r="AV3" i="130"/>
  <c r="AZ3" i="130"/>
  <c r="BA3" i="130"/>
  <c r="AH4" i="130"/>
  <c r="AJ4" i="130"/>
  <c r="AL4" i="130"/>
  <c r="AN4" i="130"/>
  <c r="AP4" i="130"/>
  <c r="AR4" i="130"/>
  <c r="AT4" i="130"/>
  <c r="AU4" i="130"/>
  <c r="AV4" i="130"/>
  <c r="AZ4" i="130"/>
  <c r="BA4" i="130"/>
  <c r="AH5" i="130"/>
  <c r="AJ5" i="130"/>
  <c r="AL5" i="130"/>
  <c r="AN5" i="130"/>
  <c r="AP5" i="130"/>
  <c r="AR5" i="130"/>
  <c r="AT5" i="130"/>
  <c r="AU5" i="130"/>
  <c r="AV5" i="130"/>
  <c r="AZ5" i="130"/>
  <c r="BA5" i="130"/>
  <c r="AH6" i="130"/>
  <c r="AJ6" i="130"/>
  <c r="AL6" i="130"/>
  <c r="AN6" i="130"/>
  <c r="AP6" i="130"/>
  <c r="AR6" i="130"/>
  <c r="AT6" i="130"/>
  <c r="AU6" i="130"/>
  <c r="AV6" i="130"/>
  <c r="AZ6" i="130"/>
  <c r="BA6" i="130"/>
  <c r="AH7" i="130"/>
  <c r="AJ7" i="130"/>
  <c r="AL7" i="130"/>
  <c r="AN7" i="130"/>
  <c r="AP7" i="130"/>
  <c r="AR7" i="130"/>
  <c r="AT7" i="130"/>
  <c r="AU7" i="130"/>
  <c r="AV7" i="130"/>
  <c r="AZ7" i="130"/>
  <c r="BA7" i="130"/>
  <c r="V8" i="130"/>
  <c r="W8" i="130"/>
  <c r="AH8" i="130"/>
  <c r="AJ8" i="130"/>
  <c r="AL8" i="130"/>
  <c r="AN8" i="130"/>
  <c r="AP8" i="130"/>
  <c r="AR8" i="130"/>
  <c r="AT8" i="130"/>
  <c r="AU8" i="130"/>
  <c r="AV8" i="130"/>
  <c r="AZ8" i="130"/>
  <c r="BA8" i="130"/>
  <c r="AH9" i="130"/>
  <c r="AJ9" i="130"/>
  <c r="AL9" i="130"/>
  <c r="AN9" i="130"/>
  <c r="AP9" i="130"/>
  <c r="AR9" i="130"/>
  <c r="AT9" i="130"/>
  <c r="AU9" i="130"/>
  <c r="AV9" i="130"/>
  <c r="AZ9" i="130"/>
  <c r="BA9" i="130"/>
  <c r="AH10" i="130"/>
  <c r="AJ10" i="130"/>
  <c r="AL10" i="130"/>
  <c r="AN10" i="130"/>
  <c r="AP10" i="130"/>
  <c r="AR10" i="130"/>
  <c r="AT10" i="130"/>
  <c r="AU10" i="130"/>
  <c r="AV10" i="130"/>
  <c r="AZ10" i="130"/>
  <c r="BA10" i="130"/>
  <c r="V11" i="130"/>
  <c r="W11" i="130"/>
  <c r="AH11" i="130"/>
  <c r="AJ11" i="130"/>
  <c r="AL11" i="130"/>
  <c r="AN11" i="130"/>
  <c r="AP11" i="130"/>
  <c r="AR11" i="130"/>
  <c r="AT11" i="130"/>
  <c r="AU11" i="130"/>
  <c r="AV11" i="130"/>
  <c r="AZ11" i="130"/>
  <c r="BA11" i="130"/>
  <c r="V12" i="130"/>
  <c r="W12" i="130"/>
  <c r="AH12" i="130"/>
  <c r="AJ12" i="130"/>
  <c r="AL12" i="130"/>
  <c r="AN12" i="130"/>
  <c r="AP12" i="130"/>
  <c r="AR12" i="130"/>
  <c r="AT12" i="130"/>
  <c r="AU12" i="130"/>
  <c r="AV12" i="130"/>
  <c r="AZ12" i="130"/>
  <c r="BA12" i="130"/>
  <c r="V13" i="130"/>
  <c r="W13" i="130"/>
  <c r="AH13" i="130"/>
  <c r="AJ13" i="130"/>
  <c r="AL13" i="130"/>
  <c r="AN13" i="130"/>
  <c r="AP13" i="130"/>
  <c r="AR13" i="130"/>
  <c r="AT13" i="130"/>
  <c r="AU13" i="130"/>
  <c r="AV13" i="130"/>
  <c r="AZ13" i="130"/>
  <c r="BA13" i="130"/>
  <c r="V14" i="130"/>
  <c r="W14" i="130"/>
  <c r="AH14" i="130"/>
  <c r="AJ14" i="130"/>
  <c r="AL14" i="130"/>
  <c r="AN14" i="130"/>
  <c r="AP14" i="130"/>
  <c r="AR14" i="130"/>
  <c r="AT14" i="130"/>
  <c r="AU14" i="130"/>
  <c r="AV14" i="130"/>
  <c r="AZ14" i="130"/>
  <c r="BA14" i="130"/>
  <c r="A15" i="130"/>
  <c r="K15" i="130"/>
  <c r="L15" i="130"/>
  <c r="M15" i="130"/>
  <c r="V15" i="130"/>
  <c r="W15" i="130"/>
  <c r="AM15" i="130"/>
  <c r="AO15" i="130"/>
  <c r="AP15" i="130"/>
  <c r="AQ15" i="130"/>
  <c r="AR15" i="130"/>
  <c r="AS15" i="130"/>
  <c r="AT15" i="130"/>
  <c r="AU15" i="130"/>
  <c r="AV15" i="130"/>
  <c r="AW15" i="130"/>
  <c r="AX15" i="130"/>
  <c r="AY15" i="130"/>
  <c r="AZ15" i="130"/>
  <c r="BA15" i="130"/>
  <c r="BB15" i="130"/>
  <c r="BC15" i="130"/>
  <c r="A16" i="130"/>
  <c r="K16" i="130"/>
  <c r="L16" i="130"/>
  <c r="M16" i="130"/>
  <c r="V16" i="130"/>
  <c r="W16" i="130"/>
  <c r="AM16" i="130"/>
  <c r="AO16" i="130"/>
  <c r="AP16" i="130"/>
  <c r="AQ16" i="130"/>
  <c r="AR16" i="130"/>
  <c r="AS16" i="130"/>
  <c r="AT16" i="130"/>
  <c r="AU16" i="130"/>
  <c r="AV16" i="130"/>
  <c r="AW16" i="130"/>
  <c r="AX16" i="130"/>
  <c r="AY16" i="130"/>
  <c r="AZ16" i="130"/>
  <c r="BA16" i="130"/>
  <c r="BB16" i="130"/>
  <c r="BC16" i="130"/>
  <c r="A17" i="130"/>
  <c r="K17" i="130"/>
  <c r="L17" i="130"/>
  <c r="M17" i="130"/>
  <c r="V17" i="130"/>
  <c r="W17" i="130"/>
  <c r="AM17" i="130"/>
  <c r="AO17" i="130"/>
  <c r="AP17" i="130"/>
  <c r="AQ17" i="130"/>
  <c r="AR17" i="130"/>
  <c r="AS17" i="130"/>
  <c r="AT17" i="130"/>
  <c r="AU17" i="130"/>
  <c r="AV17" i="130"/>
  <c r="AW17" i="130"/>
  <c r="AX17" i="130"/>
  <c r="AY17" i="130"/>
  <c r="AZ17" i="130"/>
  <c r="BA17" i="130"/>
  <c r="BB17" i="130"/>
  <c r="BC17" i="130"/>
  <c r="A18" i="130"/>
  <c r="K18" i="130"/>
  <c r="L18" i="130"/>
  <c r="M18" i="130"/>
  <c r="V18" i="130"/>
  <c r="W18" i="130"/>
  <c r="AM18" i="130"/>
  <c r="AO18" i="130"/>
  <c r="AP18" i="130"/>
  <c r="AQ18" i="130"/>
  <c r="AR18" i="130"/>
  <c r="AS18" i="130"/>
  <c r="AT18" i="130"/>
  <c r="AU18" i="130"/>
  <c r="AV18" i="130"/>
  <c r="AW18" i="130"/>
  <c r="AX18" i="130"/>
  <c r="AY18" i="130"/>
  <c r="AZ18" i="130"/>
  <c r="BA18" i="130"/>
  <c r="BB18" i="130"/>
  <c r="BC18" i="130"/>
  <c r="A19" i="130"/>
  <c r="K19" i="130"/>
  <c r="L19" i="130"/>
  <c r="M19" i="130"/>
  <c r="V19" i="130"/>
  <c r="W19" i="130"/>
  <c r="AM19" i="130"/>
  <c r="AO19" i="130"/>
  <c r="AP19" i="130"/>
  <c r="AQ19" i="130"/>
  <c r="AR19" i="130"/>
  <c r="AS19" i="130"/>
  <c r="AT19" i="130"/>
  <c r="AU19" i="130"/>
  <c r="AV19" i="130"/>
  <c r="AW19" i="130"/>
  <c r="AX19" i="130"/>
  <c r="AY19" i="130"/>
  <c r="AZ19" i="130"/>
  <c r="BA19" i="130"/>
  <c r="BB19" i="130"/>
  <c r="BC19" i="130"/>
  <c r="A20" i="130"/>
  <c r="K20" i="130"/>
  <c r="L20" i="130"/>
  <c r="M20" i="130"/>
  <c r="AM20" i="130"/>
  <c r="AO20" i="130"/>
  <c r="AP20" i="130"/>
  <c r="AQ20" i="130"/>
  <c r="AR20" i="130"/>
  <c r="AS20" i="130"/>
  <c r="AT20" i="130"/>
  <c r="AU20" i="130"/>
  <c r="AV20" i="130"/>
  <c r="AW20" i="130"/>
  <c r="AX20" i="130"/>
  <c r="AY20" i="130"/>
  <c r="AZ20" i="130"/>
  <c r="BA20" i="130"/>
  <c r="BB20" i="130"/>
  <c r="BC20" i="130"/>
  <c r="A21" i="130"/>
  <c r="K21" i="130"/>
  <c r="L21" i="130"/>
  <c r="M21" i="130"/>
  <c r="AM21" i="130"/>
  <c r="AO21" i="130"/>
  <c r="AP21" i="130"/>
  <c r="AQ21" i="130"/>
  <c r="AR21" i="130"/>
  <c r="AS21" i="130"/>
  <c r="AT21" i="130"/>
  <c r="AU21" i="130"/>
  <c r="AV21" i="130"/>
  <c r="AW21" i="130"/>
  <c r="AX21" i="130"/>
  <c r="AY21" i="130"/>
  <c r="AZ21" i="130"/>
  <c r="BA21" i="130"/>
  <c r="BB21" i="130"/>
  <c r="BC21" i="130"/>
  <c r="A22" i="130"/>
  <c r="K22" i="130"/>
  <c r="L22" i="130"/>
  <c r="M22" i="130"/>
  <c r="AM22" i="130"/>
  <c r="AO22" i="130"/>
  <c r="AP22" i="130"/>
  <c r="AQ22" i="130"/>
  <c r="AR22" i="130"/>
  <c r="AS22" i="130"/>
  <c r="AT22" i="130"/>
  <c r="AU22" i="130"/>
  <c r="AV22" i="130"/>
  <c r="AW22" i="130"/>
  <c r="AX22" i="130"/>
  <c r="AY22" i="130"/>
  <c r="AZ22" i="130"/>
  <c r="BA22" i="130"/>
  <c r="BB22" i="130"/>
  <c r="BC22" i="130"/>
  <c r="A23" i="130"/>
  <c r="K23" i="130"/>
  <c r="L23" i="130"/>
  <c r="M23" i="130"/>
  <c r="AM23" i="130"/>
  <c r="AO23" i="130"/>
  <c r="AP23" i="130"/>
  <c r="AQ23" i="130"/>
  <c r="AR23" i="130"/>
  <c r="AS23" i="130"/>
  <c r="AT23" i="130"/>
  <c r="AU23" i="130"/>
  <c r="AV23" i="130"/>
  <c r="AW23" i="130"/>
  <c r="AX23" i="130"/>
  <c r="AY23" i="130"/>
  <c r="AZ23" i="130"/>
  <c r="BA23" i="130"/>
  <c r="BB23" i="130"/>
  <c r="BC23" i="130"/>
  <c r="A24" i="130"/>
  <c r="K24" i="130"/>
  <c r="L24" i="130"/>
  <c r="M24" i="130"/>
  <c r="AM24" i="130"/>
  <c r="AO24" i="130"/>
  <c r="AP24" i="130"/>
  <c r="AQ24" i="130"/>
  <c r="AR24" i="130"/>
  <c r="AS24" i="130"/>
  <c r="AT24" i="130"/>
  <c r="AU24" i="130"/>
  <c r="AV24" i="130"/>
  <c r="AW24" i="130"/>
  <c r="AX24" i="130"/>
  <c r="AY24" i="130"/>
  <c r="AZ24" i="130"/>
  <c r="BA24" i="130"/>
  <c r="BB24" i="130"/>
  <c r="BC24" i="130"/>
  <c r="A25" i="130"/>
  <c r="K25" i="130"/>
  <c r="L25" i="130"/>
  <c r="M25" i="130"/>
  <c r="AM25" i="130"/>
  <c r="AO25" i="130"/>
  <c r="AP25" i="130"/>
  <c r="AQ25" i="130"/>
  <c r="AR25" i="130"/>
  <c r="AS25" i="130"/>
  <c r="AT25" i="130"/>
  <c r="AU25" i="130"/>
  <c r="AV25" i="130"/>
  <c r="AW25" i="130"/>
  <c r="AX25" i="130"/>
  <c r="AY25" i="130"/>
  <c r="AZ25" i="130"/>
  <c r="BA25" i="130"/>
  <c r="BB25" i="130"/>
  <c r="BC25" i="130"/>
  <c r="A26" i="130"/>
  <c r="K26" i="130"/>
  <c r="L26" i="130"/>
  <c r="M26" i="130"/>
  <c r="AM26" i="130"/>
  <c r="AO26" i="130"/>
  <c r="AP26" i="130"/>
  <c r="AQ26" i="130"/>
  <c r="AR26" i="130"/>
  <c r="AS26" i="130"/>
  <c r="AT26" i="130"/>
  <c r="AU26" i="130"/>
  <c r="AV26" i="130"/>
  <c r="AW26" i="130"/>
  <c r="AX26" i="130"/>
  <c r="AY26" i="130"/>
  <c r="AZ26" i="130"/>
  <c r="BA26" i="130"/>
  <c r="BB26" i="130"/>
  <c r="BC26" i="130"/>
  <c r="K27" i="130"/>
  <c r="L27" i="130"/>
  <c r="M27" i="130"/>
  <c r="AM27" i="130"/>
  <c r="AO27" i="130"/>
  <c r="AP27" i="130"/>
  <c r="AQ27" i="130"/>
  <c r="AR27" i="130"/>
  <c r="AS27" i="130"/>
  <c r="AT27" i="130"/>
  <c r="AU27" i="130"/>
  <c r="AV27" i="130"/>
  <c r="AW27" i="130"/>
  <c r="AX27" i="130"/>
  <c r="AY27" i="130"/>
  <c r="AZ27" i="130"/>
  <c r="BA27" i="130"/>
  <c r="BB27" i="130"/>
  <c r="BC27" i="130"/>
  <c r="A28" i="130"/>
  <c r="K28" i="130"/>
  <c r="L28" i="130"/>
  <c r="M28" i="130"/>
  <c r="AM28" i="130"/>
  <c r="AO28" i="130"/>
  <c r="AP28" i="130"/>
  <c r="AQ28" i="130"/>
  <c r="AR28" i="130"/>
  <c r="AS28" i="130"/>
  <c r="AT28" i="130"/>
  <c r="AU28" i="130"/>
  <c r="AV28" i="130"/>
  <c r="AW28" i="130"/>
  <c r="AX28" i="130"/>
  <c r="AY28" i="130"/>
  <c r="AZ28" i="130"/>
  <c r="BA28" i="130"/>
  <c r="BB28" i="130"/>
  <c r="BC28" i="130"/>
  <c r="AI29" i="130"/>
  <c r="AJ29" i="130"/>
  <c r="AK29" i="130"/>
  <c r="AM29" i="130"/>
  <c r="AN29" i="130"/>
  <c r="AO29" i="130"/>
  <c r="AP29" i="130"/>
  <c r="AQ29" i="130"/>
  <c r="AR29" i="130"/>
  <c r="AS29" i="130"/>
  <c r="AT29" i="130"/>
  <c r="AI30" i="130"/>
  <c r="AJ30" i="130"/>
  <c r="AK30" i="130"/>
  <c r="AM30" i="130"/>
  <c r="AN30" i="130"/>
  <c r="AO30" i="130"/>
  <c r="AP30" i="130"/>
  <c r="AQ30" i="130"/>
  <c r="AR30" i="130"/>
  <c r="AS30" i="130"/>
  <c r="AT30" i="130"/>
  <c r="AI31" i="130"/>
  <c r="AJ31" i="130"/>
  <c r="AK31" i="130"/>
  <c r="AM31" i="130"/>
  <c r="AN31" i="130"/>
  <c r="AO31" i="130"/>
  <c r="AP31" i="130"/>
  <c r="AQ31" i="130"/>
  <c r="AR31" i="130"/>
  <c r="AS31" i="130"/>
  <c r="AT31" i="130"/>
  <c r="AI32" i="130"/>
  <c r="AJ32" i="130"/>
  <c r="AK32" i="130"/>
  <c r="AM32" i="130"/>
  <c r="AN32" i="130"/>
  <c r="AO32" i="130"/>
  <c r="AP32" i="130"/>
  <c r="AQ32" i="130"/>
  <c r="AR32" i="130"/>
  <c r="AS32" i="130"/>
  <c r="AT32" i="130"/>
  <c r="AI33" i="130"/>
  <c r="AJ33" i="130"/>
  <c r="AK33" i="130"/>
  <c r="AM33" i="130"/>
  <c r="AN33" i="130"/>
  <c r="AO33" i="130"/>
  <c r="AP33" i="130"/>
  <c r="AQ33" i="130"/>
  <c r="AR33" i="130"/>
  <c r="AS33" i="130"/>
  <c r="AT33" i="130"/>
  <c r="AI34" i="130"/>
  <c r="AJ34" i="130"/>
  <c r="AK34" i="130"/>
  <c r="AM34" i="130"/>
  <c r="AN34" i="130"/>
  <c r="AO34" i="130"/>
  <c r="AP34" i="130"/>
  <c r="AQ34" i="130"/>
  <c r="AR34" i="130"/>
  <c r="AS34" i="130"/>
  <c r="AT34" i="130"/>
  <c r="AI35" i="130"/>
  <c r="AJ35" i="130"/>
  <c r="AK35" i="130"/>
  <c r="AM35" i="130"/>
  <c r="AN35" i="130"/>
  <c r="AO35" i="130"/>
  <c r="AP35" i="130"/>
  <c r="AQ35" i="130"/>
  <c r="AR35" i="130"/>
  <c r="AS35" i="130"/>
  <c r="AT35" i="130"/>
  <c r="AI36" i="130"/>
  <c r="AJ36" i="130"/>
  <c r="AK36" i="130"/>
  <c r="AM36" i="130"/>
  <c r="AN36" i="130"/>
  <c r="AO36" i="130"/>
  <c r="AP36" i="130"/>
  <c r="AQ36" i="130"/>
  <c r="AR36" i="130"/>
  <c r="AS36" i="130"/>
  <c r="AT36" i="130"/>
  <c r="AI37" i="130"/>
  <c r="AJ37" i="130"/>
  <c r="AK37" i="130"/>
  <c r="AM37" i="130"/>
  <c r="AN37" i="130"/>
  <c r="AO37" i="130"/>
  <c r="AP37" i="130"/>
  <c r="AQ37" i="130"/>
  <c r="AR37" i="130"/>
  <c r="AS37" i="130"/>
  <c r="AT37" i="130"/>
  <c r="AI38" i="130"/>
  <c r="AJ38" i="130"/>
  <c r="AK38" i="130"/>
  <c r="AM38" i="130"/>
  <c r="AN38" i="130"/>
  <c r="AO38" i="130"/>
  <c r="AP38" i="130"/>
  <c r="AQ38" i="130"/>
  <c r="AR38" i="130"/>
  <c r="AS38" i="130"/>
  <c r="AT38" i="130"/>
  <c r="AI39" i="130"/>
  <c r="AJ39" i="130"/>
  <c r="AK39" i="130"/>
  <c r="AM39" i="130"/>
  <c r="AN39" i="130"/>
  <c r="AO39" i="130"/>
  <c r="AP39" i="130"/>
  <c r="AQ39" i="130"/>
  <c r="AR39" i="130"/>
  <c r="AS39" i="130"/>
  <c r="AT39" i="130"/>
  <c r="AI40" i="130"/>
  <c r="AJ40" i="130"/>
  <c r="AK40" i="130"/>
  <c r="AM40" i="130"/>
  <c r="AN40" i="130"/>
  <c r="AO40" i="130"/>
  <c r="AP40" i="130"/>
  <c r="AQ40" i="130"/>
  <c r="AR40" i="130"/>
  <c r="AS40" i="130"/>
  <c r="AT40" i="130"/>
  <c r="AI41" i="130"/>
  <c r="AJ41" i="130"/>
  <c r="AK41" i="130"/>
  <c r="AM41" i="130"/>
  <c r="AN41" i="130"/>
  <c r="AO41" i="130"/>
  <c r="AP41" i="130"/>
  <c r="AQ41" i="130"/>
  <c r="AR41" i="130"/>
  <c r="AS41" i="130"/>
  <c r="AT41" i="130"/>
  <c r="AI42" i="130"/>
  <c r="AJ42" i="130"/>
  <c r="AK42" i="130"/>
  <c r="AM42" i="130"/>
  <c r="AN42" i="130"/>
  <c r="AO42" i="130"/>
  <c r="AP42" i="130"/>
  <c r="AQ42" i="130"/>
  <c r="AR42" i="130"/>
  <c r="AS42" i="130"/>
  <c r="AT42" i="130"/>
  <c r="AH43" i="130"/>
  <c r="AJ43" i="130"/>
  <c r="AK43" i="130"/>
  <c r="AM43" i="130"/>
  <c r="AN43" i="130"/>
  <c r="AQ43" i="130"/>
  <c r="AU43" i="130"/>
  <c r="AW43" i="130"/>
  <c r="AH44" i="130"/>
  <c r="AJ44" i="130"/>
  <c r="AK44" i="130"/>
  <c r="AM44" i="130"/>
  <c r="AN44" i="130"/>
  <c r="AQ44" i="130"/>
  <c r="AU44" i="130"/>
  <c r="AW44" i="130"/>
  <c r="AH45" i="130"/>
  <c r="AJ45" i="130"/>
  <c r="AK45" i="130"/>
  <c r="AM45" i="130"/>
  <c r="AN45" i="130"/>
  <c r="AQ45" i="130"/>
  <c r="AU45" i="130"/>
  <c r="AW45" i="130"/>
  <c r="AH46" i="130"/>
  <c r="AJ46" i="130"/>
  <c r="AK46" i="130"/>
  <c r="AM46" i="130"/>
  <c r="AN46" i="130"/>
  <c r="AQ46" i="130"/>
  <c r="AU46" i="130"/>
  <c r="AW46" i="130"/>
  <c r="AH47" i="130"/>
  <c r="AJ47" i="130"/>
  <c r="AK47" i="130"/>
  <c r="AM47" i="130"/>
  <c r="AN47" i="130"/>
  <c r="AQ47" i="130"/>
  <c r="AU47" i="130"/>
  <c r="AW47" i="130"/>
  <c r="AH48" i="130"/>
  <c r="AJ48" i="130"/>
  <c r="AK48" i="130"/>
  <c r="AM48" i="130"/>
  <c r="AN48" i="130"/>
  <c r="AQ48" i="130"/>
  <c r="AU48" i="130"/>
  <c r="AW48" i="130"/>
  <c r="AH49" i="130"/>
  <c r="AJ49" i="130"/>
  <c r="AK49" i="130"/>
  <c r="AM49" i="130"/>
  <c r="AN49" i="130"/>
  <c r="AQ49" i="130"/>
  <c r="AU49" i="130"/>
  <c r="AW49" i="130"/>
  <c r="AH50" i="130"/>
  <c r="AJ50" i="130"/>
  <c r="AK50" i="130"/>
  <c r="AM50" i="130"/>
  <c r="AN50" i="130"/>
  <c r="AQ50" i="130"/>
  <c r="AU50" i="130"/>
  <c r="AW50" i="130"/>
  <c r="AH51" i="130"/>
  <c r="AJ51" i="130"/>
  <c r="AK51" i="130"/>
  <c r="AM51" i="130"/>
  <c r="AN51" i="130"/>
  <c r="AQ51" i="130"/>
  <c r="AU51" i="130"/>
  <c r="AW51" i="130"/>
  <c r="AH52" i="130"/>
  <c r="AJ52" i="130"/>
  <c r="AK52" i="130"/>
  <c r="AM52" i="130"/>
  <c r="AN52" i="130"/>
  <c r="AQ52" i="130"/>
  <c r="AU52" i="130"/>
  <c r="AW52" i="130"/>
  <c r="AH53" i="130"/>
  <c r="AJ53" i="130"/>
  <c r="AK53" i="130"/>
  <c r="AM53" i="130"/>
  <c r="AN53" i="130"/>
  <c r="AQ53" i="130"/>
  <c r="AU53" i="130"/>
  <c r="AW53" i="130"/>
  <c r="AH54" i="130"/>
  <c r="AJ54" i="130"/>
  <c r="AK54" i="130"/>
  <c r="AM54" i="130"/>
  <c r="AN54" i="130"/>
  <c r="AQ54" i="130"/>
  <c r="AU54" i="130"/>
  <c r="AW54" i="130"/>
  <c r="AH55" i="130"/>
  <c r="AJ55" i="130"/>
  <c r="AK55" i="130"/>
  <c r="AM55" i="130"/>
  <c r="AN55" i="130"/>
  <c r="AQ55" i="130"/>
  <c r="AU55" i="130"/>
  <c r="AW55" i="130"/>
  <c r="AH56" i="130"/>
  <c r="AJ56" i="130"/>
  <c r="AK56" i="130"/>
  <c r="AM56" i="130"/>
  <c r="AN56" i="130"/>
  <c r="AQ56" i="130"/>
  <c r="AU56" i="130"/>
  <c r="AW56" i="130"/>
  <c r="AG73" i="130"/>
  <c r="AH73" i="130"/>
  <c r="AI73" i="130"/>
  <c r="AJ73" i="130"/>
  <c r="AK73" i="130"/>
  <c r="AL73" i="130"/>
  <c r="AM73" i="130"/>
  <c r="AN73" i="130"/>
  <c r="AO73" i="130"/>
  <c r="AP73" i="130"/>
  <c r="AQ73" i="130"/>
  <c r="AR73" i="130"/>
  <c r="AS73" i="130"/>
  <c r="AT73" i="130"/>
  <c r="AU73" i="130"/>
  <c r="AV73" i="130"/>
  <c r="AW73" i="130"/>
  <c r="AX73" i="130"/>
  <c r="AY73" i="130"/>
  <c r="AZ73" i="130"/>
  <c r="BB73" i="130"/>
  <c r="AG74" i="130"/>
  <c r="AH74" i="130"/>
  <c r="AI74" i="130"/>
  <c r="AJ74" i="130"/>
  <c r="AK74" i="130"/>
  <c r="AL74" i="130"/>
  <c r="AM74" i="130"/>
  <c r="AN74" i="130"/>
  <c r="AO74" i="130"/>
  <c r="AP74" i="130"/>
  <c r="AQ74" i="130"/>
  <c r="AR74" i="130"/>
  <c r="AS74" i="130"/>
  <c r="AT74" i="130"/>
  <c r="AU74" i="130"/>
  <c r="AV74" i="130"/>
  <c r="AW74" i="130"/>
  <c r="AX74" i="130"/>
  <c r="AY74" i="130"/>
  <c r="AZ74" i="130"/>
  <c r="BB74" i="130"/>
  <c r="AG75" i="130"/>
  <c r="AH75" i="130"/>
  <c r="AI75" i="130"/>
  <c r="AJ75" i="130"/>
  <c r="AK75" i="130"/>
  <c r="AL75" i="130"/>
  <c r="AM75" i="130"/>
  <c r="AN75" i="130"/>
  <c r="AO75" i="130"/>
  <c r="AP75" i="130"/>
  <c r="AQ75" i="130"/>
  <c r="AR75" i="130"/>
  <c r="AS75" i="130"/>
  <c r="AT75" i="130"/>
  <c r="AU75" i="130"/>
  <c r="AV75" i="130"/>
  <c r="AW75" i="130"/>
  <c r="AX75" i="130"/>
  <c r="AY75" i="130"/>
  <c r="AZ75" i="130"/>
  <c r="BB75" i="130"/>
  <c r="AG76" i="130"/>
  <c r="AH76" i="130"/>
  <c r="AI76" i="130"/>
  <c r="AJ76" i="130"/>
  <c r="AK76" i="130"/>
  <c r="AL76" i="130"/>
  <c r="AM76" i="130"/>
  <c r="AN76" i="130"/>
  <c r="AO76" i="130"/>
  <c r="AP76" i="130"/>
  <c r="AQ76" i="130"/>
  <c r="AR76" i="130"/>
  <c r="AS76" i="130"/>
  <c r="AT76" i="130"/>
  <c r="AU76" i="130"/>
  <c r="AV76" i="130"/>
  <c r="AW76" i="130"/>
  <c r="AX76" i="130"/>
  <c r="AY76" i="130"/>
  <c r="AZ76" i="130"/>
  <c r="BB76" i="130"/>
  <c r="AG77" i="130"/>
  <c r="AH77" i="130"/>
  <c r="AI77" i="130"/>
  <c r="AJ77" i="130"/>
  <c r="AK77" i="130"/>
  <c r="AL77" i="130"/>
  <c r="AM77" i="130"/>
  <c r="AN77" i="130"/>
  <c r="AO77" i="130"/>
  <c r="AP77" i="130"/>
  <c r="AQ77" i="130"/>
  <c r="AR77" i="130"/>
  <c r="AS77" i="130"/>
  <c r="AT77" i="130"/>
  <c r="AU77" i="130"/>
  <c r="AV77" i="130"/>
  <c r="AW77" i="130"/>
  <c r="AX77" i="130"/>
  <c r="AY77" i="130"/>
  <c r="AZ77" i="130"/>
  <c r="BB77" i="130"/>
  <c r="AG78" i="130"/>
  <c r="AH78" i="130"/>
  <c r="AI78" i="130"/>
  <c r="AJ78" i="130"/>
  <c r="AK78" i="130"/>
  <c r="AL78" i="130"/>
  <c r="AM78" i="130"/>
  <c r="AN78" i="130"/>
  <c r="AO78" i="130"/>
  <c r="AP78" i="130"/>
  <c r="AQ78" i="130"/>
  <c r="AR78" i="130"/>
  <c r="AS78" i="130"/>
  <c r="AT78" i="130"/>
  <c r="AU78" i="130"/>
  <c r="AV78" i="130"/>
  <c r="AW78" i="130"/>
  <c r="AX78" i="130"/>
  <c r="AY78" i="130"/>
  <c r="AZ78" i="130"/>
  <c r="BB78" i="130"/>
  <c r="AG79" i="130"/>
  <c r="AH79" i="130"/>
  <c r="AI79" i="130"/>
  <c r="AJ79" i="130"/>
  <c r="AK79" i="130"/>
  <c r="AL79" i="130"/>
  <c r="AM79" i="130"/>
  <c r="AN79" i="130"/>
  <c r="AO79" i="130"/>
  <c r="AP79" i="130"/>
  <c r="AQ79" i="130"/>
  <c r="AR79" i="130"/>
  <c r="AS79" i="130"/>
  <c r="AT79" i="130"/>
  <c r="AU79" i="130"/>
  <c r="AV79" i="130"/>
  <c r="AW79" i="130"/>
  <c r="AX79" i="130"/>
  <c r="AY79" i="130"/>
  <c r="AZ79" i="130"/>
  <c r="BB79" i="130"/>
  <c r="AG80" i="130"/>
  <c r="AH80" i="130"/>
  <c r="AI80" i="130"/>
  <c r="AJ80" i="130"/>
  <c r="AK80" i="130"/>
  <c r="AL80" i="130"/>
  <c r="AM80" i="130"/>
  <c r="AN80" i="130"/>
  <c r="AO80" i="130"/>
  <c r="AP80" i="130"/>
  <c r="AQ80" i="130"/>
  <c r="AR80" i="130"/>
  <c r="AS80" i="130"/>
  <c r="AT80" i="130"/>
  <c r="AU80" i="130"/>
  <c r="AV80" i="130"/>
  <c r="AW80" i="130"/>
  <c r="AX80" i="130"/>
  <c r="AY80" i="130"/>
  <c r="AZ80" i="130"/>
  <c r="BB80" i="130"/>
  <c r="AG81" i="130"/>
  <c r="AH81" i="130"/>
  <c r="AI81" i="130"/>
  <c r="AJ81" i="130"/>
  <c r="AK81" i="130"/>
  <c r="AL81" i="130"/>
  <c r="AM81" i="130"/>
  <c r="AN81" i="130"/>
  <c r="AO81" i="130"/>
  <c r="AP81" i="130"/>
  <c r="AQ81" i="130"/>
  <c r="AR81" i="130"/>
  <c r="AS81" i="130"/>
  <c r="AT81" i="130"/>
  <c r="AU81" i="130"/>
  <c r="AV81" i="130"/>
  <c r="AW81" i="130"/>
  <c r="AX81" i="130"/>
  <c r="AY81" i="130"/>
  <c r="AZ81" i="130"/>
  <c r="BB81" i="130"/>
  <c r="AG82" i="130"/>
  <c r="AH82" i="130"/>
  <c r="AI82" i="130"/>
  <c r="AJ82" i="130"/>
  <c r="AK82" i="130"/>
  <c r="AL82" i="130"/>
  <c r="AM82" i="130"/>
  <c r="AN82" i="130"/>
  <c r="AO82" i="130"/>
  <c r="AP82" i="130"/>
  <c r="AQ82" i="130"/>
  <c r="AR82" i="130"/>
  <c r="AS82" i="130"/>
  <c r="AT82" i="130"/>
  <c r="AU82" i="130"/>
  <c r="AV82" i="130"/>
  <c r="AW82" i="130"/>
  <c r="AX82" i="130"/>
  <c r="AY82" i="130"/>
  <c r="AZ82" i="130"/>
  <c r="BB82" i="130"/>
  <c r="AG83" i="130"/>
  <c r="AH83" i="130"/>
  <c r="AI83" i="130"/>
  <c r="AJ83" i="130"/>
  <c r="AK83" i="130"/>
  <c r="AL83" i="130"/>
  <c r="AM83" i="130"/>
  <c r="AN83" i="130"/>
  <c r="AO83" i="130"/>
  <c r="AP83" i="130"/>
  <c r="AQ83" i="130"/>
  <c r="AR83" i="130"/>
  <c r="AS83" i="130"/>
  <c r="AT83" i="130"/>
  <c r="AU83" i="130"/>
  <c r="AV83" i="130"/>
  <c r="AW83" i="130"/>
  <c r="AX83" i="130"/>
  <c r="AY83" i="130"/>
  <c r="AZ83" i="130"/>
  <c r="BB83" i="130"/>
  <c r="AG84" i="130"/>
  <c r="AH84" i="130"/>
  <c r="AI84" i="130"/>
  <c r="AJ84" i="130"/>
  <c r="AK84" i="130"/>
  <c r="AL84" i="130"/>
  <c r="AM84" i="130"/>
  <c r="AN84" i="130"/>
  <c r="AO84" i="130"/>
  <c r="AP84" i="130"/>
  <c r="AQ84" i="130"/>
  <c r="AR84" i="130"/>
  <c r="AS84" i="130"/>
  <c r="AT84" i="130"/>
  <c r="AU84" i="130"/>
  <c r="AV84" i="130"/>
  <c r="AW84" i="130"/>
  <c r="AX84" i="130"/>
  <c r="AY84" i="130"/>
  <c r="AZ84" i="130"/>
  <c r="BB84" i="130"/>
  <c r="AG85" i="130"/>
  <c r="AH85" i="130"/>
  <c r="AI85" i="130"/>
  <c r="AJ85" i="130"/>
  <c r="AK85" i="130"/>
  <c r="AL85" i="130"/>
  <c r="AM85" i="130"/>
  <c r="AN85" i="130"/>
  <c r="AO85" i="130"/>
  <c r="AP85" i="130"/>
  <c r="AQ85" i="130"/>
  <c r="AR85" i="130"/>
  <c r="AS85" i="130"/>
  <c r="AW85" i="130"/>
  <c r="AX85" i="130"/>
  <c r="AY85" i="130"/>
  <c r="AG86" i="130"/>
  <c r="AH86" i="130"/>
  <c r="AI86" i="130"/>
  <c r="AJ86" i="130"/>
  <c r="AK86" i="130"/>
  <c r="AL86" i="130"/>
  <c r="AM86" i="130"/>
  <c r="AN86" i="130"/>
  <c r="AO86" i="130"/>
  <c r="AP86" i="130"/>
  <c r="AQ86" i="130"/>
  <c r="AR86" i="130"/>
  <c r="AS86" i="130"/>
  <c r="AW86" i="130"/>
  <c r="AX86" i="130"/>
  <c r="AY86" i="130"/>
</calcChain>
</file>

<file path=xl/sharedStrings.xml><?xml version="1.0" encoding="utf-8"?>
<sst xmlns="http://schemas.openxmlformats.org/spreadsheetml/2006/main" count="589" uniqueCount="92">
  <si>
    <t>-</t>
  </si>
  <si>
    <t>Yok</t>
  </si>
  <si>
    <t>Doğal Afet Yardımı</t>
  </si>
  <si>
    <t>Kıdem Yardımı</t>
  </si>
  <si>
    <t>SGK Prim Kesintisi</t>
  </si>
  <si>
    <t>SGK İşsizlik Primi Kesintisi</t>
  </si>
  <si>
    <t>Yemek Yardımı</t>
  </si>
  <si>
    <t>Sosyal Yardım</t>
  </si>
  <si>
    <t>Evlilik Yardımı</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</si>
  <si>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</si>
  <si>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</si>
  <si>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</si>
  <si>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</si>
  <si>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</si>
  <si>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</si>
  <si>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</si>
  <si>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</si>
  <si>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</si>
  <si>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</si>
  <si>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</si>
  <si>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</si>
  <si>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</si>
  <si>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</si>
  <si>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</si>
  <si>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</si>
  <si>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</si>
  <si>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</si>
  <si>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</si>
  <si>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</si>
  <si>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Ulaşım Yardımı</t>
  </si>
  <si>
    <t>Normal Çalışma</t>
  </si>
  <si>
    <t>BES Kesintisi</t>
  </si>
  <si>
    <t>Damga Vergisi Kesintisi</t>
  </si>
  <si>
    <t>Gelir Vergisi Kesintisi</t>
  </si>
  <si>
    <t>İkramiye Yardımı</t>
  </si>
  <si>
    <t>İş Kazası veya Meslek Hastalığı Tazminatı</t>
  </si>
  <si>
    <t>Nakdi Yardımlar</t>
  </si>
  <si>
    <t>Sendika Üyelik Aidatı Kesintisi</t>
  </si>
  <si>
    <t>Gıda Yardımı</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</si>
  <si>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</si>
  <si>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</si>
  <si>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</si>
  <si>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</si>
  <si>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</si>
  <si>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</si>
  <si>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</si>
  <si>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</si>
  <si>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</si>
  <si>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</si>
  <si>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a) İşçinin ikamet ettiği konutun doğal afet nedeniyle hasara uğraması hâlinde 10 iş günü ücretli sosyal izin verilir.</t>
  </si>
  <si>
    <t>a) İşçinin evlenmesi hâlinde 7 iş günü ücretli sosyal izin verilir.
b) İşçinin çocuğunun evlenmesi hâlinde 0 iş günü ücretli sosyal izin verilir.
c) İşçinin evliliğinde, evlilik izninin hangi şekilde kullanılacağı işçinin talebi doğrultusunda değerlendirilir.</t>
  </si>
  <si>
    <t>a) İşçilere, gerekli ve geçerli mazeretleri hâlinde işverenin takdirine bağlı olarak yılda 6 iş günü ücretli sosyal izin verilir.
b) İşçilere, gerekli ve geçerli mazeretleri hâlinde işverenin takdirine bağlı olarak yılda 6 aya kadar ücretsiz sosyal izin verilebilir. Genel müdürün uygun görmesi hâlinde 12 aya kadar uzatılabilir.</t>
  </si>
  <si>
    <t>Askerlik Yardımı</t>
  </si>
  <si>
    <t>a) İşçinin eşinin veya çocuğunun vefatı hâlinde 5 iş günü ücretli sosyal izin verilir.
b) İşçinin annesinin, babasının veya kardeşinin vefatı hâlinde 5 iş günü ücretli sosyal izin verilir.
c) İşçinin eşinin annesinin, babasının veya kardeşinin vefatı hâlinde 5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5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</si>
  <si>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 xml:space="preserve">   Kıdem Yardımı</t>
  </si>
  <si>
    <t xml:space="preserve">   Yemek Yardımı</t>
  </si>
  <si>
    <t xml:space="preserve">   Nakdi Yardımlar
   Sürekliliği Olmayan Yardımlar</t>
  </si>
  <si>
    <t>Cenaze Yardımı (Anne-Baba)</t>
  </si>
  <si>
    <t>Cenaze Yardımı (Eş-Çocuk)</t>
  </si>
  <si>
    <t>Cenaze Yardımı (İşçi-İş Kazası Sonucu)</t>
  </si>
  <si>
    <t>Cenaze Yardımı (İşçi-Tabii Sebepler Sonucu)</t>
  </si>
  <si>
    <t>Eğitim Yardımı (İşçi-Lise)</t>
  </si>
  <si>
    <t>Eğitim Yardımı (İşçi-Yükseköğretim)</t>
  </si>
  <si>
    <t>Eğitim Yardımı (Çocuk-İlköğretim)</t>
  </si>
  <si>
    <t>Eğitim Yardımı (Çocuk-Ortaöğretim)</t>
  </si>
  <si>
    <t>Eğitim Yardımı (Çocuk-Lise)</t>
  </si>
  <si>
    <t>Eğitim Yardımı (Çocuk-Yükseköğretim)</t>
  </si>
  <si>
    <t xml:space="preserve">   Toplam Kazanç
   Net</t>
  </si>
  <si>
    <t>İşveren Maliyeti</t>
  </si>
  <si>
    <r>
      <t xml:space="preserve">   Sonraki Ayın 1'inde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</si>
  <si>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</si>
  <si>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t>Miktar</t>
  </si>
  <si>
    <t>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t>
  </si>
  <si>
    <t>a) Gemiadamı, dilerse, işveren veya işveren vekilinden ücretli izne ilişkin olarak 7 güne kadar ücretsiz yol izni de isteyebilir.
(854 sayılı Deniz İş Kanunu / Madde 40)</t>
  </si>
  <si>
    <t xml:space="preserve">   BES Kesintisi</t>
  </si>
  <si>
    <t>Toplam</t>
  </si>
  <si>
    <t>Ortalama</t>
  </si>
  <si>
    <r>
      <t xml:space="preserve">   Fazla Çalışma
   </t>
    </r>
    <r>
      <rPr>
        <b/>
        <sz val="16"/>
        <rFont val="Calibri"/>
        <family val="2"/>
        <charset val="162"/>
        <scheme val="minor"/>
      </rPr>
      <t>% 40</t>
    </r>
  </si>
  <si>
    <r>
      <t xml:space="preserve">   Resmi Tatillerde Çalışma
</t>
    </r>
    <r>
      <rPr>
        <b/>
        <sz val="16"/>
        <rFont val="Calibri"/>
        <family val="2"/>
        <charset val="162"/>
        <scheme val="minor"/>
      </rPr>
      <t xml:space="preserve">   % 100</t>
    </r>
  </si>
  <si>
    <r>
      <t xml:space="preserve">   Sonraki Ayın 15'inde
   Fazla Çalışma (Gündüz-Gece-Resmi Tatil)
   Yemek Yardımı
   </t>
    </r>
    <r>
      <rPr>
        <b/>
        <sz val="16"/>
        <rFont val="Calibri"/>
        <family val="2"/>
        <charset val="162"/>
        <scheme val="minor"/>
      </rPr>
      <t>Net</t>
    </r>
  </si>
  <si>
    <t>Fazla Çalışma (% 40)</t>
  </si>
  <si>
    <t>Resmi Tatillerde Çalışma (% 100)</t>
  </si>
  <si>
    <t>Yıllık Ortalama</t>
  </si>
  <si>
    <t>Görev Primi</t>
  </si>
  <si>
    <t>Deniz Taksi / Kaptan</t>
  </si>
  <si>
    <t>Deniz Taksi / Gemici</t>
  </si>
  <si>
    <r>
      <t xml:space="preserve">a) Kadın işçilerin </t>
    </r>
    <r>
      <rPr>
        <b/>
        <sz val="16"/>
        <color theme="0"/>
        <rFont val="Calibri"/>
        <family val="2"/>
        <charset val="162"/>
        <scheme val="minor"/>
      </rPr>
      <t>doğumdan önce 8 ve doğumdan sonra 8 hafta</t>
    </r>
    <r>
      <rPr>
        <sz val="16"/>
        <color theme="0"/>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</si>
  <si>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rFont val="Calibri"/>
        <family val="2"/>
        <charset val="162"/>
        <scheme val="minor"/>
      </rPr>
      <t>bir yıl içinde toptan veya bölümler hâlinde 10 güne kadar</t>
    </r>
    <r>
      <rPr>
        <sz val="16"/>
        <color theme="0"/>
        <rFont val="Calibri"/>
        <family val="2"/>
        <charset val="162"/>
        <scheme val="minor"/>
      </rPr>
      <t xml:space="preserve"> ücretli izin verilir.
(4857 sayılı İş Kanunu / Ek Madde 2)</t>
    </r>
  </si>
  <si>
    <r>
      <t xml:space="preserve">a) İşçiye; evlat edinmesi hâlinde </t>
    </r>
    <r>
      <rPr>
        <b/>
        <sz val="16"/>
        <color theme="0"/>
        <rFont val="Calibri"/>
        <family val="2"/>
        <charset val="162"/>
        <scheme val="minor"/>
      </rPr>
      <t>3 gün</t>
    </r>
    <r>
      <rPr>
        <sz val="16"/>
        <color theme="0"/>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</si>
  <si>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rFont val="Calibri"/>
        <family val="2"/>
        <charset val="162"/>
        <scheme val="minor"/>
      </rPr>
      <t>günde 2 saatten az olamaz</t>
    </r>
    <r>
      <rPr>
        <sz val="16"/>
        <color theme="0"/>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</si>
  <si>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rFont val="Calibri"/>
        <family val="2"/>
        <charset val="162"/>
        <scheme val="minor"/>
      </rPr>
      <t>günde toplam 1,5 saat</t>
    </r>
    <r>
      <rPr>
        <sz val="16"/>
        <color theme="0"/>
        <rFont val="Calibri"/>
        <family val="2"/>
        <charset val="162"/>
        <scheme val="minor"/>
      </rPr>
      <t xml:space="preserve"> süt izni verilir.
(4857 sayılı İş Kanunu / Madde 74)</t>
    </r>
  </si>
  <si>
    <r>
      <t xml:space="preserve">a) İşyerinde işçi sayısı 50’ye kadar ise yıllık en fazla 20 iş günü ücretli izin verilir.
İşyerinde işçi sayısı 51 ile 100 arasında ise yıllık en fazla 30 iş günü ücretli izin verilir.
İşyerinde işçi sayısı 101 ile 200 arasında ise yıllık en fazla 40 iş günü ücretli izin verilir.
İşyerinde işçi sayısı 201 ile 500 arasında ise yıllık en fazla 60 iş günü ücretli izin verilir.
İşyerinde işçi sayısı 501 ile 1000 arasında ise yıllık en fazla 80 iş günü ücretli izin verilir.
İşyerinde işçi sayısı 1000 işçiden fazla ise yıllık en fazla işçi sayısının % 10'u kadar iş günü ücretli sendikal izin verilir.
(6. Dönem Toplu İş Sözleşmesi / Madde 36)
b) Sendikal faaliyetler için sendikanın yazılı talebi üzerine ve işverenin hizmetlerini aksatmamak suretiyle, işçilere ayrı ayrı olmadan çalışan kişi sayısı karşılığına gelen gün kadar yıllık ücretli sendikal izin verilir.
c) Temsilcilik görevlerini yerine getirmeleri için baştemsilciye haftada 1 gün, diğer temsilcilere ayda 1’er gün ücretli sendikal izin verilir.
d) Toplu iş sözleşmesi yapmak üzere yetkisi kesinleşen sendika; 
işyerinde işçi sayısı </t>
    </r>
    <r>
      <rPr>
        <b/>
        <sz val="16"/>
        <color theme="0"/>
        <rFont val="Calibri"/>
        <family val="2"/>
        <charset val="162"/>
        <scheme val="minor"/>
      </rPr>
      <t>50’ye kadar ise 1</t>
    </r>
    <r>
      <rPr>
        <sz val="16"/>
        <color theme="0"/>
        <rFont val="Calibri"/>
        <family val="2"/>
        <charset val="162"/>
        <scheme val="minor"/>
      </rPr>
      <t xml:space="preserve">,
</t>
    </r>
    <r>
      <rPr>
        <b/>
        <sz val="16"/>
        <color theme="0"/>
        <rFont val="Calibri"/>
        <family val="2"/>
        <charset val="162"/>
        <scheme val="minor"/>
      </rPr>
      <t>51 ile 100 arasında</t>
    </r>
    <r>
      <rPr>
        <sz val="16"/>
        <color theme="0"/>
        <rFont val="Calibri"/>
        <family val="2"/>
        <charset val="162"/>
        <scheme val="minor"/>
      </rPr>
      <t xml:space="preserve"> ise </t>
    </r>
    <r>
      <rPr>
        <b/>
        <sz val="16"/>
        <color theme="0"/>
        <rFont val="Calibri"/>
        <family val="2"/>
        <charset val="162"/>
        <scheme val="minor"/>
      </rPr>
      <t>en çok 2</t>
    </r>
    <r>
      <rPr>
        <sz val="16"/>
        <color theme="0"/>
        <rFont val="Calibri"/>
        <family val="2"/>
        <charset val="162"/>
        <scheme val="minor"/>
      </rPr>
      <t xml:space="preserve">,
</t>
    </r>
    <r>
      <rPr>
        <b/>
        <sz val="16"/>
        <color theme="0"/>
        <rFont val="Calibri"/>
        <family val="2"/>
        <charset val="162"/>
        <scheme val="minor"/>
      </rPr>
      <t>101 ile 500 arasında</t>
    </r>
    <r>
      <rPr>
        <sz val="16"/>
        <color theme="0"/>
        <rFont val="Calibri"/>
        <family val="2"/>
        <charset val="162"/>
        <scheme val="minor"/>
      </rPr>
      <t xml:space="preserve"> ise </t>
    </r>
    <r>
      <rPr>
        <b/>
        <sz val="16"/>
        <color theme="0"/>
        <rFont val="Calibri"/>
        <family val="2"/>
        <charset val="162"/>
        <scheme val="minor"/>
      </rPr>
      <t>en çok 3</t>
    </r>
    <r>
      <rPr>
        <sz val="16"/>
        <color theme="0"/>
        <rFont val="Calibri"/>
        <family val="2"/>
        <charset val="162"/>
        <scheme val="minor"/>
      </rPr>
      <t xml:space="preserve">,
</t>
    </r>
    <r>
      <rPr>
        <b/>
        <sz val="16"/>
        <color theme="0"/>
        <rFont val="Calibri"/>
        <family val="2"/>
        <charset val="162"/>
        <scheme val="minor"/>
      </rPr>
      <t>501 ile 1000 arasında</t>
    </r>
    <r>
      <rPr>
        <sz val="16"/>
        <color theme="0"/>
        <rFont val="Calibri"/>
        <family val="2"/>
        <charset val="162"/>
        <scheme val="minor"/>
      </rPr>
      <t xml:space="preserve"> ise </t>
    </r>
    <r>
      <rPr>
        <b/>
        <sz val="16"/>
        <color theme="0"/>
        <rFont val="Calibri"/>
        <family val="2"/>
        <charset val="162"/>
        <scheme val="minor"/>
      </rPr>
      <t>en çok 4</t>
    </r>
    <r>
      <rPr>
        <sz val="16"/>
        <color theme="0"/>
        <rFont val="Calibri"/>
        <family val="2"/>
        <charset val="162"/>
        <scheme val="minor"/>
      </rPr>
      <t xml:space="preserve">,
</t>
    </r>
    <r>
      <rPr>
        <b/>
        <sz val="16"/>
        <color theme="0"/>
        <rFont val="Calibri"/>
        <family val="2"/>
        <charset val="162"/>
        <scheme val="minor"/>
      </rPr>
      <t>1001 ile 2000 arasında</t>
    </r>
    <r>
      <rPr>
        <sz val="16"/>
        <color theme="0"/>
        <rFont val="Calibri"/>
        <family val="2"/>
        <charset val="162"/>
        <scheme val="minor"/>
      </rPr>
      <t xml:space="preserve"> ise </t>
    </r>
    <r>
      <rPr>
        <b/>
        <sz val="16"/>
        <color theme="0"/>
        <rFont val="Calibri"/>
        <family val="2"/>
        <charset val="162"/>
        <scheme val="minor"/>
      </rPr>
      <t>en çok 6</t>
    </r>
    <r>
      <rPr>
        <sz val="16"/>
        <color theme="0"/>
        <rFont val="Calibri"/>
        <family val="2"/>
        <charset val="162"/>
        <scheme val="minor"/>
      </rPr>
      <t xml:space="preserve">,
</t>
    </r>
    <r>
      <rPr>
        <b/>
        <sz val="16"/>
        <color theme="0"/>
        <rFont val="Calibri"/>
        <family val="2"/>
        <charset val="162"/>
        <scheme val="minor"/>
      </rPr>
      <t>2000’den fazla</t>
    </r>
    <r>
      <rPr>
        <sz val="16"/>
        <color theme="0"/>
        <rFont val="Calibri"/>
        <family val="2"/>
        <charset val="162"/>
        <scheme val="minor"/>
      </rPr>
      <t xml:space="preserve"> ise </t>
    </r>
    <r>
      <rPr>
        <b/>
        <sz val="16"/>
        <color theme="0"/>
        <rFont val="Calibri"/>
        <family val="2"/>
        <charset val="162"/>
        <scheme val="minor"/>
      </rPr>
      <t>en çok 8</t>
    </r>
    <r>
      <rPr>
        <sz val="16"/>
        <color theme="0"/>
        <rFont val="Calibri"/>
        <family val="2"/>
        <charset val="162"/>
        <scheme val="minor"/>
      </rPr>
      <t xml:space="preserve"> işyeri sendika temsilcisini işyerinde çalışan üyeleri arasından atayarak </t>
    </r>
    <r>
      <rPr>
        <b/>
        <sz val="16"/>
        <color theme="0"/>
        <rFont val="Calibri"/>
        <family val="2"/>
        <charset val="162"/>
        <scheme val="minor"/>
      </rPr>
      <t>15 gün içinde</t>
    </r>
    <r>
      <rPr>
        <sz val="16"/>
        <color theme="0"/>
        <rFont val="Calibri"/>
        <family val="2"/>
        <charset val="162"/>
        <scheme val="minor"/>
      </rPr>
      <t xml:space="preserve"> kimliklerini işverene bildirir. Bunlardan </t>
    </r>
    <r>
      <rPr>
        <b/>
        <sz val="16"/>
        <color theme="0"/>
        <rFont val="Calibri"/>
        <family val="2"/>
        <charset val="162"/>
        <scheme val="minor"/>
      </rPr>
      <t>biri baş temsilci</t>
    </r>
    <r>
      <rPr>
        <sz val="16"/>
        <color theme="0"/>
        <rFont val="Calibri"/>
        <family val="2"/>
        <charset val="162"/>
        <scheme val="minor"/>
      </rPr>
      <t xml:space="preserve"> olarak görevlendirilebilir. Temsilcilerin görevi, sendikanın yetkisi süresince devam eder.
(6356 sayılı Sendikalar ve Toplu İş Sözleşmesi Kanunu / Madde 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</si>
</sst>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yy;@"/>
    <numFmt numFmtId="165" formatCode="0\ &quot;Gün&quot;"/>
    <numFmt numFmtId="167" formatCode="#,##0.00\ &quot;₺&quot;"/>
    <numFmt numFmtId="168" formatCode="0.000000"/>
    <numFmt numFmtId="169" formatCode="%\ 0"/>
    <numFmt numFmtId="170" formatCode="%\ 0.00"/>
    <numFmt numFmtId="172" formatCode="0.0000000"/>
    <numFmt numFmtId="173" formatCode="0.0"/>
  </numFmts>
  <fonts count="18"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sz val="20"/>
      <name val="Calibri"/>
      <family val="2"/>
      <charset val="162"/>
      <scheme val="minor"/>
    </font>
    <font>
      <sz val="20"/>
      <color rgb="FFFF0000"/>
      <name val="Calibri"/>
      <family val="2"/>
      <charset val="162"/>
      <scheme val="minor"/>
    </font>
    <font>
      <sz val="15"/>
      <name val="Calibri"/>
      <family val="2"/>
      <charset val="162"/>
      <scheme val="minor"/>
    </font>
    <font>
      <b/>
      <sz val="14"/>
      <name val="Calibri"/>
      <family val="2"/>
      <charset val="162"/>
      <scheme val="minor"/>
    </font>
    <font>
      <b/>
      <sz val="22"/>
      <name val="Calibri"/>
      <family val="2"/>
      <charset val="162"/>
      <scheme val="minor"/>
    </font>
    <font>
      <b/>
      <sz val="22"/>
      <color rgb="FFFF0000"/>
      <name val="Calibri"/>
      <family val="2"/>
      <charset val="162"/>
      <scheme val="minor"/>
    </font>
    <font>
      <sz val="16"/>
      <color theme="0"/>
      <name val="Calibri"/>
      <family val="2"/>
      <charset val="162"/>
      <scheme val="minor"/>
    </font>
    <font>
      <sz val="20"/>
      <color theme="0"/>
      <name val="Calibri"/>
      <family val="2"/>
      <charset val="162"/>
      <scheme val="minor"/>
    </font>
    <font>
      <b/>
      <sz val="16"/>
      <color theme="0"/>
      <name val="Calibri"/>
      <family val="2"/>
      <charset val="162"/>
      <scheme val="minor"/>
    </font>
    <font>
      <b/>
      <sz val="14"/>
      <color theme="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87">
    <xf numFmtId="0" fontId="0" fillId="0" borderId="0" xfId="0"/>
    <xf numFmtId="0" fontId="9" fillId="2" borderId="10" xfId="2" applyFont="1" applyFill="1" applyBorder="1" applyAlignment="1" applyProtection="1">
      <alignment vertical="center" textRotation="90" wrapText="1"/>
      <protection hidden="1"/>
    </xf>
    <xf numFmtId="2" fontId="5" fillId="2" borderId="1" xfId="2" applyNumberFormat="1" applyFont="1" applyFill="1" applyBorder="1" applyAlignment="1" applyProtection="1">
      <alignment horizontal="center" textRotation="90" wrapText="1"/>
      <protection hidden="1"/>
    </xf>
    <xf numFmtId="2" fontId="5" fillId="2" borderId="1" xfId="0" applyNumberFormat="1" applyFont="1" applyFill="1" applyBorder="1" applyAlignment="1" applyProtection="1">
      <alignment horizontal="center" textRotation="90" wrapText="1"/>
      <protection hidden="1"/>
    </xf>
    <xf numFmtId="2" fontId="5" fillId="2" borderId="5" xfId="2" applyNumberFormat="1" applyFont="1" applyFill="1" applyBorder="1" applyAlignment="1" applyProtection="1">
      <alignment horizontal="center" textRotation="90" wrapText="1"/>
      <protection hidden="1"/>
    </xf>
    <xf numFmtId="2" fontId="5" fillId="2" borderId="6" xfId="2" applyNumberFormat="1" applyFont="1" applyFill="1" applyBorder="1" applyAlignment="1" applyProtection="1">
      <alignment horizontal="center" textRotation="90" wrapText="1"/>
      <protection hidden="1"/>
    </xf>
    <xf numFmtId="2" fontId="5" fillId="2" borderId="7" xfId="2" applyNumberFormat="1" applyFont="1" applyFill="1" applyBorder="1" applyAlignment="1" applyProtection="1">
      <alignment horizontal="center" textRotation="90" wrapText="1"/>
      <protection hidden="1"/>
    </xf>
    <xf numFmtId="2" fontId="7" fillId="2" borderId="1" xfId="2" applyNumberFormat="1" applyFont="1" applyFill="1" applyBorder="1" applyAlignment="1" applyProtection="1">
      <alignment horizontal="center" textRotation="90" wrapText="1"/>
      <protection hidden="1"/>
    </xf>
    <xf numFmtId="0" fontId="5" fillId="2" borderId="1" xfId="2"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10" xfId="0" applyFont="1" applyFill="1" applyBorder="1" applyAlignment="1" applyProtection="1">
      <alignment horizontal="center" vertical="center" wrapText="1"/>
      <protection hidden="1"/>
    </xf>
    <xf numFmtId="0" fontId="5" fillId="0" borderId="0" xfId="2" applyFont="1" applyAlignment="1" applyProtection="1">
      <alignment horizontal="center" vertical="center"/>
      <protection hidden="1"/>
    </xf>
    <xf numFmtId="167" fontId="9" fillId="2" borderId="11" xfId="2" applyNumberFormat="1" applyFont="1" applyFill="1" applyBorder="1" applyAlignment="1" applyProtection="1">
      <alignment horizontal="center" vertical="center" textRotation="90" wrapText="1"/>
      <protection hidden="1"/>
    </xf>
    <xf numFmtId="2" fontId="5" fillId="2" borderId="8" xfId="2" applyNumberFormat="1" applyFont="1" applyFill="1" applyBorder="1" applyAlignment="1" applyProtection="1">
      <alignment horizontal="center" textRotation="90" wrapText="1"/>
      <protection hidden="1"/>
    </xf>
    <xf numFmtId="2" fontId="5" fillId="2" borderId="0" xfId="2" applyNumberFormat="1" applyFont="1" applyFill="1" applyBorder="1" applyAlignment="1" applyProtection="1">
      <alignment horizontal="center" textRotation="90" wrapText="1"/>
      <protection hidden="1"/>
    </xf>
    <xf numFmtId="2" fontId="5" fillId="2" borderId="9" xfId="2" applyNumberFormat="1" applyFont="1" applyFill="1" applyBorder="1" applyAlignment="1" applyProtection="1">
      <alignment horizontal="center" textRotation="90" wrapText="1"/>
      <protection hidden="1"/>
    </xf>
    <xf numFmtId="0" fontId="5" fillId="2" borderId="8" xfId="0" applyFont="1" applyFill="1" applyBorder="1" applyAlignment="1" applyProtection="1">
      <alignment horizontal="center" vertical="center" wrapText="1"/>
      <protection hidden="1"/>
    </xf>
    <xf numFmtId="0" fontId="5" fillId="2" borderId="0" xfId="0" applyFont="1" applyFill="1" applyAlignment="1" applyProtection="1">
      <alignment horizontal="left" vertical="center" wrapText="1"/>
      <protection hidden="1"/>
    </xf>
    <xf numFmtId="0" fontId="5" fillId="2" borderId="9"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protection hidden="1"/>
    </xf>
    <xf numFmtId="4" fontId="5" fillId="2" borderId="1" xfId="2" applyNumberFormat="1" applyFont="1" applyFill="1" applyBorder="1" applyAlignment="1" applyProtection="1">
      <alignment horizontal="center" vertical="center"/>
      <protection hidden="1"/>
    </xf>
    <xf numFmtId="0" fontId="9" fillId="2" borderId="12" xfId="2" applyFont="1" applyFill="1" applyBorder="1" applyAlignment="1" applyProtection="1">
      <alignment vertical="center" textRotation="90" wrapText="1"/>
      <protection hidden="1"/>
    </xf>
    <xf numFmtId="2" fontId="5" fillId="2" borderId="2" xfId="2" applyNumberFormat="1" applyFont="1" applyFill="1" applyBorder="1" applyAlignment="1" applyProtection="1">
      <alignment horizontal="center" textRotation="90" wrapText="1"/>
      <protection hidden="1"/>
    </xf>
    <xf numFmtId="2" fontId="5" fillId="2" borderId="3" xfId="2" applyNumberFormat="1" applyFont="1" applyFill="1" applyBorder="1" applyAlignment="1" applyProtection="1">
      <alignment horizontal="center" textRotation="90" wrapText="1"/>
      <protection hidden="1"/>
    </xf>
    <xf numFmtId="2" fontId="5" fillId="2" borderId="4" xfId="2" applyNumberFormat="1" applyFont="1" applyFill="1" applyBorder="1" applyAlignment="1" applyProtection="1">
      <alignment horizontal="center" textRotation="90" wrapText="1"/>
      <protection hidden="1"/>
    </xf>
    <xf numFmtId="170" fontId="10" fillId="2" borderId="1" xfId="2" applyNumberFormat="1" applyFont="1" applyFill="1" applyBorder="1" applyAlignment="1" applyProtection="1">
      <alignment horizontal="center" vertical="center"/>
      <protection hidden="1"/>
    </xf>
    <xf numFmtId="2" fontId="6" fillId="2" borderId="1" xfId="0" applyNumberFormat="1" applyFont="1" applyFill="1" applyBorder="1" applyAlignment="1" applyProtection="1">
      <alignment horizontal="center" vertical="center"/>
      <protection hidden="1"/>
    </xf>
    <xf numFmtId="167" fontId="12" fillId="4" borderId="1" xfId="2" applyNumberFormat="1" applyFont="1" applyFill="1" applyBorder="1" applyAlignment="1" applyProtection="1">
      <alignment horizontal="center" vertical="center"/>
      <protection hidden="1"/>
    </xf>
    <xf numFmtId="167" fontId="13" fillId="4" borderId="1" xfId="2" applyNumberFormat="1" applyFont="1" applyFill="1" applyBorder="1" applyAlignment="1" applyProtection="1">
      <alignment horizontal="center" vertical="center"/>
      <protection hidden="1"/>
    </xf>
    <xf numFmtId="4" fontId="10" fillId="2" borderId="1" xfId="2" applyNumberFormat="1" applyFont="1" applyFill="1" applyBorder="1" applyAlignment="1" applyProtection="1">
      <alignment horizontal="center" vertical="center" wrapText="1"/>
      <protection hidden="1"/>
    </xf>
    <xf numFmtId="4" fontId="11" fillId="2" borderId="1" xfId="2" applyNumberFormat="1" applyFont="1" applyFill="1" applyBorder="1" applyAlignment="1" applyProtection="1">
      <alignment horizontal="center" vertical="center" wrapText="1"/>
      <protection hidden="1"/>
    </xf>
    <xf numFmtId="173" fontId="5" fillId="2" borderId="1" xfId="2" applyNumberFormat="1" applyFont="1" applyFill="1" applyBorder="1" applyAlignment="1" applyProtection="1">
      <alignment horizontal="center" vertical="center"/>
      <protection hidden="1"/>
    </xf>
    <xf numFmtId="1" fontId="5" fillId="2" borderId="1" xfId="2" applyNumberFormat="1" applyFont="1" applyFill="1" applyBorder="1" applyAlignment="1" applyProtection="1">
      <alignment horizontal="center" vertical="center"/>
      <protection hidden="1"/>
    </xf>
    <xf numFmtId="4" fontId="5" fillId="2" borderId="1" xfId="2" applyNumberFormat="1" applyFont="1" applyFill="1" applyBorder="1" applyAlignment="1" applyProtection="1">
      <alignment horizontal="center" vertical="center" wrapText="1"/>
      <protection hidden="1"/>
    </xf>
    <xf numFmtId="167" fontId="12" fillId="2" borderId="1" xfId="2" applyNumberFormat="1" applyFont="1" applyFill="1" applyBorder="1" applyAlignment="1" applyProtection="1">
      <alignment horizontal="center" vertical="center"/>
      <protection hidden="1"/>
    </xf>
    <xf numFmtId="167" fontId="13" fillId="2" borderId="1" xfId="2" applyNumberFormat="1"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5" fillId="0" borderId="0" xfId="2" applyFont="1" applyAlignment="1" applyProtection="1">
      <alignment horizontal="center" vertical="center" wrapText="1"/>
      <protection hidden="1"/>
    </xf>
    <xf numFmtId="0" fontId="5" fillId="0" borderId="0" xfId="2" applyFont="1" applyAlignment="1" applyProtection="1">
      <alignment horizontal="right" vertical="center" indent="1"/>
      <protection hidden="1"/>
    </xf>
    <xf numFmtId="2" fontId="8" fillId="3" borderId="1" xfId="2" applyNumberFormat="1" applyFont="1" applyFill="1" applyBorder="1" applyAlignment="1" applyProtection="1">
      <alignment horizontal="center" vertical="center" textRotation="90" wrapText="1"/>
      <protection locked="0" hidden="1"/>
    </xf>
    <xf numFmtId="1" fontId="5" fillId="3" borderId="1" xfId="2" applyNumberFormat="1" applyFont="1" applyFill="1" applyBorder="1" applyAlignment="1" applyProtection="1">
      <alignment horizontal="center" vertical="center"/>
      <protection locked="0" hidden="1"/>
    </xf>
    <xf numFmtId="173" fontId="5" fillId="3" borderId="1" xfId="3" applyNumberFormat="1" applyFont="1" applyFill="1" applyBorder="1" applyAlignment="1" applyProtection="1">
      <alignment horizontal="center" vertical="center"/>
      <protection locked="0" hidden="1"/>
    </xf>
    <xf numFmtId="2" fontId="5" fillId="5" borderId="1" xfId="2" applyNumberFormat="1" applyFont="1" applyFill="1" applyBorder="1" applyAlignment="1" applyProtection="1">
      <alignment horizontal="center" vertical="center" wrapText="1"/>
      <protection locked="0" hidden="1"/>
    </xf>
    <xf numFmtId="169" fontId="5" fillId="3" borderId="1" xfId="2" applyNumberFormat="1" applyFont="1" applyFill="1" applyBorder="1" applyAlignment="1" applyProtection="1">
      <alignment horizontal="center" vertical="center"/>
      <protection locked="0" hidden="1"/>
    </xf>
    <xf numFmtId="0" fontId="5" fillId="3" borderId="1" xfId="2" applyFont="1" applyFill="1" applyBorder="1" applyAlignment="1" applyProtection="1">
      <alignment horizontal="center" vertical="center" textRotation="90" wrapText="1"/>
      <protection locked="0" hidden="1"/>
    </xf>
    <xf numFmtId="0" fontId="5" fillId="3" borderId="1" xfId="0" applyFont="1" applyFill="1" applyBorder="1" applyAlignment="1" applyProtection="1">
      <alignment horizontal="center" vertical="center" textRotation="90" wrapText="1"/>
      <protection locked="0" hidden="1"/>
    </xf>
    <xf numFmtId="0" fontId="14" fillId="0" borderId="0" xfId="2" applyFont="1" applyFill="1" applyBorder="1" applyAlignment="1" applyProtection="1">
      <alignment horizontal="center" vertical="center" wrapText="1"/>
      <protection hidden="1"/>
    </xf>
    <xf numFmtId="167" fontId="14" fillId="0" borderId="0" xfId="2" applyNumberFormat="1" applyFont="1" applyFill="1" applyBorder="1" applyAlignment="1" applyProtection="1">
      <alignment horizontal="center" vertical="center" wrapText="1"/>
      <protection hidden="1"/>
    </xf>
    <xf numFmtId="0" fontId="15" fillId="0" borderId="0" xfId="2" applyFont="1" applyFill="1" applyBorder="1" applyAlignment="1" applyProtection="1">
      <alignment vertical="center" textRotation="90" wrapText="1"/>
      <protection hidden="1"/>
    </xf>
    <xf numFmtId="167" fontId="14" fillId="0" borderId="0" xfId="2" applyNumberFormat="1" applyFont="1" applyFill="1" applyBorder="1" applyAlignment="1" applyProtection="1">
      <alignment horizontal="center" vertical="center"/>
      <protection hidden="1"/>
    </xf>
    <xf numFmtId="167" fontId="14" fillId="0" borderId="0" xfId="3" applyNumberFormat="1" applyFont="1" applyFill="1" applyBorder="1" applyAlignment="1" applyProtection="1">
      <alignment horizontal="center" vertical="center" wrapText="1"/>
      <protection hidden="1"/>
    </xf>
    <xf numFmtId="2" fontId="14" fillId="0" borderId="0" xfId="2" applyNumberFormat="1" applyFont="1" applyFill="1" applyBorder="1" applyAlignment="1" applyProtection="1">
      <alignment horizontal="center" vertical="center"/>
      <protection hidden="1"/>
    </xf>
    <xf numFmtId="0" fontId="14" fillId="0" borderId="0" xfId="2" applyFont="1" applyFill="1" applyBorder="1" applyAlignment="1" applyProtection="1">
      <alignment horizontal="center" vertical="center"/>
      <protection hidden="1"/>
    </xf>
    <xf numFmtId="167" fontId="15" fillId="0" borderId="0" xfId="2" applyNumberFormat="1" applyFont="1" applyFill="1" applyBorder="1" applyAlignment="1" applyProtection="1">
      <alignment horizontal="center" vertical="center" textRotation="90" wrapText="1"/>
      <protection hidden="1"/>
    </xf>
    <xf numFmtId="0" fontId="14" fillId="0" borderId="0" xfId="3" applyFont="1" applyFill="1" applyBorder="1" applyAlignment="1" applyProtection="1">
      <alignment horizontal="center" vertical="center"/>
      <protection hidden="1"/>
    </xf>
    <xf numFmtId="2" fontId="14" fillId="0" borderId="0" xfId="3" applyNumberFormat="1" applyFont="1" applyFill="1" applyBorder="1" applyAlignment="1" applyProtection="1">
      <alignment horizontal="center" vertical="center"/>
      <protection hidden="1"/>
    </xf>
    <xf numFmtId="170" fontId="14" fillId="0" borderId="0" xfId="2" applyNumberFormat="1" applyFont="1" applyFill="1" applyBorder="1" applyAlignment="1" applyProtection="1">
      <alignment horizontal="center" vertical="center" wrapText="1"/>
      <protection hidden="1"/>
    </xf>
    <xf numFmtId="4" fontId="14" fillId="0" borderId="0" xfId="2" applyNumberFormat="1" applyFont="1" applyFill="1" applyBorder="1" applyAlignment="1" applyProtection="1">
      <alignment horizontal="center" vertical="center"/>
      <protection hidden="1"/>
    </xf>
    <xf numFmtId="2" fontId="16" fillId="0" borderId="0" xfId="0" applyNumberFormat="1" applyFont="1" applyFill="1" applyBorder="1" applyAlignment="1" applyProtection="1">
      <alignment horizontal="center" vertical="center"/>
      <protection hidden="1"/>
    </xf>
    <xf numFmtId="164" fontId="14" fillId="0" borderId="0" xfId="2" applyNumberFormat="1" applyFont="1" applyFill="1" applyBorder="1" applyAlignment="1" applyProtection="1">
      <alignment horizontal="center" vertical="center"/>
      <protection hidden="1"/>
    </xf>
    <xf numFmtId="164" fontId="14" fillId="0" borderId="0" xfId="0" applyNumberFormat="1" applyFont="1" applyFill="1" applyBorder="1" applyAlignment="1" applyProtection="1">
      <alignment horizontal="center" vertical="center"/>
      <protection hidden="1"/>
    </xf>
    <xf numFmtId="165" fontId="14" fillId="0" borderId="0" xfId="0" applyNumberFormat="1" applyFont="1" applyFill="1" applyBorder="1" applyAlignment="1" applyProtection="1">
      <alignment horizontal="center" vertical="center"/>
      <protection hidden="1"/>
    </xf>
    <xf numFmtId="167" fontId="14" fillId="0" borderId="0" xfId="0" applyNumberFormat="1" applyFont="1" applyFill="1" applyBorder="1" applyAlignment="1" applyProtection="1">
      <alignment horizontal="center" vertical="center"/>
      <protection hidden="1"/>
    </xf>
    <xf numFmtId="167" fontId="14" fillId="0" borderId="0" xfId="3" applyNumberFormat="1" applyFont="1" applyFill="1" applyBorder="1" applyAlignment="1" applyProtection="1">
      <alignment horizontal="center" vertical="center"/>
      <protection hidden="1"/>
    </xf>
    <xf numFmtId="3" fontId="14" fillId="0" borderId="0" xfId="2" applyNumberFormat="1" applyFont="1" applyFill="1" applyBorder="1" applyAlignment="1" applyProtection="1">
      <alignment horizontal="center" vertical="center" wrapText="1"/>
      <protection hidden="1"/>
    </xf>
    <xf numFmtId="2" fontId="14" fillId="0" borderId="0" xfId="2"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right" vertical="center" wrapText="1" indent="1"/>
      <protection hidden="1"/>
    </xf>
    <xf numFmtId="49" fontId="14" fillId="0" borderId="0" xfId="0" applyNumberFormat="1" applyFont="1" applyFill="1" applyBorder="1" applyAlignment="1" applyProtection="1">
      <alignment horizontal="center" vertical="center" wrapText="1"/>
      <protection hidden="1"/>
    </xf>
    <xf numFmtId="49" fontId="14" fillId="0" borderId="0" xfId="2" applyNumberFormat="1" applyFont="1" applyFill="1" applyBorder="1" applyAlignment="1" applyProtection="1">
      <alignment horizontal="center" vertical="center" wrapText="1"/>
      <protection hidden="1"/>
    </xf>
    <xf numFmtId="4" fontId="17" fillId="0" borderId="0" xfId="2" applyNumberFormat="1" applyFont="1" applyFill="1" applyBorder="1" applyAlignment="1" applyProtection="1">
      <alignment horizontal="center" vertical="center" wrapText="1"/>
      <protection hidden="1"/>
    </xf>
    <xf numFmtId="165" fontId="14" fillId="0" borderId="0" xfId="2" applyNumberFormat="1" applyFont="1" applyFill="1" applyBorder="1" applyAlignment="1" applyProtection="1">
      <alignment horizontal="center" vertical="center"/>
      <protection hidden="1"/>
    </xf>
    <xf numFmtId="172" fontId="14" fillId="0" borderId="0" xfId="2" applyNumberFormat="1" applyFont="1" applyFill="1" applyBorder="1" applyAlignment="1" applyProtection="1">
      <alignment horizontal="center" vertical="center" wrapText="1"/>
      <protection hidden="1"/>
    </xf>
    <xf numFmtId="2" fontId="14" fillId="0" borderId="0" xfId="2" applyNumberFormat="1" applyFont="1" applyFill="1" applyBorder="1" applyAlignment="1" applyProtection="1">
      <alignment horizontal="right" vertical="center" wrapText="1" indent="1"/>
      <protection hidden="1"/>
    </xf>
    <xf numFmtId="4" fontId="14" fillId="0" borderId="0" xfId="2" applyNumberFormat="1" applyFont="1" applyFill="1" applyBorder="1" applyAlignment="1" applyProtection="1">
      <alignment horizontal="center" vertical="center" wrapText="1"/>
      <protection hidden="1"/>
    </xf>
    <xf numFmtId="49" fontId="14" fillId="0" borderId="0" xfId="3" applyNumberFormat="1" applyFont="1" applyFill="1" applyBorder="1" applyAlignment="1" applyProtection="1">
      <alignment horizontal="center" vertical="center"/>
      <protection hidden="1"/>
    </xf>
    <xf numFmtId="169" fontId="14" fillId="0" borderId="0" xfId="2" applyNumberFormat="1" applyFont="1" applyFill="1" applyBorder="1" applyAlignment="1" applyProtection="1">
      <alignment horizontal="center" vertical="center"/>
      <protection hidden="1"/>
    </xf>
    <xf numFmtId="170" fontId="14" fillId="0" borderId="0" xfId="4" applyNumberFormat="1" applyFont="1" applyFill="1" applyBorder="1" applyAlignment="1" applyProtection="1">
      <alignment horizontal="center" vertical="center"/>
      <protection hidden="1"/>
    </xf>
    <xf numFmtId="168" fontId="14" fillId="0" borderId="0" xfId="2" applyNumberFormat="1" applyFont="1" applyFill="1" applyBorder="1" applyAlignment="1" applyProtection="1">
      <alignment horizontal="center" vertical="center"/>
      <protection hidden="1"/>
    </xf>
    <xf numFmtId="167" fontId="14" fillId="0" borderId="0" xfId="4" applyNumberFormat="1" applyFont="1" applyFill="1" applyBorder="1" applyAlignment="1" applyProtection="1">
      <alignment horizontal="center" vertical="center"/>
      <protection hidden="1"/>
    </xf>
    <xf numFmtId="170" fontId="14" fillId="0" borderId="0" xfId="2" applyNumberFormat="1" applyFont="1" applyFill="1" applyBorder="1" applyAlignment="1" applyProtection="1">
      <alignment horizontal="center" vertical="center"/>
      <protection hidden="1"/>
    </xf>
  </cellXfs>
  <cellStyles count="6">
    <cellStyle name="Açıklama Metni" xfId="1" builtinId="53" customBuiltin="1"/>
    <cellStyle name="Normal" xfId="0" builtinId="0"/>
    <cellStyle name="Normal 2" xfId="2" xr:uid="{00000000-0005-0000-0000-000002000000}"/>
    <cellStyle name="Normal 2 2" xfId="3" xr:uid="{00000000-0005-0000-0000-000003000000}"/>
    <cellStyle name="Virgül 2" xfId="5" xr:uid="{00000000-0005-0000-0000-000004000000}"/>
    <cellStyle name="Yüzde 2" xfId="4" xr:uid="{00000000-0005-0000-0000-000005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AEEF3"/>
      <color rgb="FFC8E1B4"/>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9"/>
            <c:invertIfNegative val="0"/>
            <c:bubble3D val="0"/>
            <c:spPr>
              <a:solidFill>
                <a:srgbClr val="C00000"/>
              </a:solidFill>
              <a:ln>
                <a:noFill/>
              </a:ln>
              <a:effectLst/>
            </c:spPr>
            <c:extLst>
              <c:ext xmlns:c16="http://schemas.microsoft.com/office/drawing/2014/chart" uri="{C3380CC4-5D6E-409C-BE32-E72D297353CC}">
                <c16:uniqueId val="{00000035-51B7-4D3E-868B-DB5066999F7C}"/>
              </c:ext>
            </c:extLst>
          </c:dPt>
          <c:dPt>
            <c:idx val="10"/>
            <c:invertIfNegative val="0"/>
            <c:bubble3D val="0"/>
            <c:spPr>
              <a:solidFill>
                <a:srgbClr val="C00000"/>
              </a:solidFill>
              <a:ln>
                <a:noFill/>
              </a:ln>
              <a:effectLst/>
            </c:spPr>
            <c:extLst>
              <c:ext xmlns:c16="http://schemas.microsoft.com/office/drawing/2014/chart" uri="{C3380CC4-5D6E-409C-BE32-E72D297353CC}">
                <c16:uniqueId val="{00000036-51B7-4D3E-868B-DB5066999F7C}"/>
              </c:ext>
            </c:extLst>
          </c:dPt>
          <c:dPt>
            <c:idx val="11"/>
            <c:invertIfNegative val="0"/>
            <c:bubble3D val="0"/>
            <c:spPr>
              <a:solidFill>
                <a:srgbClr val="C00000"/>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rgbClr val="C00000"/>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rgbClr val="C00000"/>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chemeClr val="bg1">
                  <a:lumMod val="50000"/>
                </a:schemeClr>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chemeClr val="bg1">
                  <a:lumMod val="50000"/>
                </a:schemeClr>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chemeClr val="bg1">
                  <a:lumMod val="50000"/>
                </a:schemeClr>
              </a:solidFill>
              <a:ln>
                <a:noFill/>
              </a:ln>
              <a:effectLst/>
            </c:spPr>
            <c:extLst>
              <c:ext xmlns:c16="http://schemas.microsoft.com/office/drawing/2014/chart" uri="{C3380CC4-5D6E-409C-BE32-E72D297353CC}">
                <c16:uniqueId val="{0000002D-15C5-4CF9-A126-8061EA1D968F}"/>
              </c:ext>
            </c:extLst>
          </c:dPt>
          <c:dPt>
            <c:idx val="20"/>
            <c:invertIfNegative val="0"/>
            <c:bubble3D val="0"/>
            <c:spPr>
              <a:solidFill>
                <a:schemeClr val="tx1"/>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Tablo'!$U$1:$U$17</c:f>
              <c:strCache>
                <c:ptCount val="17"/>
                <c:pt idx="0">
                  <c:v>Normal Çalışma</c:v>
                </c:pt>
                <c:pt idx="1">
                  <c:v>Kıdem Yardımı</c:v>
                </c:pt>
                <c:pt idx="2">
                  <c:v>Fazla Çalışma (% 40)</c:v>
                </c:pt>
                <c:pt idx="3">
                  <c:v>Resmi Tatillerde Çalışma (% 100)</c:v>
                </c:pt>
                <c:pt idx="4">
                  <c:v>Yemek Yardımı</c:v>
                </c:pt>
                <c:pt idx="5">
                  <c:v>Ulaşım Yardımı</c:v>
                </c:pt>
                <c:pt idx="6">
                  <c:v>İkramiye Yardımı</c:v>
                </c:pt>
                <c:pt idx="7">
                  <c:v>Sosyal Yardım</c:v>
                </c:pt>
                <c:pt idx="8">
                  <c:v>Görev Primi</c:v>
                </c:pt>
                <c:pt idx="9">
                  <c:v>Nakdi Yardımlar</c:v>
                </c:pt>
                <c:pt idx="10">
                  <c:v>Sendika Üyelik Aidatı Kesintisi</c:v>
                </c:pt>
                <c:pt idx="11">
                  <c:v>BES Kesintisi</c:v>
                </c:pt>
                <c:pt idx="12">
                  <c:v>Damga Vergisi Kesintisi</c:v>
                </c:pt>
                <c:pt idx="13">
                  <c:v>SGK Prim Kesintisi</c:v>
                </c:pt>
                <c:pt idx="14">
                  <c:v>SGK İşsizlik Primi Kesintisi</c:v>
                </c:pt>
                <c:pt idx="15">
                  <c:v>Gelir Vergisi Kesintisi</c:v>
                </c:pt>
                <c:pt idx="16">
                  <c:v>İşveren Maliyeti</c:v>
                </c:pt>
              </c:strCache>
            </c:strRef>
          </c:cat>
          <c:val>
            <c:numRef>
              <c:f>'Özet Tablo'!$V$1:$V$17</c:f>
              <c:numCache>
                <c:formatCode>#,##0.00\ "₺"</c:formatCode>
                <c:ptCount val="17"/>
                <c:pt idx="0">
                  <c:v>50577.409166666672</c:v>
                </c:pt>
                <c:pt idx="1">
                  <c:v>0</c:v>
                </c:pt>
                <c:pt idx="2">
                  <c:v>17446.030000000002</c:v>
                </c:pt>
                <c:pt idx="3">
                  <c:v>0</c:v>
                </c:pt>
                <c:pt idx="4">
                  <c:v>8038.333333333333</c:v>
                </c:pt>
                <c:pt idx="5">
                  <c:v>2094.0275000000001</c:v>
                </c:pt>
                <c:pt idx="6">
                  <c:v>17014.8</c:v>
                </c:pt>
                <c:pt idx="7">
                  <c:v>3597.5496671760325</c:v>
                </c:pt>
                <c:pt idx="8">
                  <c:v>0</c:v>
                </c:pt>
                <c:pt idx="9">
                  <c:v>0</c:v>
                </c:pt>
                <c:pt idx="10">
                  <c:v>2205.4666578341012</c:v>
                </c:pt>
                <c:pt idx="11">
                  <c:v>0</c:v>
                </c:pt>
                <c:pt idx="12">
                  <c:v>878.70416666666677</c:v>
                </c:pt>
                <c:pt idx="13">
                  <c:v>19078.015833333331</c:v>
                </c:pt>
                <c:pt idx="14">
                  <c:v>1362.7158333333334</c:v>
                </c:pt>
                <c:pt idx="15">
                  <c:v>27364.951666666671</c:v>
                </c:pt>
                <c:pt idx="16">
                  <c:v>172439.70791666664</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Tablo'!$U$18:$U$19</c:f>
              <c:strCache>
                <c:ptCount val="2"/>
                <c:pt idx="0">
                  <c:v>Kazançlar</c:v>
                </c:pt>
                <c:pt idx="1">
                  <c:v>Kesintiler</c:v>
                </c:pt>
              </c:strCache>
            </c:strRef>
          </c:cat>
          <c:val>
            <c:numRef>
              <c:f>'Özet Tablo'!$V$18:$V$19</c:f>
              <c:numCache>
                <c:formatCode>#,##0.00\ "₺"</c:formatCode>
                <c:ptCount val="2"/>
                <c:pt idx="0">
                  <c:v>97127.062508832561</c:v>
                </c:pt>
                <c:pt idx="1">
                  <c:v>50889.854157834125</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14</xdr:col>
      <xdr:colOff>53463</xdr:colOff>
      <xdr:row>0</xdr:row>
      <xdr:rowOff>70921</xdr:rowOff>
    </xdr:from>
    <xdr:to>
      <xdr:col>14</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4966692</xdr:colOff>
      <xdr:row>8</xdr:row>
      <xdr:rowOff>125886</xdr:rowOff>
    </xdr:from>
    <xdr:to>
      <xdr:col>14</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NP363"/>
  <sheetViews>
    <sheetView showGridLines="0" showRowColHeaders="0" tabSelected="1" showWhiteSpace="0" zoomScale="50" zoomScaleNormal="50" zoomScaleSheetLayoutView="40" zoomScalePageLayoutView="55" workbookViewId="0">
      <pane xSplit="2" topLeftCell="C1" activePane="topRight" state="frozen"/>
      <selection activeCell="A7" sqref="A7"/>
      <selection pane="topRight" sqref="A1:A14"/>
    </sheetView>
  </sheetViews>
  <sheetFormatPr defaultColWidth="0" defaultRowHeight="0" customHeight="1" zeroHeight="1" x14ac:dyDescent="0.25"/>
  <cols>
    <col min="1" max="10" width="12.7109375" style="13" customWidth="1"/>
    <col min="11" max="13" width="30.7109375" style="13" customWidth="1"/>
    <col min="14" max="14" width="12.7109375" style="13" customWidth="1"/>
    <col min="15" max="15" width="110.7109375" style="13" customWidth="1"/>
    <col min="16" max="16" width="12.7109375" style="13" customWidth="1"/>
    <col min="17" max="17" width="5.7109375" style="13" customWidth="1"/>
    <col min="18" max="18" width="80.7109375" style="13" customWidth="1"/>
    <col min="19" max="19" width="5.7109375" style="13" customWidth="1"/>
    <col min="20" max="20" width="1.7109375" style="13" customWidth="1"/>
    <col min="21" max="23" width="0.140625" style="58" customWidth="1"/>
    <col min="24" max="55" width="5.7109375" style="58" hidden="1" customWidth="1"/>
    <col min="56" max="58" width="20.7109375" style="58" hidden="1" customWidth="1"/>
    <col min="59" max="59" width="1.5703125" style="13" hidden="1" customWidth="1"/>
    <col min="60" max="155" width="0" style="13" hidden="1" customWidth="1"/>
    <col min="156" max="380" width="0" style="13" hidden="1"/>
    <col min="381" max="16384" width="5.7109375" style="13" hidden="1"/>
  </cols>
  <sheetData>
    <row r="1" spans="1:58" ht="39.950000000000003" customHeight="1" x14ac:dyDescent="0.25">
      <c r="A1" s="45" t="s">
        <v>85</v>
      </c>
      <c r="B1" s="1"/>
      <c r="C1" s="2" t="s">
        <v>54</v>
      </c>
      <c r="D1" s="2" t="s">
        <v>77</v>
      </c>
      <c r="E1" s="3" t="s">
        <v>78</v>
      </c>
      <c r="F1" s="2" t="s">
        <v>55</v>
      </c>
      <c r="G1" s="4" t="s">
        <v>56</v>
      </c>
      <c r="H1" s="5"/>
      <c r="I1" s="6"/>
      <c r="J1" s="2" t="s">
        <v>74</v>
      </c>
      <c r="K1" s="2" t="s">
        <v>69</v>
      </c>
      <c r="L1" s="2" t="s">
        <v>79</v>
      </c>
      <c r="M1" s="7" t="s">
        <v>67</v>
      </c>
      <c r="N1" s="50" t="s">
        <v>82</v>
      </c>
      <c r="O1" s="8"/>
      <c r="P1" s="51" t="s">
        <v>41</v>
      </c>
      <c r="Q1" s="9"/>
      <c r="R1" s="10"/>
      <c r="S1" s="11"/>
      <c r="T1" s="12"/>
      <c r="U1" s="52" t="s">
        <v>30</v>
      </c>
      <c r="V1" s="53">
        <f t="shared" ref="V1:V4" si="0">IF(W1&gt;0,W1,W1*-1)</f>
        <v>50577.409166666672</v>
      </c>
      <c r="W1" s="53">
        <f>COUNTIF(N1,"Ocak")*(AN15)
+COUNTIF(N1,"Şubat")*(AN16)
+COUNTIF(N1,"Mart")*(AN17)
+COUNTIF(N1,"Nisan")*(AN18)
+COUNTIF(N1,"Mayıs")*(AN19)
+COUNTIF(N1,"Haziran")*(AN20)
+COUNTIF(N1,"Temmuz")*(AN21)
+COUNTIF(N1,"Ağustos")*(AN22)
+COUNTIF(N1,"Eylül")*(AN23)
+COUNTIF(N1,"Ekim")*(AN24)
+COUNTIF(N1,"Kasım")*(AN25)
+COUNTIF(N1,"Aralık")*(AN26)
+COUNTIF(N1,"Yıllık Toplam")*(AN27)
+COUNTIF(N1,"Yıllık Ortalama")*(AN28)</f>
        <v>50577.409166666672</v>
      </c>
      <c r="X1" s="54"/>
      <c r="Y1" s="54"/>
      <c r="Z1" s="54"/>
      <c r="AA1" s="54"/>
      <c r="AB1" s="54"/>
      <c r="AC1" s="54"/>
      <c r="AD1" s="52" t="s">
        <v>84</v>
      </c>
      <c r="AE1" s="53">
        <v>1548.5</v>
      </c>
      <c r="AF1" s="53">
        <v>1827.23</v>
      </c>
      <c r="AG1" s="53">
        <v>2083.04</v>
      </c>
      <c r="AH1" s="53">
        <f ca="1">(AI1/BB73)</f>
        <v>2029.6680701067266</v>
      </c>
      <c r="AI1" s="53">
        <f>COUNTIF($A$1,"Deniz Taksi / Kaptan")*($AE$1)
+COUNTIF($A$1,"Deniz Taksi / Gemici")*($AE$2)</f>
        <v>1451.03</v>
      </c>
      <c r="AJ1" s="53">
        <f ca="1">AM15/AJ15</f>
        <v>1871.1516129032257</v>
      </c>
      <c r="AK1" s="53">
        <f>COUNTIF($A$1,"Deniz Taksi / Kaptan")*($AE$1)
+COUNTIF($A$1,"Deniz Taksi / Gemici")*($AE$2)</f>
        <v>1451.03</v>
      </c>
      <c r="AL1" s="55">
        <f ca="1">(AM1/BB73)</f>
        <v>0</v>
      </c>
      <c r="AM1" s="55">
        <f>(60*C15)</f>
        <v>0</v>
      </c>
      <c r="AN1" s="55">
        <f ca="1">(AO1/BB73)</f>
        <v>21311.514736120629</v>
      </c>
      <c r="AO1" s="55">
        <f>(AI1/8*1.4*D15)</f>
        <v>15235.814999999999</v>
      </c>
      <c r="AP1" s="55">
        <f ca="1">(AQ1/BB73)</f>
        <v>0</v>
      </c>
      <c r="AQ1" s="55">
        <f>(AI1/8*2*E15)</f>
        <v>0</v>
      </c>
      <c r="AR1" s="55">
        <f ca="1">(AS1+AQ15*-1+AU15*-1+AP29*-1+AT29*-1)</f>
        <v>6310.99</v>
      </c>
      <c r="AS1" s="55">
        <f>(230*F15)</f>
        <v>5980</v>
      </c>
      <c r="AT1" s="55">
        <f ca="1">ROUND((AS1+AQ15*-1+AU15*-1+AP29*-1+AT29*-1),2)</f>
        <v>6310.99</v>
      </c>
      <c r="AU1" s="55">
        <f ca="1">IF($AF$15*F15&gt;=AT1,AT1,$AF$15*F15)</f>
        <v>6240</v>
      </c>
      <c r="AV1" s="56">
        <f ca="1">COUNTIF(G15,"Yok")*(0)
+COUNTIF(G15,"Askerlik Yardımı")*($AG$41/BB73)
+COUNTIF(G15,"Cenaze Yardımı (Anne-Baba)")*($AG$42+$AG$42*0.00759)
+COUNTIF(G15,"Cenaze Yardımı (Eş-Çocuk)")*($AG$43+$AG$43*0.00759)
+COUNTIF(G15,"Cenaze Yardımı (İşçi-İş Kazası Sonucu)")*($AG$44+$AG$44*0.00759)
+COUNTIF(G15,"Cenaze Yardımı (İşçi-Tabii Sebepler Sonucu)")*($AG$45+$AG$45*0.00759)
+COUNTIF(G15,"Doğal Afet Yardımı")*($AG$46+$AG$46*0.00759)
+COUNTIF(G15,"Eğitim Yardımı (Çocuk-İlköğretim)")*($AG$47/BB73)
+COUNTIF(G15,"Eğitim Yardımı (Çocuk-Ortaöğretim)")*($AG$48/BB73)
+COUNTIF(G15,"Eğitim Yardımı (Çocuk-Lise)")*($AG$49/BB73)
+COUNTIF(G15,"Eğitim Yardımı (Çocuk-Yükseköğretim)")*($AG$50/BB73)
+COUNTIF(G15,"Eğitim Yardımı (İşçi-Lise)")*($AG$51/BB73)
+COUNTIF(G15,"Eğitim Yardımı (İşçi-Yükseköğretim)")*($AG$52/BB73)
+COUNTIF(G15,"Evlilik Yardımı")*($AG$53+$AG$53*0.00759)
+COUNTIF(G15,"Gıda Yardımı")*($AG$54/BB73)
+COUNTIF(G15,"İş Kazası veya Meslek Hastalığı Tazminatı")*($AG$55+$AG$55*0.00759)
+COUNTIF(H15,"Yok")*(0)
+COUNTIF(H15,"Askerlik Yardımı")*($AG$41/BB73)
+COUNTIF(H15,"Cenaze Yardımı (Anne-Baba)")*($AG$42+$AG$42*0.00759)
+COUNTIF(H15,"Cenaze Yardımı (Eş-Çocuk)")*($AG$43+$AG$43*0.00759)
+COUNTIF(H15,"Cenaze Yardımı (İşçi-İş Kazası Sonucu)")*($AG$44+$AG$44*0.00759)
+COUNTIF(H15,"Cenaze Yardımı (İşçi-Tabii Sebepler Sonucu)")*($AG$45+$AG$45*0.00759)
+COUNTIF(H15,"Doğal Afet Yardımı")*($AG$46+$AG$46*0.00759)
+COUNTIF(H15,"Eğitim Yardımı (Çocuk-İlköğretim)")*($AG$47/BB73)
+COUNTIF(H15,"Eğitim Yardımı (Çocuk-Ortaöğretim)")*($AG$48/BB73)
+COUNTIF(H15,"Eğitim Yardımı (Çocuk-Lise)")*($AG$49/BB73)
+COUNTIF(H15,"Eğitim Yardımı (Çocuk-Yükseköğretim)")*($AG$50/BB73)
+COUNTIF(H15,"Eğitim Yardımı (İşçi-Lise)")*($AG$51/BB73)
+COUNTIF(H15,"Eğitim Yardımı (İşçi-Yükseköğretim)")*($AG$52/BB73)
+COUNTIF(H15,"Evlilik Yardımı")*($AG$53+$AG$53*0.00759)
+COUNTIF(H15,"Gıda Yardımı")*($AG$54/BB73)
+COUNTIF(H15,"İş Kazası veya Meslek Hastalığı Tazminatı")*($AG$55+$AG$55*0.00759)
+COUNTIF(I15,"Yok")*(0)
+COUNTIF(I15,"Askerlik Yardımı")*($AG$41/BB73)
+COUNTIF(I15,"Cenaze Yardımı (Anne-Baba)")*($AG$42+$AG$42*0.00759)
+COUNTIF(I15,"Cenaze Yardımı (Eş-Çocuk)")*($AG$43+$AG$43*0.00759)
+COUNTIF(I15,"Cenaze Yardımı (İşçi-İş Kazası Sonucu)")*($AG$44+$AG$44*0.00759)
+COUNTIF(I15,"Cenaze Yardımı (İşçi-Tabii Sebepler Sonucu)")*($AG$45+$AG$45*0.00759)
+COUNTIF(I15,"Doğal Afet Yardımı")*($AG$46+$AG$46*0.00759)
+COUNTIF(I15,"Eğitim Yardımı (Çocuk-İlköğretim)")*($AG$47/BB73)
+COUNTIF(I15,"Eğitim Yardımı (Çocuk-Ortaöğretim)")*($AG$48/BB73)
+COUNTIF(I15,"Eğitim Yardımı (Çocuk-Lise)")*($AG$49/BB73)
+COUNTIF(I15,"Eğitim Yardımı (Çocuk-Yükseköğretim)")*($AG$50/BB73)
+COUNTIF(I15,"Eğitim Yardımı (İşçi-Lise)")*($AG$51/BB73)
+COUNTIF(I15,"Eğitim Yardımı (İşçi-Yükseköğretim)")*($AG$52/BB73)
+COUNTIF(I15,"Evlilik Yardımı")*($AG$53+$AG$53*0.00759)
+COUNTIF(I15,"Gıda Yardımı")*($AG$54/BB73)
+COUNTIF(I15,"İş Kazası veya Meslek Hastalığı Tazminatı")*($AG$55+$AG$55*0.00759)</f>
        <v>0</v>
      </c>
      <c r="AW1" s="56">
        <f>COUNTIF(G15,"Yok")*(0)
+COUNTIF(G15,"Askerlik Yardımı")*(0)
+COUNTIF(G15,"Cenaze Yardımı (Anne-Baba)")*($AG$42+$AG$42*0.00759)
+COUNTIF(G15,"Cenaze Yardımı (Eş-Çocuk)")*($AG$43+$AG$43*0.00759)
+COUNTIF(G15,"Cenaze Yardımı (İşçi-İş Kazası Sonucu)")*($AG$44+$AG$44*0.00759)
+COUNTIF(G15,"Cenaze Yardımı (İşçi-Tabii Sebepler Sonucu)")*($AG$45+$AG$45*0.00759)
+COUNTIF(G15,"Doğal Afet Yardımı")*($AG$46+$AG$46*0.00759)
+COUNTIF(G15,"Eğitim Yardımı (Çocuk-İlköğretim)")*(0)
+COUNTIF(G15,"Eğitim Yardımı (Çocuk-Ortaöğretim)")*(0)
+COUNTIF(G15,"Eğitim Yardımı (Çocuk-Lise)")*(0)
+COUNTIF(G15,"Eğitim Yardımı (Çocuk-Yükseköğretim)")*(0)
+COUNTIF(G15,"Eğitim Yardımı (İşçi-Lise)")*(0)
+COUNTIF(G15,"Eğitim Yardımı (İşçi-Yükseköğretim)")*(0)
+COUNTIF(G15,"Evlilik Yardımı")*($AG$53+$AG$53*0.00759)
+COUNTIF(G15,"Gıda Yardımı")*(0)
+COUNTIF(G15,"İş Kazası veya Meslek Hastalığı Tazminatı")*($AG$55+$AG$55*0.00759)
+COUNTIF(H15,"Yok")*(0)
+COUNTIF(H15,"Askerlik Yardımı")*(0)
+COUNTIF(H15,"Cenaze Yardımı (Anne-Baba)")*($AG$42+$AG$42*0.00759)
+COUNTIF(H15,"Cenaze Yardımı (Eş-Çocuk)")*($AG$43+$AG$43*0.00759)
+COUNTIF(H15,"Cenaze Yardımı (İşçi-İş Kazası Sonucu)")*($AG$44+$AG$44*0.00759)
+COUNTIF(H15,"Cenaze Yardımı (İşçi-Tabii Sebepler Sonucu)")*($AG$45+$AG$45*0.00759)
+COUNTIF(H15,"Doğal Afet Yardımı")*($AG$46+$AG$46*0.00759)
+COUNTIF(H15,"Eğitim Yardımı (Çocuk-İlköğretim)")*(0)
+COUNTIF(H15,"Eğitim Yardımı (Çocuk-Ortaöğretim)")*(0)
+COUNTIF(H15,"Eğitim Yardımı (Çocuk-Lise)")*(0)
+COUNTIF(H15,"Eğitim Yardımı (Çocuk-Yükseköğretim)")*(0)
+COUNTIF(H15,"Eğitim Yardımı (İşçi-Lise)")*(0)
+COUNTIF(H15,"Eğitim Yardımı (İşçi-Yükseköğretim)")*(0)
+COUNTIF(H15,"Evlilik Yardımı")*($AG$53+$AG$53*0.00759)
+COUNTIF(H15,"Gıda Yardımı")*(0)
+COUNTIF(H15,"İş Kazası veya Meslek Hastalığı Tazminatı")*($AG$55+$AG$55*0.00759)
+COUNTIF(I15,"Yok")*(0)
+COUNTIF(I15,"Askerlik Yardımı")*(0)
+COUNTIF(I15,"Cenaze Yardımı (Anne-Baba)")*($AG$42+$AG$42*0.00759)
+COUNTIF(I15,"Cenaze Yardımı (Eş-Çocuk)")*($AG$43+$AG$43*0.00759)
+COUNTIF(I15,"Cenaze Yardımı (İşçi-İş Kazası Sonucu)")*($AG$44+$AG$44*0.00759)
+COUNTIF(I15,"Cenaze Yardımı (İşçi-Tabii Sebepler Sonucu)")*($AG$45+$AG$45*0.00759)
+COUNTIF(I15,"Doğal Afet Yardımı")*($AG$46+$AG$46*0.00759)
+COUNTIF(I15,"Eğitim Yardımı (Çocuk-İlköğretim)")*(0)
+COUNTIF(I15,"Eğitim Yardımı (Çocuk-Ortaöğretim)")*(0)
+COUNTIF(I15,"Eğitim Yardımı (Çocuk-Lise)")*(0)
+COUNTIF(I15,"Eğitim Yardımı (Çocuk-Yükseköğretim)")*(0)
+COUNTIF(I15,"Eğitim Yardımı (İşçi-Lise)")*(0)
+COUNTIF(I15,"Eğitim Yardımı (İşçi-Yükseköğretim)")*(0)
+COUNTIF(I15,"Evlilik Yardımı")*($AG$53+$AG$53*0.00759)
+COUNTIF(I15,"Gıda Yardımı")*(0)
+COUNTIF(I15,"İş Kazası veya Meslek Hastalığı Tazminatı")*($AG$55+$AG$55*0.00759)</f>
        <v>0</v>
      </c>
      <c r="AX1" s="56">
        <f>COUNTIF(G15,"Yok")*(0)
+COUNTIF(G15,"Askerlik Yardımı")*($AG$41)
+COUNTIF(G15,"Cenaze Yardımı (Anne-Baba)")*($AG$42)
+COUNTIF(G15,"Cenaze Yardımı (Eş-Çocuk)")*($AG$43)
+COUNTIF(G15,"Cenaze Yardımı (İşçi-İş Kazası Sonucu)")*($AG$44)
+COUNTIF(G15,"Cenaze Yardımı (İşçi-Tabii Sebepler Sonucu)")*($AG$45)
+COUNTIF(G15,"Doğal Afet Yardımı")*($AG$46)
+COUNTIF(G15,"Eğitim Yardımı (Çocuk-İlköğretim)")*($AG$47)
+COUNTIF(G15,"Eğitim Yardımı (Çocuk-Ortaöğretim)")*($AG$48)
+COUNTIF(G15,"Eğitim Yardımı (Çocuk-Lise)")*($AG$49)
+COUNTIF(G15,"Eğitim Yardımı (Çocuk-Yükseköğretim)")*($AG$50)
+COUNTIF(G15,"Eğitim Yardımı (İşçi-Lise)")*($AG$51)
+COUNTIF(G15,"Eğitim Yardımı (İşçi-Yükseköğretim)")*($AG$52)
+COUNTIF(G15,"Evlilik Yardımı")*($AG$53)
+COUNTIF(G15,"Gıda Yardımı")*($AG$54)
+COUNTIF(G15,"İş Kazası veya Meslek Hastalığı Tazminatı")*($AG$55)
+COUNTIF(H15,"Yok")*(0)
+COUNTIF(H15,"Askerlik Yardımı")*($AG$41)
+COUNTIF(H15,"Cenaze Yardımı (Anne-Baba)")*($AG$42)
+COUNTIF(H15,"Cenaze Yardımı (Eş-Çocuk)")*($AG$43)
+COUNTIF(H15,"Cenaze Yardımı (İşçi-İş Kazası Sonucu)")*($AG$44)
+COUNTIF(H15,"Cenaze Yardımı (İşçi-Tabii Sebepler Sonucu)")*($AG$45)
+COUNTIF(H15,"Doğal Afet Yardımı")*($AG$46)
+COUNTIF(H15,"Eğitim Yardımı (Çocuk-İlköğretim)")*($AG$47)
+COUNTIF(H15,"Eğitim Yardımı (Çocuk-Ortaöğretim)")*($AG$48)
+COUNTIF(H15,"Eğitim Yardımı (Çocuk-Lise)")*($AG$49)
+COUNTIF(H15,"Eğitim Yardımı (Çocuk-Yükseköğretim)")*($AG$50)
+COUNTIF(H15,"Eğitim Yardımı (İşçi-Lise)")*($AG$51)
+COUNTIF(H15,"Eğitim Yardımı (İşçi-Yükseköğretim)")*($AG$52)
+COUNTIF(H15,"Evlilik Yardımı")*($AG$53)
+COUNTIF(H15,"Gıda Yardımı")*($AG$54)
+COUNTIF(H15,"İş Kazası veya Meslek Hastalığı Tazminatı")*($AG$55)
+COUNTIF(I15,"Yok")*(0)
+COUNTIF(I15,"Askerlik Yardımı")*($AG$41)
+COUNTIF(I15,"Cenaze Yardımı (Anne-Baba)")*($AG$42)
+COUNTIF(I15,"Cenaze Yardımı (Eş-Çocuk)")*($AG$43)
+COUNTIF(I15,"Cenaze Yardımı (İşçi-İş Kazası Sonucu)")*($AG$44)
+COUNTIF(I15,"Cenaze Yardımı (İşçi-Tabii Sebepler Sonucu)")*($AG$45)
+COUNTIF(I15,"Doğal Afet Yardımı")*($AG$46)
+COUNTIF(I15,"Eğitim Yardımı (Çocuk-İlköğretim)")*($AG$47)
+COUNTIF(I15,"Eğitim Yardımı (Çocuk-Ortaöğretim)")*($AG$48)
+COUNTIF(I15,"Eğitim Yardımı (Çocuk-Lise)")*($AG$49)
+COUNTIF(I15,"Eğitim Yardımı (Çocuk-Yükseköğretim)")*($AG$50)
+COUNTIF(I15,"Eğitim Yardımı (İşçi-Lise)")*($AG$51)
+COUNTIF(I15,"Eğitim Yardımı (İşçi-Yükseköğretim)")*($AG$52)
+COUNTIF(I15,"Evlilik Yardımı")*($AG$53)
+COUNTIF(I15,"Gıda Yardımı")*($AG$54)
+COUNTIF(I15,"İş Kazası veya Meslek Hastalığı Tazminatı")*($AG$55)</f>
        <v>0</v>
      </c>
      <c r="AY1" s="57" t="s">
        <v>9</v>
      </c>
      <c r="AZ1" s="55">
        <f ca="1">COUNTIF(AY1,"Var")*(AJ1*0.9*-1)</f>
        <v>-1684.0364516129032</v>
      </c>
      <c r="BA1" s="55">
        <f ca="1">(AZ1*-1)</f>
        <v>1684.0364516129032</v>
      </c>
    </row>
    <row r="2" spans="1:58" ht="39.950000000000003" customHeight="1" x14ac:dyDescent="0.25">
      <c r="A2" s="45"/>
      <c r="B2" s="14">
        <f>COUNTIF($A$1,"Deniz Taksi / Kaptan")*($AE$1)
+COUNTIF($A$1,"Deniz Taksi / Gemici")*($AE$2)</f>
        <v>1451.03</v>
      </c>
      <c r="C2" s="2"/>
      <c r="D2" s="2"/>
      <c r="E2" s="3"/>
      <c r="F2" s="2"/>
      <c r="G2" s="15"/>
      <c r="H2" s="16"/>
      <c r="I2" s="17"/>
      <c r="J2" s="2"/>
      <c r="K2" s="2"/>
      <c r="L2" s="2"/>
      <c r="M2" s="7"/>
      <c r="N2" s="50"/>
      <c r="O2" s="8"/>
      <c r="P2" s="51"/>
      <c r="Q2" s="18"/>
      <c r="R2" s="19" t="str">
        <f>IF($P$1="Analık Hâli İzni",$V$20,
IF($P$1="Annelik İzni",$V$21,
IF($P$1="Babalık İzni",$V$22,
IF($P$1="Cenaze İzni",$V$23,
IF($P$1="Doğal Afet İzni",$V$24,
IF($P$1="Engelli Çocuk İzni",$V$25,
IF($P$1="Evlat Edinme İzni",$V$26,
IF($P$1="Evlilik İzni",$V$27,
IF($P$1="İş Arama İzni",$V$28,
IF($P$1="Mazeret İzni",$V$29,
IF($P$1="Süt İzni",$V$30,
IF($P$1="Ücretli Sendikal İzin ve Sendika Temsilci Sayısı",$V$31,
IF($P$1="Ücretli Yıllık İzin",$V$32,
IF($P$1="Yol İzni",$V$33))))))))))))))</f>
        <v>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v>
      </c>
      <c r="S2" s="20"/>
      <c r="T2" s="21"/>
      <c r="U2" s="52" t="s">
        <v>3</v>
      </c>
      <c r="V2" s="53">
        <f t="shared" si="0"/>
        <v>0</v>
      </c>
      <c r="W2" s="53">
        <f>COUNTIF(N1,"Ocak")*(AM1)
+COUNTIF(N1,"Şubat")*(AM2)
+COUNTIF(N1,"Mart")*(AM3)
+COUNTIF(N1,"Nisan")*(AM4)
+COUNTIF(N1,"Mayıs")*(AM5)
+COUNTIF(N1,"Haziran")*(AM6)
+COUNTIF(N1,"Temmuz")*(AM7)
+COUNTIF(N1,"Ağustos")*(AM8)
+COUNTIF(N1,"Eylül")*(AM9)
+COUNTIF(N1,"Ekim")*(AM10)
+COUNTIF(N1,"Kasım")*(AM11)
+COUNTIF(N1,"Aralık")*(AM12)
+COUNTIF(N1,"Yıllık Toplam")*(AM13)
+COUNTIF(N1,"Yıllık Ortalama")*(AM14)</f>
        <v>0</v>
      </c>
      <c r="X2" s="59"/>
      <c r="Y2" s="59"/>
      <c r="Z2" s="59"/>
      <c r="AA2" s="59"/>
      <c r="AB2" s="59"/>
      <c r="AC2" s="59"/>
      <c r="AD2" s="52" t="s">
        <v>85</v>
      </c>
      <c r="AE2" s="53">
        <v>1451.03</v>
      </c>
      <c r="AF2" s="53">
        <v>1712.21</v>
      </c>
      <c r="AG2" s="53">
        <v>1951.93</v>
      </c>
      <c r="AH2" s="53">
        <f ca="1">(AI2/BB74)</f>
        <v>2029.6680701067266</v>
      </c>
      <c r="AI2" s="53">
        <f>COUNTIF($A$1,"Deniz Taksi / Kaptan")*($AE$1)
+COUNTIF($A$1,"Deniz Taksi / Gemici")*($AE$2)</f>
        <v>1451.03</v>
      </c>
      <c r="AJ2" s="53">
        <f ca="1">AM16/AJ16</f>
        <v>1854.1678571428567</v>
      </c>
      <c r="AK2" s="53">
        <f>COUNTIF($A$1,"Deniz Taksi / Kaptan")*($AE$1)
+COUNTIF($A$1,"Deniz Taksi / Gemici")*($AE$2)</f>
        <v>1451.03</v>
      </c>
      <c r="AL2" s="55">
        <f ca="1">(AM2/BB74)</f>
        <v>0</v>
      </c>
      <c r="AM2" s="55">
        <f>(60*C16)</f>
        <v>0</v>
      </c>
      <c r="AN2" s="55">
        <f ca="1">(AO2/BB74)</f>
        <v>21311.514736120629</v>
      </c>
      <c r="AO2" s="55">
        <f>(AI2/8*1.4*D16)</f>
        <v>15235.814999999999</v>
      </c>
      <c r="AP2" s="55">
        <f ca="1">(AQ2/BB74)</f>
        <v>0</v>
      </c>
      <c r="AQ2" s="55">
        <f>(AI2/8*2*E16)</f>
        <v>0</v>
      </c>
      <c r="AR2" s="55">
        <f ca="1">(AS2+AQ16*-1+AU16*-1+AP30*-1+AT30*-1)</f>
        <v>6310.99</v>
      </c>
      <c r="AS2" s="55">
        <f>(230*F16)</f>
        <v>5980</v>
      </c>
      <c r="AT2" s="55">
        <f ca="1">ROUND((AS2+AQ16*-1+AU16*-1+AP30*-1+AT30*-1),2)</f>
        <v>6310.99</v>
      </c>
      <c r="AU2" s="55">
        <f ca="1">IF($AF$15*F16&gt;=AT2,AT2,$AF$15*F16)</f>
        <v>6240</v>
      </c>
      <c r="AV2" s="56">
        <f ca="1">COUNTIF(G16,"Yok")*(0)
+COUNTIF(G16,"Askerlik Yardımı")*($AG$41/BB74)
+COUNTIF(G16,"Cenaze Yardımı (Anne-Baba)")*($AG$42+$AG$42*0.00759)
+COUNTIF(G16,"Cenaze Yardımı (Eş-Çocuk)")*($AG$43+$AG$43*0.00759)
+COUNTIF(G16,"Cenaze Yardımı (İşçi-İş Kazası Sonucu)")*($AG$44+$AG$44*0.00759)
+COUNTIF(G16,"Cenaze Yardımı (İşçi-Tabii Sebepler Sonucu)")*($AG$45+$AG$45*0.00759)
+COUNTIF(G16,"Doğal Afet Yardımı")*($AG$46+$AG$46*0.00759)
+COUNTIF(G16,"Eğitim Yardımı (Çocuk-İlköğretim)")*($AG$47/BB74)
+COUNTIF(G16,"Eğitim Yardımı (Çocuk-Ortaöğretim)")*($AG$48/BB74)
+COUNTIF(G16,"Eğitim Yardımı (Çocuk-Lise)")*($AG$49/BB74)
+COUNTIF(G16,"Eğitim Yardımı (Çocuk-Yükseköğretim)")*($AG$50/BB74)
+COUNTIF(G16,"Eğitim Yardımı (İşçi-Lise)")*($AG$51/BB74)
+COUNTIF(G16,"Eğitim Yardımı (İşçi-Yükseköğretim)")*($AG$52/BB74)
+COUNTIF(G16,"Evlilik Yardımı")*($AG$53+$AG$53*0.00759)
+COUNTIF(G16,"Gıda Yardımı")*($AG$54/BB74)
+COUNTIF(G16,"İş Kazası veya Meslek Hastalığı Tazminatı")*($AG$55+$AG$55*0.00759)
+COUNTIF(H16,"Yok")*(0)
+COUNTIF(H16,"Askerlik Yardımı")*($AG$41/BB74)
+COUNTIF(H16,"Cenaze Yardımı (Anne-Baba)")*($AG$42+$AG$42*0.00759)
+COUNTIF(H16,"Cenaze Yardımı (Eş-Çocuk)")*($AG$43+$AG$43*0.00759)
+COUNTIF(H16,"Cenaze Yardımı (İşçi-İş Kazası Sonucu)")*($AG$44+$AG$44*0.00759)
+COUNTIF(H16,"Cenaze Yardımı (İşçi-Tabii Sebepler Sonucu)")*($AG$45+$AG$45*0.00759)
+COUNTIF(H16,"Doğal Afet Yardımı")*($AG$46+$AG$46*0.00759)
+COUNTIF(H16,"Eğitim Yardımı (Çocuk-İlköğretim)")*($AG$47/BB74)
+COUNTIF(H16,"Eğitim Yardımı (Çocuk-Ortaöğretim)")*($AG$48/BB74)
+COUNTIF(H16,"Eğitim Yardımı (Çocuk-Lise)")*($AG$49/BB74)
+COUNTIF(H16,"Eğitim Yardımı (Çocuk-Yükseköğretim)")*($AG$50/BB74)
+COUNTIF(H16,"Eğitim Yardımı (İşçi-Lise)")*($AG$51/BB74)
+COUNTIF(H16,"Eğitim Yardımı (İşçi-Yükseköğretim)")*($AG$52/BB74)
+COUNTIF(H16,"Evlilik Yardımı")*($AG$53+$AG$53*0.00759)
+COUNTIF(H16,"Gıda Yardımı")*($AG$54/BB74)
+COUNTIF(H16,"İş Kazası veya Meslek Hastalığı Tazminatı")*($AG$55+$AG$55*0.00759)
+COUNTIF(I16,"Yok")*(0)
+COUNTIF(I16,"Askerlik Yardımı")*($AG$41/BB74)
+COUNTIF(I16,"Cenaze Yardımı (Anne-Baba)")*($AG$42+$AG$42*0.00759)
+COUNTIF(I16,"Cenaze Yardımı (Eş-Çocuk)")*($AG$43+$AG$43*0.00759)
+COUNTIF(I16,"Cenaze Yardımı (İşçi-İş Kazası Sonucu)")*($AG$44+$AG$44*0.00759)
+COUNTIF(I16,"Cenaze Yardımı (İşçi-Tabii Sebepler Sonucu)")*($AG$45+$AG$45*0.00759)
+COUNTIF(I16,"Doğal Afet Yardımı")*($AG$46+$AG$46*0.00759)
+COUNTIF(I16,"Eğitim Yardımı (Çocuk-İlköğretim)")*($AG$47/BB74)
+COUNTIF(I16,"Eğitim Yardımı (Çocuk-Ortaöğretim)")*($AG$48/BB74)
+COUNTIF(I16,"Eğitim Yardımı (Çocuk-Lise)")*($AG$49/BB74)
+COUNTIF(I16,"Eğitim Yardımı (Çocuk-Yükseköğretim)")*($AG$50/BB74)
+COUNTIF(I16,"Eğitim Yardımı (İşçi-Lise)")*($AG$51/BB74)
+COUNTIF(I16,"Eğitim Yardımı (İşçi-Yükseköğretim)")*($AG$52/BB74)
+COUNTIF(I16,"Evlilik Yardımı")*($AG$53+$AG$53*0.00759)
+COUNTIF(I16,"Gıda Yardımı")*($AG$54/BB74)
+COUNTIF(I16,"İş Kazası veya Meslek Hastalığı Tazminatı")*($AG$55+$AG$55*0.00759)</f>
        <v>0</v>
      </c>
      <c r="AW2" s="56">
        <f>COUNTIF(G16,"Yok")*(0)
+COUNTIF(G16,"Askerlik Yardımı")*(0)
+COUNTIF(G16,"Cenaze Yardımı (Anne-Baba)")*($AG$42+$AG$42*0.00759)
+COUNTIF(G16,"Cenaze Yardımı (Eş-Çocuk)")*($AG$43+$AG$43*0.00759)
+COUNTIF(G16,"Cenaze Yardımı (İşçi-İş Kazası Sonucu)")*($AG$44+$AG$44*0.00759)
+COUNTIF(G16,"Cenaze Yardımı (İşçi-Tabii Sebepler Sonucu)")*($AG$45+$AG$45*0.00759)
+COUNTIF(G16,"Doğal Afet Yardımı")*($AG$46+$AG$46*0.00759)
+COUNTIF(G16,"Eğitim Yardımı (Çocuk-İlköğretim)")*(0)
+COUNTIF(G16,"Eğitim Yardımı (Çocuk-Ortaöğretim)")*(0)
+COUNTIF(G16,"Eğitim Yardımı (Çocuk-Lise)")*(0)
+COUNTIF(G16,"Eğitim Yardımı (Çocuk-Yükseköğretim)")*(0)
+COUNTIF(G16,"Eğitim Yardımı (İşçi-Lise)")*(0)
+COUNTIF(G16,"Eğitim Yardımı (İşçi-Yükseköğretim)")*(0)
+COUNTIF(G16,"Evlilik Yardımı")*($AG$53+$AG$53*0.00759)
+COUNTIF(G16,"Gıda Yardımı")*(0)
+COUNTIF(G16,"İş Kazası veya Meslek Hastalığı Tazminatı")*($AG$55+$AG$55*0.00759)
+COUNTIF(H16,"Yok")*(0)
+COUNTIF(H16,"Askerlik Yardımı")*(0)
+COUNTIF(H16,"Cenaze Yardımı (Anne-Baba)")*($AG$42+$AG$42*0.00759)
+COUNTIF(H16,"Cenaze Yardımı (Eş-Çocuk)")*($AG$43+$AG$43*0.00759)
+COUNTIF(H16,"Cenaze Yardımı (İşçi-İş Kazası Sonucu)")*($AG$44+$AG$44*0.00759)
+COUNTIF(H16,"Cenaze Yardımı (İşçi-Tabii Sebepler Sonucu)")*($AG$45+$AG$45*0.00759)
+COUNTIF(H16,"Doğal Afet Yardımı")*($AG$46+$AG$46*0.00759)
+COUNTIF(H16,"Eğitim Yardımı (Çocuk-İlköğretim)")*(0)
+COUNTIF(H16,"Eğitim Yardımı (Çocuk-Ortaöğretim)")*(0)
+COUNTIF(H16,"Eğitim Yardımı (Çocuk-Lise)")*(0)
+COUNTIF(H16,"Eğitim Yardımı (Çocuk-Yükseköğretim)")*(0)
+COUNTIF(H16,"Eğitim Yardımı (İşçi-Lise)")*(0)
+COUNTIF(H16,"Eğitim Yardımı (İşçi-Yükseköğretim)")*(0)
+COUNTIF(H16,"Evlilik Yardımı")*($AG$53+$AG$53*0.00759)
+COUNTIF(H16,"Gıda Yardımı")*(0)
+COUNTIF(H16,"İş Kazası veya Meslek Hastalığı Tazminatı")*($AG$55+$AG$55*0.00759)
+COUNTIF(I16,"Yok")*(0)
+COUNTIF(I16,"Askerlik Yardımı")*(0)
+COUNTIF(I16,"Cenaze Yardımı (Anne-Baba)")*($AG$42+$AG$42*0.00759)
+COUNTIF(I16,"Cenaze Yardımı (Eş-Çocuk)")*($AG$43+$AG$43*0.00759)
+COUNTIF(I16,"Cenaze Yardımı (İşçi-İş Kazası Sonucu)")*($AG$44+$AG$44*0.00759)
+COUNTIF(I16,"Cenaze Yardımı (İşçi-Tabii Sebepler Sonucu)")*($AG$45+$AG$45*0.00759)
+COUNTIF(I16,"Doğal Afet Yardımı")*($AG$46+$AG$46*0.00759)
+COUNTIF(I16,"Eğitim Yardımı (Çocuk-İlköğretim)")*(0)
+COUNTIF(I16,"Eğitim Yardımı (Çocuk-Ortaöğretim)")*(0)
+COUNTIF(I16,"Eğitim Yardımı (Çocuk-Lise)")*(0)
+COUNTIF(I16,"Eğitim Yardımı (Çocuk-Yükseköğretim)")*(0)
+COUNTIF(I16,"Eğitim Yardımı (İşçi-Lise)")*(0)
+COUNTIF(I16,"Eğitim Yardımı (İşçi-Yükseköğretim)")*(0)
+COUNTIF(I16,"Evlilik Yardımı")*($AG$53+$AG$53*0.00759)
+COUNTIF(I16,"Gıda Yardımı")*(0)
+COUNTIF(I16,"İş Kazası veya Meslek Hastalığı Tazminatı")*($AG$55+$AG$55*0.00759)</f>
        <v>0</v>
      </c>
      <c r="AX2" s="56">
        <f>COUNTIF(G16,"Yok")*(0)
+COUNTIF(G16,"Askerlik Yardımı")*($AG$41)
+COUNTIF(G16,"Cenaze Yardımı (Anne-Baba)")*($AG$42)
+COUNTIF(G16,"Cenaze Yardımı (Eş-Çocuk)")*($AG$43)
+COUNTIF(G16,"Cenaze Yardımı (İşçi-İş Kazası Sonucu)")*($AG$44)
+COUNTIF(G16,"Cenaze Yardımı (İşçi-Tabii Sebepler Sonucu)")*($AG$45)
+COUNTIF(G16,"Doğal Afet Yardımı")*($AG$46)
+COUNTIF(G16,"Eğitim Yardımı (Çocuk-İlköğretim)")*($AG$47)
+COUNTIF(G16,"Eğitim Yardımı (Çocuk-Ortaöğretim)")*($AG$48)
+COUNTIF(G16,"Eğitim Yardımı (Çocuk-Lise)")*($AG$49)
+COUNTIF(G16,"Eğitim Yardımı (Çocuk-Yükseköğretim)")*($AG$50)
+COUNTIF(G16,"Eğitim Yardımı (İşçi-Lise)")*($AG$51)
+COUNTIF(G16,"Eğitim Yardımı (İşçi-Yükseköğretim)")*($AG$52)
+COUNTIF(G16,"Evlilik Yardımı")*($AG$53)
+COUNTIF(G16,"Gıda Yardımı")*($AG$54)
+COUNTIF(G16,"İş Kazası veya Meslek Hastalığı Tazminatı")*($AG$55)
+COUNTIF(H16,"Yok")*(0)
+COUNTIF(H16,"Askerlik Yardımı")*($AG$41)
+COUNTIF(H16,"Cenaze Yardımı (Anne-Baba)")*($AG$42)
+COUNTIF(H16,"Cenaze Yardımı (Eş-Çocuk)")*($AG$43)
+COUNTIF(H16,"Cenaze Yardımı (İşçi-İş Kazası Sonucu)")*($AG$44)
+COUNTIF(H16,"Cenaze Yardımı (İşçi-Tabii Sebepler Sonucu)")*($AG$45)
+COUNTIF(H16,"Doğal Afet Yardımı")*($AG$46)
+COUNTIF(H16,"Eğitim Yardımı (Çocuk-İlköğretim)")*($AG$47)
+COUNTIF(H16,"Eğitim Yardımı (Çocuk-Ortaöğretim)")*($AG$48)
+COUNTIF(H16,"Eğitim Yardımı (Çocuk-Lise)")*($AG$49)
+COUNTIF(H16,"Eğitim Yardımı (Çocuk-Yükseköğretim)")*($AG$50)
+COUNTIF(H16,"Eğitim Yardımı (İşçi-Lise)")*($AG$51)
+COUNTIF(H16,"Eğitim Yardımı (İşçi-Yükseköğretim)")*($AG$52)
+COUNTIF(H16,"Evlilik Yardımı")*($AG$53)
+COUNTIF(H16,"Gıda Yardımı")*($AG$54)
+COUNTIF(H16,"İş Kazası veya Meslek Hastalığı Tazminatı")*($AG$55)
+COUNTIF(I16,"Yok")*(0)
+COUNTIF(I16,"Askerlik Yardımı")*($AG$41)
+COUNTIF(I16,"Cenaze Yardımı (Anne-Baba)")*($AG$42)
+COUNTIF(I16,"Cenaze Yardımı (Eş-Çocuk)")*($AG$43)
+COUNTIF(I16,"Cenaze Yardımı (İşçi-İş Kazası Sonucu)")*($AG$44)
+COUNTIF(I16,"Cenaze Yardımı (İşçi-Tabii Sebepler Sonucu)")*($AG$45)
+COUNTIF(I16,"Doğal Afet Yardımı")*($AG$46)
+COUNTIF(I16,"Eğitim Yardımı (Çocuk-İlköğretim)")*($AG$47)
+COUNTIF(I16,"Eğitim Yardımı (Çocuk-Ortaöğretim)")*($AG$48)
+COUNTIF(I16,"Eğitim Yardımı (Çocuk-Lise)")*($AG$49)
+COUNTIF(I16,"Eğitim Yardımı (Çocuk-Yükseköğretim)")*($AG$50)
+COUNTIF(I16,"Eğitim Yardımı (İşçi-Lise)")*($AG$51)
+COUNTIF(I16,"Eğitim Yardımı (İşçi-Yükseköğretim)")*($AG$52)
+COUNTIF(I16,"Evlilik Yardımı")*($AG$53)
+COUNTIF(I16,"Gıda Yardımı")*($AG$54)
+COUNTIF(I16,"İş Kazası veya Meslek Hastalığı Tazminatı")*($AG$55)</f>
        <v>0</v>
      </c>
      <c r="AY2" s="57" t="s">
        <v>9</v>
      </c>
      <c r="AZ2" s="55">
        <f ca="1">COUNTIF(AY2,"Var")*(AJ2*0.9*-1)</f>
        <v>-1668.7510714285711</v>
      </c>
      <c r="BA2" s="55">
        <f t="shared" ref="BA2:BA12" ca="1" si="1">(AZ2*-1)</f>
        <v>1668.7510714285711</v>
      </c>
      <c r="BD2" s="58">
        <v>0</v>
      </c>
      <c r="BE2" s="60">
        <v>0</v>
      </c>
      <c r="BF2" s="61">
        <v>0</v>
      </c>
    </row>
    <row r="3" spans="1:58" ht="39.950000000000003" customHeight="1" x14ac:dyDescent="0.25">
      <c r="A3" s="45"/>
      <c r="B3" s="14"/>
      <c r="C3" s="2"/>
      <c r="D3" s="2"/>
      <c r="E3" s="3"/>
      <c r="F3" s="2"/>
      <c r="G3" s="15"/>
      <c r="H3" s="16"/>
      <c r="I3" s="17"/>
      <c r="J3" s="2"/>
      <c r="K3" s="2"/>
      <c r="L3" s="2"/>
      <c r="M3" s="7"/>
      <c r="N3" s="50"/>
      <c r="O3" s="8"/>
      <c r="P3" s="51"/>
      <c r="Q3" s="18"/>
      <c r="R3" s="19"/>
      <c r="S3" s="20"/>
      <c r="T3" s="21"/>
      <c r="U3" s="52" t="s">
        <v>80</v>
      </c>
      <c r="V3" s="53">
        <f t="shared" si="0"/>
        <v>17446.030000000002</v>
      </c>
      <c r="W3" s="53">
        <f>COUNTIF(N1,"Ocak")*(AO1)
+COUNTIF(N1,"Şubat")*(AO2)
+COUNTIF(N1,"Mart")*(AO3)
+COUNTIF(N1,"Nisan")*(AO4)
+COUNTIF(N1,"Mayıs")*(AO5)
+COUNTIF(N1,"Haziran")*(AO6)
+COUNTIF(N1,"Temmuz")*(AO7)
+COUNTIF(N1,"Ağustos")*(AO8)
+COUNTIF(N1,"Eylül")*(AO9)
+COUNTIF(N1,"Ekim")*(AO10)
+COUNTIF(N1,"Kasım")*(AO11)
+COUNTIF(N1,"Aralık")*(AO12)
+COUNTIF(N1,"Yıllık Toplam")*(AO13)
+COUNTIF(N1,"Yıllık Ortalama")*(AO14)</f>
        <v>17446.030000000002</v>
      </c>
      <c r="X3" s="59"/>
      <c r="Y3" s="59"/>
      <c r="Z3" s="59"/>
      <c r="AA3" s="59"/>
      <c r="AB3" s="59"/>
      <c r="AC3" s="59"/>
      <c r="AD3" s="62">
        <f>(10%)</f>
        <v>0.1</v>
      </c>
      <c r="AE3" s="52" t="s">
        <v>0</v>
      </c>
      <c r="AF3" s="53">
        <f>($AF$9*$AD$3)</f>
        <v>2600.5500000000002</v>
      </c>
      <c r="AG3" s="53">
        <f>($AG$9*$AD$3)</f>
        <v>2600.5500000000002</v>
      </c>
      <c r="AH3" s="53">
        <f ca="1">(AI3/BB75)</f>
        <v>2139.2002863326138</v>
      </c>
      <c r="AI3" s="53">
        <f>COUNTIF($A$1,"Deniz Taksi / Kaptan")*($AE$1)
+COUNTIF($A$1,"Deniz Taksi / Gemici")*($AE$2)</f>
        <v>1451.03</v>
      </c>
      <c r="AJ3" s="53">
        <f ca="1">AM17/AJ17</f>
        <v>1972.1290322580646</v>
      </c>
      <c r="AK3" s="53">
        <f>COUNTIF($A$1,"Deniz Taksi / Kaptan")*($AE$1)
+COUNTIF($A$1,"Deniz Taksi / Gemici")*($AE$2)</f>
        <v>1451.03</v>
      </c>
      <c r="AL3" s="55">
        <f ca="1">(AM3/BB75)</f>
        <v>0</v>
      </c>
      <c r="AM3" s="55">
        <f>(60*C17)</f>
        <v>0</v>
      </c>
      <c r="AN3" s="55">
        <f ca="1">(AO3/BB75)</f>
        <v>22461.603006492442</v>
      </c>
      <c r="AO3" s="55">
        <f>(AI3/8*1.4*D17)</f>
        <v>15235.814999999999</v>
      </c>
      <c r="AP3" s="55">
        <f ca="1">(AQ3/BB75)</f>
        <v>0</v>
      </c>
      <c r="AQ3" s="55">
        <f>(AI3/8*2*E17)</f>
        <v>0</v>
      </c>
      <c r="AR3" s="55">
        <f ca="1">(AS3+AQ17*-1+AU17*-1+AP31*-1+AT31*-1)</f>
        <v>9878.58</v>
      </c>
      <c r="AS3" s="55">
        <f>(325*F17)</f>
        <v>8450</v>
      </c>
      <c r="AT3" s="55">
        <f ca="1">ROUND((AS3+AQ17*-1+AU17*-1+AP31*-1+AT31*-1),2)</f>
        <v>9878.58</v>
      </c>
      <c r="AU3" s="55">
        <f ca="1">IF($AF$15*F17&gt;=AT3,AT3,$AF$15*F17)</f>
        <v>6240</v>
      </c>
      <c r="AV3" s="56">
        <f ca="1">COUNTIF(G17,"Yok")*(0)
+COUNTIF(G17,"Askerlik Yardımı")*($AG$41/BB75)
+COUNTIF(G17,"Cenaze Yardımı (Anne-Baba)")*($AG$42+$AG$42*0.00759)
+COUNTIF(G17,"Cenaze Yardımı (Eş-Çocuk)")*($AG$43+$AG$43*0.00759)
+COUNTIF(G17,"Cenaze Yardımı (İşçi-İş Kazası Sonucu)")*($AG$44+$AG$44*0.00759)
+COUNTIF(G17,"Cenaze Yardımı (İşçi-Tabii Sebepler Sonucu)")*($AG$45+$AG$45*0.00759)
+COUNTIF(G17,"Doğal Afet Yardımı")*($AG$46+$AG$46*0.00759)
+COUNTIF(G17,"Eğitim Yardımı (Çocuk-İlköğretim)")*($AG$47/BB75)
+COUNTIF(G17,"Eğitim Yardımı (Çocuk-Ortaöğretim)")*($AG$48/BB75)
+COUNTIF(G17,"Eğitim Yardımı (Çocuk-Lise)")*($AG$49/BB75)
+COUNTIF(G17,"Eğitim Yardımı (Çocuk-Yükseköğretim)")*($AG$50/BB75)
+COUNTIF(G17,"Eğitim Yardımı (İşçi-Lise)")*($AG$51/BB75)
+COUNTIF(G17,"Eğitim Yardımı (İşçi-Yükseköğretim)")*($AG$52/BB75)
+COUNTIF(G17,"Evlilik Yardımı")*($AG$53+$AG$53*0.00759)
+COUNTIF(G17,"Gıda Yardımı")*($AG$54/BB75)
+COUNTIF(G17,"İş Kazası veya Meslek Hastalığı Tazminatı")*($AG$55+$AG$55*0.00759)
+COUNTIF(H17,"Yok")*(0)
+COUNTIF(H17,"Askerlik Yardımı")*($AG$41/BB75)
+COUNTIF(H17,"Cenaze Yardımı (Anne-Baba)")*($AG$42+$AG$42*0.00759)
+COUNTIF(H17,"Cenaze Yardımı (Eş-Çocuk)")*($AG$43+$AG$43*0.00759)
+COUNTIF(H17,"Cenaze Yardımı (İşçi-İş Kazası Sonucu)")*($AG$44+$AG$44*0.00759)
+COUNTIF(H17,"Cenaze Yardımı (İşçi-Tabii Sebepler Sonucu)")*($AG$45+$AG$45*0.00759)
+COUNTIF(H17,"Doğal Afet Yardımı")*($AG$46+$AG$46*0.00759)
+COUNTIF(H17,"Eğitim Yardımı (Çocuk-İlköğretim)")*($AG$47/BB75)
+COUNTIF(H17,"Eğitim Yardımı (Çocuk-Ortaöğretim)")*($AG$48/BB75)
+COUNTIF(H17,"Eğitim Yardımı (Çocuk-Lise)")*($AG$49/BB75)
+COUNTIF(H17,"Eğitim Yardımı (Çocuk-Yükseköğretim)")*($AG$50/BB75)
+COUNTIF(H17,"Eğitim Yardımı (İşçi-Lise)")*($AG$51/BB75)
+COUNTIF(H17,"Eğitim Yardımı (İşçi-Yükseköğretim)")*($AG$52/BB75)
+COUNTIF(H17,"Evlilik Yardımı")*($AG$53+$AG$53*0.00759)
+COUNTIF(H17,"Gıda Yardımı")*($AG$54/BB75)
+COUNTIF(H17,"İş Kazası veya Meslek Hastalığı Tazminatı")*($AG$55+$AG$55*0.00759)
+COUNTIF(I17,"Yok")*(0)
+COUNTIF(I17,"Askerlik Yardımı")*($AG$41/BB75)
+COUNTIF(I17,"Cenaze Yardımı (Anne-Baba)")*($AG$42+$AG$42*0.00759)
+COUNTIF(I17,"Cenaze Yardımı (Eş-Çocuk)")*($AG$43+$AG$43*0.00759)
+COUNTIF(I17,"Cenaze Yardımı (İşçi-İş Kazası Sonucu)")*($AG$44+$AG$44*0.00759)
+COUNTIF(I17,"Cenaze Yardımı (İşçi-Tabii Sebepler Sonucu)")*($AG$45+$AG$45*0.00759)
+COUNTIF(I17,"Doğal Afet Yardımı")*($AG$46+$AG$46*0.00759)
+COUNTIF(I17,"Eğitim Yardımı (Çocuk-İlköğretim)")*($AG$47/BB75)
+COUNTIF(I17,"Eğitim Yardımı (Çocuk-Ortaöğretim)")*($AG$48/BB75)
+COUNTIF(I17,"Eğitim Yardımı (Çocuk-Lise)")*($AG$49/BB75)
+COUNTIF(I17,"Eğitim Yardımı (Çocuk-Yükseköğretim)")*($AG$50/BB75)
+COUNTIF(I17,"Eğitim Yardımı (İşçi-Lise)")*($AG$51/BB75)
+COUNTIF(I17,"Eğitim Yardımı (İşçi-Yükseköğretim)")*($AG$52/BB75)
+COUNTIF(I17,"Evlilik Yardımı")*($AG$53+$AG$53*0.00759)
+COUNTIF(I17,"Gıda Yardımı")*($AG$54/BB75)
+COUNTIF(I17,"İş Kazası veya Meslek Hastalığı Tazminatı")*($AG$55+$AG$55*0.00759)</f>
        <v>0</v>
      </c>
      <c r="AW3" s="56">
        <f>COUNTIF(G17,"Yok")*(0)
+COUNTIF(G17,"Askerlik Yardımı")*(0)
+COUNTIF(G17,"Cenaze Yardımı (Anne-Baba)")*($AG$42+$AG$42*0.00759)
+COUNTIF(G17,"Cenaze Yardımı (Eş-Çocuk)")*($AG$43+$AG$43*0.00759)
+COUNTIF(G17,"Cenaze Yardımı (İşçi-İş Kazası Sonucu)")*($AG$44+$AG$44*0.00759)
+COUNTIF(G17,"Cenaze Yardımı (İşçi-Tabii Sebepler Sonucu)")*($AG$45+$AG$45*0.00759)
+COUNTIF(G17,"Doğal Afet Yardımı")*($AG$46+$AG$46*0.00759)
+COUNTIF(G17,"Eğitim Yardımı (Çocuk-İlköğretim)")*(0)
+COUNTIF(G17,"Eğitim Yardımı (Çocuk-Ortaöğretim)")*(0)
+COUNTIF(G17,"Eğitim Yardımı (Çocuk-Lise)")*(0)
+COUNTIF(G17,"Eğitim Yardımı (Çocuk-Yükseköğretim)")*(0)
+COUNTIF(G17,"Eğitim Yardımı (İşçi-Lise)")*(0)
+COUNTIF(G17,"Eğitim Yardımı (İşçi-Yükseköğretim)")*(0)
+COUNTIF(G17,"Evlilik Yardımı")*($AG$53+$AG$53*0.00759)
+COUNTIF(G17,"Gıda Yardımı")*(0)
+COUNTIF(G17,"İş Kazası veya Meslek Hastalığı Tazminatı")*($AG$55+$AG$55*0.00759)
+COUNTIF(H17,"Yok")*(0)
+COUNTIF(H17,"Askerlik Yardımı")*(0)
+COUNTIF(H17,"Cenaze Yardımı (Anne-Baba)")*($AG$42+$AG$42*0.00759)
+COUNTIF(H17,"Cenaze Yardımı (Eş-Çocuk)")*($AG$43+$AG$43*0.00759)
+COUNTIF(H17,"Cenaze Yardımı (İşçi-İş Kazası Sonucu)")*($AG$44+$AG$44*0.00759)
+COUNTIF(H17,"Cenaze Yardımı (İşçi-Tabii Sebepler Sonucu)")*($AG$45+$AG$45*0.00759)
+COUNTIF(H17,"Doğal Afet Yardımı")*($AG$46+$AG$46*0.00759)
+COUNTIF(H17,"Eğitim Yardımı (Çocuk-İlköğretim)")*(0)
+COUNTIF(H17,"Eğitim Yardımı (Çocuk-Ortaöğretim)")*(0)
+COUNTIF(H17,"Eğitim Yardımı (Çocuk-Lise)")*(0)
+COUNTIF(H17,"Eğitim Yardımı (Çocuk-Yükseköğretim)")*(0)
+COUNTIF(H17,"Eğitim Yardımı (İşçi-Lise)")*(0)
+COUNTIF(H17,"Eğitim Yardımı (İşçi-Yükseköğretim)")*(0)
+COUNTIF(H17,"Evlilik Yardımı")*($AG$53+$AG$53*0.00759)
+COUNTIF(H17,"Gıda Yardımı")*(0)
+COUNTIF(H17,"İş Kazası veya Meslek Hastalığı Tazminatı")*($AG$55+$AG$55*0.00759)
+COUNTIF(I17,"Yok")*(0)
+COUNTIF(I17,"Askerlik Yardımı")*(0)
+COUNTIF(I17,"Cenaze Yardımı (Anne-Baba)")*($AG$42+$AG$42*0.00759)
+COUNTIF(I17,"Cenaze Yardımı (Eş-Çocuk)")*($AG$43+$AG$43*0.00759)
+COUNTIF(I17,"Cenaze Yardımı (İşçi-İş Kazası Sonucu)")*($AG$44+$AG$44*0.00759)
+COUNTIF(I17,"Cenaze Yardımı (İşçi-Tabii Sebepler Sonucu)")*($AG$45+$AG$45*0.00759)
+COUNTIF(I17,"Doğal Afet Yardımı")*($AG$46+$AG$46*0.00759)
+COUNTIF(I17,"Eğitim Yardımı (Çocuk-İlköğretim)")*(0)
+COUNTIF(I17,"Eğitim Yardımı (Çocuk-Ortaöğretim)")*(0)
+COUNTIF(I17,"Eğitim Yardımı (Çocuk-Lise)")*(0)
+COUNTIF(I17,"Eğitim Yardımı (Çocuk-Yükseköğretim)")*(0)
+COUNTIF(I17,"Eğitim Yardımı (İşçi-Lise)")*(0)
+COUNTIF(I17,"Eğitim Yardımı (İşçi-Yükseköğretim)")*(0)
+COUNTIF(I17,"Evlilik Yardımı")*($AG$53+$AG$53*0.00759)
+COUNTIF(I17,"Gıda Yardımı")*(0)
+COUNTIF(I17,"İş Kazası veya Meslek Hastalığı Tazminatı")*($AG$55+$AG$55*0.00759)</f>
        <v>0</v>
      </c>
      <c r="AX3" s="56">
        <f>COUNTIF(G17,"Yok")*(0)
+COUNTIF(G17,"Askerlik Yardımı")*($AG$41)
+COUNTIF(G17,"Cenaze Yardımı (Anne-Baba)")*($AG$42)
+COUNTIF(G17,"Cenaze Yardımı (Eş-Çocuk)")*($AG$43)
+COUNTIF(G17,"Cenaze Yardımı (İşçi-İş Kazası Sonucu)")*($AG$44)
+COUNTIF(G17,"Cenaze Yardımı (İşçi-Tabii Sebepler Sonucu)")*($AG$45)
+COUNTIF(G17,"Doğal Afet Yardımı")*($AG$46)
+COUNTIF(G17,"Eğitim Yardımı (Çocuk-İlköğretim)")*($AG$47)
+COUNTIF(G17,"Eğitim Yardımı (Çocuk-Ortaöğretim)")*($AG$48)
+COUNTIF(G17,"Eğitim Yardımı (Çocuk-Lise)")*($AG$49)
+COUNTIF(G17,"Eğitim Yardımı (Çocuk-Yükseköğretim)")*($AG$50)
+COUNTIF(G17,"Eğitim Yardımı (İşçi-Lise)")*($AG$51)
+COUNTIF(G17,"Eğitim Yardımı (İşçi-Yükseköğretim)")*($AG$52)
+COUNTIF(G17,"Evlilik Yardımı")*($AG$53)
+COUNTIF(G17,"Gıda Yardımı")*($AG$54)
+COUNTIF(G17,"İş Kazası veya Meslek Hastalığı Tazminatı")*($AG$55)
+COUNTIF(H17,"Yok")*(0)
+COUNTIF(H17,"Askerlik Yardımı")*($AG$41)
+COUNTIF(H17,"Cenaze Yardımı (Anne-Baba)")*($AG$42)
+COUNTIF(H17,"Cenaze Yardımı (Eş-Çocuk)")*($AG$43)
+COUNTIF(H17,"Cenaze Yardımı (İşçi-İş Kazası Sonucu)")*($AG$44)
+COUNTIF(H17,"Cenaze Yardımı (İşçi-Tabii Sebepler Sonucu)")*($AG$45)
+COUNTIF(H17,"Doğal Afet Yardımı")*($AG$46)
+COUNTIF(H17,"Eğitim Yardımı (Çocuk-İlköğretim)")*($AG$47)
+COUNTIF(H17,"Eğitim Yardımı (Çocuk-Ortaöğretim)")*($AG$48)
+COUNTIF(H17,"Eğitim Yardımı (Çocuk-Lise)")*($AG$49)
+COUNTIF(H17,"Eğitim Yardımı (Çocuk-Yükseköğretim)")*($AG$50)
+COUNTIF(H17,"Eğitim Yardımı (İşçi-Lise)")*($AG$51)
+COUNTIF(H17,"Eğitim Yardımı (İşçi-Yükseköğretim)")*($AG$52)
+COUNTIF(H17,"Evlilik Yardımı")*($AG$53)
+COUNTIF(H17,"Gıda Yardımı")*($AG$54)
+COUNTIF(H17,"İş Kazası veya Meslek Hastalığı Tazminatı")*($AG$55)
+COUNTIF(I17,"Yok")*(0)
+COUNTIF(I17,"Askerlik Yardımı")*($AG$41)
+COUNTIF(I17,"Cenaze Yardımı (Anne-Baba)")*($AG$42)
+COUNTIF(I17,"Cenaze Yardımı (Eş-Çocuk)")*($AG$43)
+COUNTIF(I17,"Cenaze Yardımı (İşçi-İş Kazası Sonucu)")*($AG$44)
+COUNTIF(I17,"Cenaze Yardımı (İşçi-Tabii Sebepler Sonucu)")*($AG$45)
+COUNTIF(I17,"Doğal Afet Yardımı")*($AG$46)
+COUNTIF(I17,"Eğitim Yardımı (Çocuk-İlköğretim)")*($AG$47)
+COUNTIF(I17,"Eğitim Yardımı (Çocuk-Ortaöğretim)")*($AG$48)
+COUNTIF(I17,"Eğitim Yardımı (Çocuk-Lise)")*($AG$49)
+COUNTIF(I17,"Eğitim Yardımı (Çocuk-Yükseköğretim)")*($AG$50)
+COUNTIF(I17,"Eğitim Yardımı (İşçi-Lise)")*($AG$51)
+COUNTIF(I17,"Eğitim Yardımı (İşçi-Yükseköğretim)")*($AG$52)
+COUNTIF(I17,"Evlilik Yardımı")*($AG$53)
+COUNTIF(I17,"Gıda Yardımı")*($AG$54)
+COUNTIF(I17,"İş Kazası veya Meslek Hastalığı Tazminatı")*($AG$55)</f>
        <v>0</v>
      </c>
      <c r="AY3" s="57" t="s">
        <v>9</v>
      </c>
      <c r="AZ3" s="55">
        <f ca="1">COUNTIF(AY3,"Var")*(AJ3*0.9*-1)</f>
        <v>-1774.9161290322581</v>
      </c>
      <c r="BA3" s="55">
        <f t="shared" ca="1" si="1"/>
        <v>1774.9161290322581</v>
      </c>
      <c r="BD3" s="58">
        <v>1</v>
      </c>
      <c r="BE3" s="60">
        <v>0.5</v>
      </c>
      <c r="BF3" s="61">
        <v>0.03</v>
      </c>
    </row>
    <row r="4" spans="1:58" ht="39.950000000000003" customHeight="1" x14ac:dyDescent="0.25">
      <c r="A4" s="45"/>
      <c r="B4" s="14"/>
      <c r="C4" s="2"/>
      <c r="D4" s="2"/>
      <c r="E4" s="3"/>
      <c r="F4" s="2"/>
      <c r="G4" s="15"/>
      <c r="H4" s="16"/>
      <c r="I4" s="17"/>
      <c r="J4" s="2"/>
      <c r="K4" s="2"/>
      <c r="L4" s="2"/>
      <c r="M4" s="7"/>
      <c r="N4" s="50"/>
      <c r="O4" s="8"/>
      <c r="P4" s="51"/>
      <c r="Q4" s="18"/>
      <c r="R4" s="19"/>
      <c r="S4" s="20"/>
      <c r="T4" s="21"/>
      <c r="U4" s="52" t="s">
        <v>81</v>
      </c>
      <c r="V4" s="53">
        <f t="shared" si="0"/>
        <v>0</v>
      </c>
      <c r="W4" s="53">
        <f>COUNTIF(N1,"Ocak")*(AQ1)
+COUNTIF(N1,"Şubat")*(AQ2)
+COUNTIF(N1,"Mart")*(AQ3)
+COUNTIF(N1,"Nisan")*(AQ4)
+COUNTIF(N1,"Mayıs")*(AQ5)
+COUNTIF(N1,"Haziran")*(AQ6)
+COUNTIF(N1,"Temmuz")*(AQ7)
+COUNTIF(N1,"Ağustos")*(AQ8)
+COUNTIF(N1,"Eylül")*(AQ9)
+COUNTIF(N1,"Ekim")*(AQ10)
+COUNTIF(N1,"Kasım")*(AQ11)
+COUNTIF(N1,"Aralık")*(AQ12)
+COUNTIF(N1,"Yıllık Toplam")*(AQ13)
+COUNTIF(N1,"Yıllık Ortalama")*(AQ14)</f>
        <v>0</v>
      </c>
      <c r="X4" s="59"/>
      <c r="Y4" s="59"/>
      <c r="Z4" s="59"/>
      <c r="AA4" s="59"/>
      <c r="AB4" s="59"/>
      <c r="AC4" s="59"/>
      <c r="AD4" s="62">
        <f>(2%)</f>
        <v>0.02</v>
      </c>
      <c r="AE4" s="52" t="s">
        <v>0</v>
      </c>
      <c r="AF4" s="53">
        <f>($AF$9*$AD$4)</f>
        <v>520.11</v>
      </c>
      <c r="AG4" s="53">
        <f>($AG$9*$AD$4)</f>
        <v>520.11</v>
      </c>
      <c r="AH4" s="53">
        <f ca="1">(AI4/BB76)</f>
        <v>2213.7103653989429</v>
      </c>
      <c r="AI4" s="53">
        <f>COUNTIF($A$1,"Deniz Taksi / Kaptan")*($AE$1)
+COUNTIF($A$1,"Deniz Taksi / Gemici")*($AE$2)</f>
        <v>1451.03</v>
      </c>
      <c r="AJ4" s="53">
        <f ca="1">AM18/AJ18</f>
        <v>2035.057</v>
      </c>
      <c r="AK4" s="53">
        <f>COUNTIF($A$1,"Deniz Taksi / Kaptan")*($AE$1)
+COUNTIF($A$1,"Deniz Taksi / Gemici")*($AE$2)</f>
        <v>1451.03</v>
      </c>
      <c r="AL4" s="55">
        <f ca="1">(AM4/BB76)</f>
        <v>0</v>
      </c>
      <c r="AM4" s="55">
        <f>(60*C18)</f>
        <v>0</v>
      </c>
      <c r="AN4" s="55">
        <f ca="1">(AO4/BB76)</f>
        <v>23243.958836688897</v>
      </c>
      <c r="AO4" s="55">
        <f>(AI4/8*1.4*D18)</f>
        <v>15235.814999999999</v>
      </c>
      <c r="AP4" s="55">
        <f ca="1">(AQ4/BB76)</f>
        <v>0</v>
      </c>
      <c r="AQ4" s="55">
        <f>(AI4/8*2*E18)</f>
        <v>0</v>
      </c>
      <c r="AR4" s="55">
        <f ca="1">(AS4+AQ18*-1+AU18*-1+AP32*-1+AT32*-1)</f>
        <v>9992.2000000000007</v>
      </c>
      <c r="AS4" s="55">
        <f>(325*F18)</f>
        <v>8450</v>
      </c>
      <c r="AT4" s="55">
        <f ca="1">ROUND((AS4+AQ18*-1+AU18*-1+AP32*-1+AT32*-1),2)</f>
        <v>9992.2000000000007</v>
      </c>
      <c r="AU4" s="55">
        <f ca="1">IF($AF$15*F18&gt;=AT4,AT4,$AF$15*F18)</f>
        <v>6240</v>
      </c>
      <c r="AV4" s="56">
        <f ca="1">COUNTIF(G18,"Yok")*(0)
+COUNTIF(G18,"Askerlik Yardımı")*($AG$41/BB76)
+COUNTIF(G18,"Cenaze Yardımı (Anne-Baba)")*($AG$42+$AG$42*0.00759)
+COUNTIF(G18,"Cenaze Yardımı (Eş-Çocuk)")*($AG$43+$AG$43*0.00759)
+COUNTIF(G18,"Cenaze Yardımı (İşçi-İş Kazası Sonucu)")*($AG$44+$AG$44*0.00759)
+COUNTIF(G18,"Cenaze Yardımı (İşçi-Tabii Sebepler Sonucu)")*($AG$45+$AG$45*0.00759)
+COUNTIF(G18,"Doğal Afet Yardımı")*($AG$46+$AG$46*0.00759)
+COUNTIF(G18,"Eğitim Yardımı (Çocuk-İlköğretim)")*($AG$47/BB76)
+COUNTIF(G18,"Eğitim Yardımı (Çocuk-Ortaöğretim)")*($AG$48/BB76)
+COUNTIF(G18,"Eğitim Yardımı (Çocuk-Lise)")*($AG$49/BB76)
+COUNTIF(G18,"Eğitim Yardımı (Çocuk-Yükseköğretim)")*($AG$50/BB76)
+COUNTIF(G18,"Eğitim Yardımı (İşçi-Lise)")*($AG$51/BB76)
+COUNTIF(G18,"Eğitim Yardımı (İşçi-Yükseköğretim)")*($AG$52/BB76)
+COUNTIF(G18,"Evlilik Yardımı")*($AG$53+$AG$53*0.00759)
+COUNTIF(G18,"Gıda Yardımı")*($AG$54/BB76)
+COUNTIF(G18,"İş Kazası veya Meslek Hastalığı Tazminatı")*($AG$55+$AG$55*0.00759)
+COUNTIF(H18,"Yok")*(0)
+COUNTIF(H18,"Askerlik Yardımı")*($AG$41/BB76)
+COUNTIF(H18,"Cenaze Yardımı (Anne-Baba)")*($AG$42+$AG$42*0.00759)
+COUNTIF(H18,"Cenaze Yardımı (Eş-Çocuk)")*($AG$43+$AG$43*0.00759)
+COUNTIF(H18,"Cenaze Yardımı (İşçi-İş Kazası Sonucu)")*($AG$44+$AG$44*0.00759)
+COUNTIF(H18,"Cenaze Yardımı (İşçi-Tabii Sebepler Sonucu)")*($AG$45+$AG$45*0.00759)
+COUNTIF(H18,"Doğal Afet Yardımı")*($AG$46+$AG$46*0.00759)
+COUNTIF(H18,"Eğitim Yardımı (Çocuk-İlköğretim)")*($AG$47/BB76)
+COUNTIF(H18,"Eğitim Yardımı (Çocuk-Ortaöğretim)")*($AG$48/BB76)
+COUNTIF(H18,"Eğitim Yardımı (Çocuk-Lise)")*($AG$49/BB76)
+COUNTIF(H18,"Eğitim Yardımı (Çocuk-Yükseköğretim)")*($AG$50/BB76)
+COUNTIF(H18,"Eğitim Yardımı (İşçi-Lise)")*($AG$51/BB76)
+COUNTIF(H18,"Eğitim Yardımı (İşçi-Yükseköğretim)")*($AG$52/BB76)
+COUNTIF(H18,"Evlilik Yardımı")*($AG$53+$AG$53*0.00759)
+COUNTIF(H18,"Gıda Yardımı")*($AG$54/BB76)
+COUNTIF(H18,"İş Kazası veya Meslek Hastalığı Tazminatı")*($AG$55+$AG$55*0.00759)
+COUNTIF(I18,"Yok")*(0)
+COUNTIF(I18,"Askerlik Yardımı")*($AG$41/BB76)
+COUNTIF(I18,"Cenaze Yardımı (Anne-Baba)")*($AG$42+$AG$42*0.00759)
+COUNTIF(I18,"Cenaze Yardımı (Eş-Çocuk)")*($AG$43+$AG$43*0.00759)
+COUNTIF(I18,"Cenaze Yardımı (İşçi-İş Kazası Sonucu)")*($AG$44+$AG$44*0.00759)
+COUNTIF(I18,"Cenaze Yardımı (İşçi-Tabii Sebepler Sonucu)")*($AG$45+$AG$45*0.00759)
+COUNTIF(I18,"Doğal Afet Yardımı")*($AG$46+$AG$46*0.00759)
+COUNTIF(I18,"Eğitim Yardımı (Çocuk-İlköğretim)")*($AG$47/BB76)
+COUNTIF(I18,"Eğitim Yardımı (Çocuk-Ortaöğretim)")*($AG$48/BB76)
+COUNTIF(I18,"Eğitim Yardımı (Çocuk-Lise)")*($AG$49/BB76)
+COUNTIF(I18,"Eğitim Yardımı (Çocuk-Yükseköğretim)")*($AG$50/BB76)
+COUNTIF(I18,"Eğitim Yardımı (İşçi-Lise)")*($AG$51/BB76)
+COUNTIF(I18,"Eğitim Yardımı (İşçi-Yükseköğretim)")*($AG$52/BB76)
+COUNTIF(I18,"Evlilik Yardımı")*($AG$53+$AG$53*0.00759)
+COUNTIF(I18,"Gıda Yardımı")*($AG$54/BB76)
+COUNTIF(I18,"İş Kazası veya Meslek Hastalığı Tazminatı")*($AG$55+$AG$55*0.00759)</f>
        <v>0</v>
      </c>
      <c r="AW4" s="56">
        <f>COUNTIF(G18,"Yok")*(0)
+COUNTIF(G18,"Askerlik Yardımı")*(0)
+COUNTIF(G18,"Cenaze Yardımı (Anne-Baba)")*($AG$42+$AG$42*0.00759)
+COUNTIF(G18,"Cenaze Yardımı (Eş-Çocuk)")*($AG$43+$AG$43*0.00759)
+COUNTIF(G18,"Cenaze Yardımı (İşçi-İş Kazası Sonucu)")*($AG$44+$AG$44*0.00759)
+COUNTIF(G18,"Cenaze Yardımı (İşçi-Tabii Sebepler Sonucu)")*($AG$45+$AG$45*0.00759)
+COUNTIF(G18,"Doğal Afet Yardımı")*($AG$46+$AG$46*0.00759)
+COUNTIF(G18,"Eğitim Yardımı (Çocuk-İlköğretim)")*(0)
+COUNTIF(G18,"Eğitim Yardımı (Çocuk-Ortaöğretim)")*(0)
+COUNTIF(G18,"Eğitim Yardımı (Çocuk-Lise)")*(0)
+COUNTIF(G18,"Eğitim Yardımı (Çocuk-Yükseköğretim)")*(0)
+COUNTIF(G18,"Eğitim Yardımı (İşçi-Lise)")*(0)
+COUNTIF(G18,"Eğitim Yardımı (İşçi-Yükseköğretim)")*(0)
+COUNTIF(G18,"Evlilik Yardımı")*($AG$53+$AG$53*0.00759)
+COUNTIF(G18,"Gıda Yardımı")*(0)
+COUNTIF(G18,"İş Kazası veya Meslek Hastalığı Tazminatı")*($AG$55+$AG$55*0.00759)
+COUNTIF(H18,"Yok")*(0)
+COUNTIF(H18,"Askerlik Yardımı")*(0)
+COUNTIF(H18,"Cenaze Yardımı (Anne-Baba)")*($AG$42+$AG$42*0.00759)
+COUNTIF(H18,"Cenaze Yardımı (Eş-Çocuk)")*($AG$43+$AG$43*0.00759)
+COUNTIF(H18,"Cenaze Yardımı (İşçi-İş Kazası Sonucu)")*($AG$44+$AG$44*0.00759)
+COUNTIF(H18,"Cenaze Yardımı (İşçi-Tabii Sebepler Sonucu)")*($AG$45+$AG$45*0.00759)
+COUNTIF(H18,"Doğal Afet Yardımı")*($AG$46+$AG$46*0.00759)
+COUNTIF(H18,"Eğitim Yardımı (Çocuk-İlköğretim)")*(0)
+COUNTIF(H18,"Eğitim Yardımı (Çocuk-Ortaöğretim)")*(0)
+COUNTIF(H18,"Eğitim Yardımı (Çocuk-Lise)")*(0)
+COUNTIF(H18,"Eğitim Yardımı (Çocuk-Yükseköğretim)")*(0)
+COUNTIF(H18,"Eğitim Yardımı (İşçi-Lise)")*(0)
+COUNTIF(H18,"Eğitim Yardımı (İşçi-Yükseköğretim)")*(0)
+COUNTIF(H18,"Evlilik Yardımı")*($AG$53+$AG$53*0.00759)
+COUNTIF(H18,"Gıda Yardımı")*(0)
+COUNTIF(H18,"İş Kazası veya Meslek Hastalığı Tazminatı")*($AG$55+$AG$55*0.00759)
+COUNTIF(I18,"Yok")*(0)
+COUNTIF(I18,"Askerlik Yardımı")*(0)
+COUNTIF(I18,"Cenaze Yardımı (Anne-Baba)")*($AG$42+$AG$42*0.00759)
+COUNTIF(I18,"Cenaze Yardımı (Eş-Çocuk)")*($AG$43+$AG$43*0.00759)
+COUNTIF(I18,"Cenaze Yardımı (İşçi-İş Kazası Sonucu)")*($AG$44+$AG$44*0.00759)
+COUNTIF(I18,"Cenaze Yardımı (İşçi-Tabii Sebepler Sonucu)")*($AG$45+$AG$45*0.00759)
+COUNTIF(I18,"Doğal Afet Yardımı")*($AG$46+$AG$46*0.00759)
+COUNTIF(I18,"Eğitim Yardımı (Çocuk-İlköğretim)")*(0)
+COUNTIF(I18,"Eğitim Yardımı (Çocuk-Ortaöğretim)")*(0)
+COUNTIF(I18,"Eğitim Yardımı (Çocuk-Lise)")*(0)
+COUNTIF(I18,"Eğitim Yardımı (Çocuk-Yükseköğretim)")*(0)
+COUNTIF(I18,"Eğitim Yardımı (İşçi-Lise)")*(0)
+COUNTIF(I18,"Eğitim Yardımı (İşçi-Yükseköğretim)")*(0)
+COUNTIF(I18,"Evlilik Yardımı")*($AG$53+$AG$53*0.00759)
+COUNTIF(I18,"Gıda Yardımı")*(0)
+COUNTIF(I18,"İş Kazası veya Meslek Hastalığı Tazminatı")*($AG$55+$AG$55*0.00759)</f>
        <v>0</v>
      </c>
      <c r="AX4" s="56">
        <f>COUNTIF(G18,"Yok")*(0)
+COUNTIF(G18,"Askerlik Yardımı")*($AG$41)
+COUNTIF(G18,"Cenaze Yardımı (Anne-Baba)")*($AG$42)
+COUNTIF(G18,"Cenaze Yardımı (Eş-Çocuk)")*($AG$43)
+COUNTIF(G18,"Cenaze Yardımı (İşçi-İş Kazası Sonucu)")*($AG$44)
+COUNTIF(G18,"Cenaze Yardımı (İşçi-Tabii Sebepler Sonucu)")*($AG$45)
+COUNTIF(G18,"Doğal Afet Yardımı")*($AG$46)
+COUNTIF(G18,"Eğitim Yardımı (Çocuk-İlköğretim)")*($AG$47)
+COUNTIF(G18,"Eğitim Yardımı (Çocuk-Ortaöğretim)")*($AG$48)
+COUNTIF(G18,"Eğitim Yardımı (Çocuk-Lise)")*($AG$49)
+COUNTIF(G18,"Eğitim Yardımı (Çocuk-Yükseköğretim)")*($AG$50)
+COUNTIF(G18,"Eğitim Yardımı (İşçi-Lise)")*($AG$51)
+COUNTIF(G18,"Eğitim Yardımı (İşçi-Yükseköğretim)")*($AG$52)
+COUNTIF(G18,"Evlilik Yardımı")*($AG$53)
+COUNTIF(G18,"Gıda Yardımı")*($AG$54)
+COUNTIF(G18,"İş Kazası veya Meslek Hastalığı Tazminatı")*($AG$55)
+COUNTIF(H18,"Yok")*(0)
+COUNTIF(H18,"Askerlik Yardımı")*($AG$41)
+COUNTIF(H18,"Cenaze Yardımı (Anne-Baba)")*($AG$42)
+COUNTIF(H18,"Cenaze Yardımı (Eş-Çocuk)")*($AG$43)
+COUNTIF(H18,"Cenaze Yardımı (İşçi-İş Kazası Sonucu)")*($AG$44)
+COUNTIF(H18,"Cenaze Yardımı (İşçi-Tabii Sebepler Sonucu)")*($AG$45)
+COUNTIF(H18,"Doğal Afet Yardımı")*($AG$46)
+COUNTIF(H18,"Eğitim Yardımı (Çocuk-İlköğretim)")*($AG$47)
+COUNTIF(H18,"Eğitim Yardımı (Çocuk-Ortaöğretim)")*($AG$48)
+COUNTIF(H18,"Eğitim Yardımı (Çocuk-Lise)")*($AG$49)
+COUNTIF(H18,"Eğitim Yardımı (Çocuk-Yükseköğretim)")*($AG$50)
+COUNTIF(H18,"Eğitim Yardımı (İşçi-Lise)")*($AG$51)
+COUNTIF(H18,"Eğitim Yardımı (İşçi-Yükseköğretim)")*($AG$52)
+COUNTIF(H18,"Evlilik Yardımı")*($AG$53)
+COUNTIF(H18,"Gıda Yardımı")*($AG$54)
+COUNTIF(H18,"İş Kazası veya Meslek Hastalığı Tazminatı")*($AG$55)
+COUNTIF(I18,"Yok")*(0)
+COUNTIF(I18,"Askerlik Yardımı")*($AG$41)
+COUNTIF(I18,"Cenaze Yardımı (Anne-Baba)")*($AG$42)
+COUNTIF(I18,"Cenaze Yardımı (Eş-Çocuk)")*($AG$43)
+COUNTIF(I18,"Cenaze Yardımı (İşçi-İş Kazası Sonucu)")*($AG$44)
+COUNTIF(I18,"Cenaze Yardımı (İşçi-Tabii Sebepler Sonucu)")*($AG$45)
+COUNTIF(I18,"Doğal Afet Yardımı")*($AG$46)
+COUNTIF(I18,"Eğitim Yardımı (Çocuk-İlköğretim)")*($AG$47)
+COUNTIF(I18,"Eğitim Yardımı (Çocuk-Ortaöğretim)")*($AG$48)
+COUNTIF(I18,"Eğitim Yardımı (Çocuk-Lise)")*($AG$49)
+COUNTIF(I18,"Eğitim Yardımı (Çocuk-Yükseköğretim)")*($AG$50)
+COUNTIF(I18,"Eğitim Yardımı (İşçi-Lise)")*($AG$51)
+COUNTIF(I18,"Eğitim Yardımı (İşçi-Yükseköğretim)")*($AG$52)
+COUNTIF(I18,"Evlilik Yardımı")*($AG$53)
+COUNTIF(I18,"Gıda Yardımı")*($AG$54)
+COUNTIF(I18,"İş Kazası veya Meslek Hastalığı Tazminatı")*($AG$55)</f>
        <v>0</v>
      </c>
      <c r="AY4" s="57" t="s">
        <v>9</v>
      </c>
      <c r="AZ4" s="55">
        <f ca="1">COUNTIF(AY4,"Var")*(AJ4*0.9*-1)</f>
        <v>-1831.5513000000001</v>
      </c>
      <c r="BA4" s="55">
        <f t="shared" ca="1" si="1"/>
        <v>1831.5513000000001</v>
      </c>
      <c r="BD4" s="58">
        <v>2</v>
      </c>
      <c r="BE4" s="60">
        <v>1</v>
      </c>
      <c r="BF4" s="61">
        <v>0.04</v>
      </c>
    </row>
    <row r="5" spans="1:58" ht="39.950000000000003" customHeight="1" x14ac:dyDescent="0.25">
      <c r="A5" s="45"/>
      <c r="B5" s="14"/>
      <c r="C5" s="2"/>
      <c r="D5" s="2"/>
      <c r="E5" s="3"/>
      <c r="F5" s="2"/>
      <c r="G5" s="15"/>
      <c r="H5" s="16"/>
      <c r="I5" s="17"/>
      <c r="J5" s="2"/>
      <c r="K5" s="2"/>
      <c r="L5" s="2"/>
      <c r="M5" s="7"/>
      <c r="N5" s="50"/>
      <c r="O5" s="8"/>
      <c r="P5" s="51"/>
      <c r="Q5" s="18"/>
      <c r="R5" s="19"/>
      <c r="S5" s="20"/>
      <c r="T5" s="21"/>
      <c r="U5" s="52" t="s">
        <v>6</v>
      </c>
      <c r="V5" s="53">
        <f t="shared" ref="V5:V8" si="2">IF(W5&gt;0,W5,W5*-1)</f>
        <v>8038.333333333333</v>
      </c>
      <c r="W5" s="53">
        <f>COUNTIF(N1,"Ocak")*(AS1)
+COUNTIF(N1,"Şubat")*(AS2)
+COUNTIF(N1,"Mart")*(AS3)
+COUNTIF(N1,"Nisan")*(AS4)
+COUNTIF(N1,"Mayıs")*(AS5)
+COUNTIF(N1,"Haziran")*(AS6)
+COUNTIF(N1,"Temmuz")*(AS7)
+COUNTIF(N1,"Ağustos")*(AS8)
+COUNTIF(N1,"Eylül")*(AS9)
+COUNTIF(N1,"Ekim")*(AS10)
+COUNTIF(N1,"Kasım")*(AS11)
+COUNTIF(N1,"Aralık")*(AS12)
+COUNTIF(N1,"Yıllık Toplam")*(AS13)
+COUNTIF(N1,"Yıllık Ortalama")*(AS14)</f>
        <v>8038.333333333333</v>
      </c>
      <c r="X5" s="59"/>
      <c r="Y5" s="59"/>
      <c r="Z5" s="59"/>
      <c r="AA5" s="59"/>
      <c r="AB5" s="59"/>
      <c r="AC5" s="59"/>
      <c r="AD5" s="62">
        <f>(1%)</f>
        <v>0.01</v>
      </c>
      <c r="AE5" s="52" t="s">
        <v>0</v>
      </c>
      <c r="AF5" s="53">
        <f>($AF$9*$AD$5)</f>
        <v>260.05500000000001</v>
      </c>
      <c r="AG5" s="53">
        <f>($AG$9*$AD$5)</f>
        <v>260.05500000000001</v>
      </c>
      <c r="AH5" s="53">
        <f ca="1">(AI5/BB77)</f>
        <v>2367.4438335155246</v>
      </c>
      <c r="AI5" s="53">
        <f>COUNTIF($A$1,"Deniz Taksi / Kaptan")*($AE$1)
+COUNTIF($A$1,"Deniz Taksi / Gemici")*($AE$2)</f>
        <v>1451.03</v>
      </c>
      <c r="AJ5" s="53">
        <f ca="1">AM19/AJ19</f>
        <v>2182.5467741935481</v>
      </c>
      <c r="AK5" s="53">
        <f>COUNTIF($A$1,"Deniz Taksi / Kaptan")*($AE$1)
+COUNTIF($A$1,"Deniz Taksi / Gemici")*($AE$2)</f>
        <v>1451.03</v>
      </c>
      <c r="AL5" s="55">
        <f ca="1">(AM5/BB77)</f>
        <v>0</v>
      </c>
      <c r="AM5" s="55">
        <f>(60*C19)</f>
        <v>0</v>
      </c>
      <c r="AN5" s="55">
        <f ca="1">(AO5/BB77)</f>
        <v>24858.160251913007</v>
      </c>
      <c r="AO5" s="55">
        <f>(AI5/8*1.4*D19)</f>
        <v>15235.814999999999</v>
      </c>
      <c r="AP5" s="55">
        <f ca="1">(AQ5/BB77)</f>
        <v>0</v>
      </c>
      <c r="AQ5" s="55">
        <f>(AI5/8*2*E19)</f>
        <v>0</v>
      </c>
      <c r="AR5" s="55">
        <f ca="1">(AS5+AQ19*-1+AU19*-1+AP33*-1+AT33*-1)</f>
        <v>10226.650000000001</v>
      </c>
      <c r="AS5" s="55">
        <f>(325*F19)</f>
        <v>8450</v>
      </c>
      <c r="AT5" s="55">
        <f ca="1">ROUND((AS5+AQ19*-1+AU19*-1+AP33*-1+AT33*-1),2)</f>
        <v>10226.65</v>
      </c>
      <c r="AU5" s="55">
        <f ca="1">IF($AF$15*F19&gt;=AT5,AT5,$AF$15*F19)</f>
        <v>6240</v>
      </c>
      <c r="AV5" s="56">
        <f ca="1">COUNTIF(G19,"Yok")*(0)
+COUNTIF(G19,"Askerlik Yardımı")*($AG$41/BB77)
+COUNTIF(G19,"Cenaze Yardımı (Anne-Baba)")*($AG$42+$AG$42*0.00759)
+COUNTIF(G19,"Cenaze Yardımı (Eş-Çocuk)")*($AG$43+$AG$43*0.00759)
+COUNTIF(G19,"Cenaze Yardımı (İşçi-İş Kazası Sonucu)")*($AG$44+$AG$44*0.00759)
+COUNTIF(G19,"Cenaze Yardımı (İşçi-Tabii Sebepler Sonucu)")*($AG$45+$AG$45*0.00759)
+COUNTIF(G19,"Doğal Afet Yardımı")*($AG$46+$AG$46*0.00759)
+COUNTIF(G19,"Eğitim Yardımı (Çocuk-İlköğretim)")*($AG$47/BB77)
+COUNTIF(G19,"Eğitim Yardımı (Çocuk-Ortaöğretim)")*($AG$48/BB77)
+COUNTIF(G19,"Eğitim Yardımı (Çocuk-Lise)")*($AG$49/BB77)
+COUNTIF(G19,"Eğitim Yardımı (Çocuk-Yükseköğretim)")*($AG$50/BB77)
+COUNTIF(G19,"Eğitim Yardımı (İşçi-Lise)")*($AG$51/BB77)
+COUNTIF(G19,"Eğitim Yardımı (İşçi-Yükseköğretim)")*($AG$52/BB77)
+COUNTIF(G19,"Evlilik Yardımı")*($AG$53+$AG$53*0.00759)
+COUNTIF(G19,"Gıda Yardımı")*($AG$54/BB77)
+COUNTIF(G19,"İş Kazası veya Meslek Hastalığı Tazminatı")*($AG$55+$AG$55*0.00759)
+COUNTIF(H19,"Yok")*(0)
+COUNTIF(H19,"Askerlik Yardımı")*($AG$41/BB77)
+COUNTIF(H19,"Cenaze Yardımı (Anne-Baba)")*($AG$42+$AG$42*0.00759)
+COUNTIF(H19,"Cenaze Yardımı (Eş-Çocuk)")*($AG$43+$AG$43*0.00759)
+COUNTIF(H19,"Cenaze Yardımı (İşçi-İş Kazası Sonucu)")*($AG$44+$AG$44*0.00759)
+COUNTIF(H19,"Cenaze Yardımı (İşçi-Tabii Sebepler Sonucu)")*($AG$45+$AG$45*0.00759)
+COUNTIF(H19,"Doğal Afet Yardımı")*($AG$46+$AG$46*0.00759)
+COUNTIF(H19,"Eğitim Yardımı (Çocuk-İlköğretim)")*($AG$47/BB77)
+COUNTIF(H19,"Eğitim Yardımı (Çocuk-Ortaöğretim)")*($AG$48/BB77)
+COUNTIF(H19,"Eğitim Yardımı (Çocuk-Lise)")*($AG$49/BB77)
+COUNTIF(H19,"Eğitim Yardımı (Çocuk-Yükseköğretim)")*($AG$50/BB77)
+COUNTIF(H19,"Eğitim Yardımı (İşçi-Lise)")*($AG$51/BB77)
+COUNTIF(H19,"Eğitim Yardımı (İşçi-Yükseköğretim)")*($AG$52/BB77)
+COUNTIF(H19,"Evlilik Yardımı")*($AG$53+$AG$53*0.00759)
+COUNTIF(H19,"Gıda Yardımı")*($AG$54/BB77)
+COUNTIF(H19,"İş Kazası veya Meslek Hastalığı Tazminatı")*($AG$55+$AG$55*0.00759)
+COUNTIF(I19,"Yok")*(0)
+COUNTIF(I19,"Askerlik Yardımı")*($AG$41/BB77)
+COUNTIF(I19,"Cenaze Yardımı (Anne-Baba)")*($AG$42+$AG$42*0.00759)
+COUNTIF(I19,"Cenaze Yardımı (Eş-Çocuk)")*($AG$43+$AG$43*0.00759)
+COUNTIF(I19,"Cenaze Yardımı (İşçi-İş Kazası Sonucu)")*($AG$44+$AG$44*0.00759)
+COUNTIF(I19,"Cenaze Yardımı (İşçi-Tabii Sebepler Sonucu)")*($AG$45+$AG$45*0.00759)
+COUNTIF(I19,"Doğal Afet Yardımı")*($AG$46+$AG$46*0.00759)
+COUNTIF(I19,"Eğitim Yardımı (Çocuk-İlköğretim)")*($AG$47/BB77)
+COUNTIF(I19,"Eğitim Yardımı (Çocuk-Ortaöğretim)")*($AG$48/BB77)
+COUNTIF(I19,"Eğitim Yardımı (Çocuk-Lise)")*($AG$49/BB77)
+COUNTIF(I19,"Eğitim Yardımı (Çocuk-Yükseköğretim)")*($AG$50/BB77)
+COUNTIF(I19,"Eğitim Yardımı (İşçi-Lise)")*($AG$51/BB77)
+COUNTIF(I19,"Eğitim Yardımı (İşçi-Yükseköğretim)")*($AG$52/BB77)
+COUNTIF(I19,"Evlilik Yardımı")*($AG$53+$AG$53*0.00759)
+COUNTIF(I19,"Gıda Yardımı")*($AG$54/BB77)
+COUNTIF(I19,"İş Kazası veya Meslek Hastalığı Tazminatı")*($AG$55+$AG$55*0.00759)</f>
        <v>0</v>
      </c>
      <c r="AW5" s="56">
        <f>COUNTIF(G19,"Yok")*(0)
+COUNTIF(G19,"Askerlik Yardımı")*(0)
+COUNTIF(G19,"Cenaze Yardımı (Anne-Baba)")*($AG$42+$AG$42*0.00759)
+COUNTIF(G19,"Cenaze Yardımı (Eş-Çocuk)")*($AG$43+$AG$43*0.00759)
+COUNTIF(G19,"Cenaze Yardımı (İşçi-İş Kazası Sonucu)")*($AG$44+$AG$44*0.00759)
+COUNTIF(G19,"Cenaze Yardımı (İşçi-Tabii Sebepler Sonucu)")*($AG$45+$AG$45*0.00759)
+COUNTIF(G19,"Doğal Afet Yardımı")*($AG$46+$AG$46*0.00759)
+COUNTIF(G19,"Eğitim Yardımı (Çocuk-İlköğretim)")*(0)
+COUNTIF(G19,"Eğitim Yardımı (Çocuk-Ortaöğretim)")*(0)
+COUNTIF(G19,"Eğitim Yardımı (Çocuk-Lise)")*(0)
+COUNTIF(G19,"Eğitim Yardımı (Çocuk-Yükseköğretim)")*(0)
+COUNTIF(G19,"Eğitim Yardımı (İşçi-Lise)")*(0)
+COUNTIF(G19,"Eğitim Yardımı (İşçi-Yükseköğretim)")*(0)
+COUNTIF(G19,"Evlilik Yardımı")*($AG$53+$AG$53*0.00759)
+COUNTIF(G19,"Gıda Yardımı")*(0)
+COUNTIF(G19,"İş Kazası veya Meslek Hastalığı Tazminatı")*($AG$55+$AG$55*0.00759)
+COUNTIF(H19,"Yok")*(0)
+COUNTIF(H19,"Askerlik Yardımı")*(0)
+COUNTIF(H19,"Cenaze Yardımı (Anne-Baba)")*($AG$42+$AG$42*0.00759)
+COUNTIF(H19,"Cenaze Yardımı (Eş-Çocuk)")*($AG$43+$AG$43*0.00759)
+COUNTIF(H19,"Cenaze Yardımı (İşçi-İş Kazası Sonucu)")*($AG$44+$AG$44*0.00759)
+COUNTIF(H19,"Cenaze Yardımı (İşçi-Tabii Sebepler Sonucu)")*($AG$45+$AG$45*0.00759)
+COUNTIF(H19,"Doğal Afet Yardımı")*($AG$46+$AG$46*0.00759)
+COUNTIF(H19,"Eğitim Yardımı (Çocuk-İlköğretim)")*(0)
+COUNTIF(H19,"Eğitim Yardımı (Çocuk-Ortaöğretim)")*(0)
+COUNTIF(H19,"Eğitim Yardımı (Çocuk-Lise)")*(0)
+COUNTIF(H19,"Eğitim Yardımı (Çocuk-Yükseköğretim)")*(0)
+COUNTIF(H19,"Eğitim Yardımı (İşçi-Lise)")*(0)
+COUNTIF(H19,"Eğitim Yardımı (İşçi-Yükseköğretim)")*(0)
+COUNTIF(H19,"Evlilik Yardımı")*($AG$53+$AG$53*0.00759)
+COUNTIF(H19,"Gıda Yardımı")*(0)
+COUNTIF(H19,"İş Kazası veya Meslek Hastalığı Tazminatı")*($AG$55+$AG$55*0.00759)
+COUNTIF(I19,"Yok")*(0)
+COUNTIF(I19,"Askerlik Yardımı")*(0)
+COUNTIF(I19,"Cenaze Yardımı (Anne-Baba)")*($AG$42+$AG$42*0.00759)
+COUNTIF(I19,"Cenaze Yardımı (Eş-Çocuk)")*($AG$43+$AG$43*0.00759)
+COUNTIF(I19,"Cenaze Yardımı (İşçi-İş Kazası Sonucu)")*($AG$44+$AG$44*0.00759)
+COUNTIF(I19,"Cenaze Yardımı (İşçi-Tabii Sebepler Sonucu)")*($AG$45+$AG$45*0.00759)
+COUNTIF(I19,"Doğal Afet Yardımı")*($AG$46+$AG$46*0.00759)
+COUNTIF(I19,"Eğitim Yardımı (Çocuk-İlköğretim)")*(0)
+COUNTIF(I19,"Eğitim Yardımı (Çocuk-Ortaöğretim)")*(0)
+COUNTIF(I19,"Eğitim Yardımı (Çocuk-Lise)")*(0)
+COUNTIF(I19,"Eğitim Yardımı (Çocuk-Yükseköğretim)")*(0)
+COUNTIF(I19,"Eğitim Yardımı (İşçi-Lise)")*(0)
+COUNTIF(I19,"Eğitim Yardımı (İşçi-Yükseköğretim)")*(0)
+COUNTIF(I19,"Evlilik Yardımı")*($AG$53+$AG$53*0.00759)
+COUNTIF(I19,"Gıda Yardımı")*(0)
+COUNTIF(I19,"İş Kazası veya Meslek Hastalığı Tazminatı")*($AG$55+$AG$55*0.00759)</f>
        <v>0</v>
      </c>
      <c r="AX5" s="56">
        <f>COUNTIF(G19,"Yok")*(0)
+COUNTIF(G19,"Askerlik Yardımı")*($AG$41)
+COUNTIF(G19,"Cenaze Yardımı (Anne-Baba)")*($AG$42)
+COUNTIF(G19,"Cenaze Yardımı (Eş-Çocuk)")*($AG$43)
+COUNTIF(G19,"Cenaze Yardımı (İşçi-İş Kazası Sonucu)")*($AG$44)
+COUNTIF(G19,"Cenaze Yardımı (İşçi-Tabii Sebepler Sonucu)")*($AG$45)
+COUNTIF(G19,"Doğal Afet Yardımı")*($AG$46)
+COUNTIF(G19,"Eğitim Yardımı (Çocuk-İlköğretim)")*($AG$47)
+COUNTIF(G19,"Eğitim Yardımı (Çocuk-Ortaöğretim)")*($AG$48)
+COUNTIF(G19,"Eğitim Yardımı (Çocuk-Lise)")*($AG$49)
+COUNTIF(G19,"Eğitim Yardımı (Çocuk-Yükseköğretim)")*($AG$50)
+COUNTIF(G19,"Eğitim Yardımı (İşçi-Lise)")*($AG$51)
+COUNTIF(G19,"Eğitim Yardımı (İşçi-Yükseköğretim)")*($AG$52)
+COUNTIF(G19,"Evlilik Yardımı")*($AG$53)
+COUNTIF(G19,"Gıda Yardımı")*($AG$54)
+COUNTIF(G19,"İş Kazası veya Meslek Hastalığı Tazminatı")*($AG$55)
+COUNTIF(H19,"Yok")*(0)
+COUNTIF(H19,"Askerlik Yardımı")*($AG$41)
+COUNTIF(H19,"Cenaze Yardımı (Anne-Baba)")*($AG$42)
+COUNTIF(H19,"Cenaze Yardımı (Eş-Çocuk)")*($AG$43)
+COUNTIF(H19,"Cenaze Yardımı (İşçi-İş Kazası Sonucu)")*($AG$44)
+COUNTIF(H19,"Cenaze Yardımı (İşçi-Tabii Sebepler Sonucu)")*($AG$45)
+COUNTIF(H19,"Doğal Afet Yardımı")*($AG$46)
+COUNTIF(H19,"Eğitim Yardımı (Çocuk-İlköğretim)")*($AG$47)
+COUNTIF(H19,"Eğitim Yardımı (Çocuk-Ortaöğretim)")*($AG$48)
+COUNTIF(H19,"Eğitim Yardımı (Çocuk-Lise)")*($AG$49)
+COUNTIF(H19,"Eğitim Yardımı (Çocuk-Yükseköğretim)")*($AG$50)
+COUNTIF(H19,"Eğitim Yardımı (İşçi-Lise)")*($AG$51)
+COUNTIF(H19,"Eğitim Yardımı (İşçi-Yükseköğretim)")*($AG$52)
+COUNTIF(H19,"Evlilik Yardımı")*($AG$53)
+COUNTIF(H19,"Gıda Yardımı")*($AG$54)
+COUNTIF(H19,"İş Kazası veya Meslek Hastalığı Tazminatı")*($AG$55)
+COUNTIF(I19,"Yok")*(0)
+COUNTIF(I19,"Askerlik Yardımı")*($AG$41)
+COUNTIF(I19,"Cenaze Yardımı (Anne-Baba)")*($AG$42)
+COUNTIF(I19,"Cenaze Yardımı (Eş-Çocuk)")*($AG$43)
+COUNTIF(I19,"Cenaze Yardımı (İşçi-İş Kazası Sonucu)")*($AG$44)
+COUNTIF(I19,"Cenaze Yardımı (İşçi-Tabii Sebepler Sonucu)")*($AG$45)
+COUNTIF(I19,"Doğal Afet Yardımı")*($AG$46)
+COUNTIF(I19,"Eğitim Yardımı (Çocuk-İlköğretim)")*($AG$47)
+COUNTIF(I19,"Eğitim Yardımı (Çocuk-Ortaöğretim)")*($AG$48)
+COUNTIF(I19,"Eğitim Yardımı (Çocuk-Lise)")*($AG$49)
+COUNTIF(I19,"Eğitim Yardımı (Çocuk-Yükseköğretim)")*($AG$50)
+COUNTIF(I19,"Eğitim Yardımı (İşçi-Lise)")*($AG$51)
+COUNTIF(I19,"Eğitim Yardımı (İşçi-Yükseköğretim)")*($AG$52)
+COUNTIF(I19,"Evlilik Yardımı")*($AG$53)
+COUNTIF(I19,"Gıda Yardımı")*($AG$54)
+COUNTIF(I19,"İş Kazası veya Meslek Hastalığı Tazminatı")*($AG$55)</f>
        <v>0</v>
      </c>
      <c r="AY5" s="57" t="s">
        <v>9</v>
      </c>
      <c r="AZ5" s="55">
        <f ca="1">COUNTIF(AY5,"Var")*(AJ5*0.9*-1)</f>
        <v>-1964.2920967741934</v>
      </c>
      <c r="BA5" s="55">
        <f t="shared" ca="1" si="1"/>
        <v>1964.2920967741934</v>
      </c>
      <c r="BD5" s="58">
        <v>3</v>
      </c>
      <c r="BE5" s="60">
        <v>1.5</v>
      </c>
      <c r="BF5" s="61">
        <v>0.05</v>
      </c>
    </row>
    <row r="6" spans="1:58" ht="39.950000000000003" customHeight="1" x14ac:dyDescent="0.25">
      <c r="A6" s="45"/>
      <c r="B6" s="14">
        <f>COUNTIF($A$1,"Deniz Taksi / Kaptan")*($AF$1)
+COUNTIF($A$1,"Deniz Taksi / Gemici")*($AF$2)</f>
        <v>1712.21</v>
      </c>
      <c r="C6" s="2"/>
      <c r="D6" s="2"/>
      <c r="E6" s="3"/>
      <c r="F6" s="2"/>
      <c r="G6" s="15"/>
      <c r="H6" s="16"/>
      <c r="I6" s="17"/>
      <c r="J6" s="2"/>
      <c r="K6" s="2"/>
      <c r="L6" s="2"/>
      <c r="M6" s="7"/>
      <c r="N6" s="50"/>
      <c r="O6" s="8"/>
      <c r="P6" s="51"/>
      <c r="Q6" s="18"/>
      <c r="R6" s="19"/>
      <c r="S6" s="20"/>
      <c r="T6" s="21"/>
      <c r="U6" s="52" t="s">
        <v>29</v>
      </c>
      <c r="V6" s="53">
        <f t="shared" si="2"/>
        <v>2094.0275000000001</v>
      </c>
      <c r="W6" s="53">
        <f>COUNTIF(N1,"Ocak")*(AO43)
+COUNTIF(N1,"Şubat")*(AO44)
+COUNTIF(N1,"Mart")*(AO45)
+COUNTIF(N1,"Nisan")*(AO46)
+COUNTIF(N1,"Mayıs")*(AO47)
+COUNTIF(N1,"Haziran")*(AO48)
+COUNTIF(N1,"Temmuz")*(AO49)
+COUNTIF(N1,"Ağustos")*(AO50)
+COUNTIF(N1,"Eylül")*(AO51)
+COUNTIF(N1,"Ekim")*(AO52)
+COUNTIF(N1,"Kasım")*(AO53)
+COUNTIF(N1,"Aralık")*(AO54)
+COUNTIF(N1,"Yıllık Toplam")*(AO55)
+COUNTIF(N1,"Yıllık Ortalama")*(AO56)</f>
        <v>2094.0275000000001</v>
      </c>
      <c r="X6" s="59"/>
      <c r="Y6" s="59"/>
      <c r="Z6" s="59"/>
      <c r="AA6" s="59"/>
      <c r="AB6" s="59"/>
      <c r="AC6" s="59"/>
      <c r="AD6" s="52" t="s">
        <v>0</v>
      </c>
      <c r="AE6" s="52" t="s">
        <v>0</v>
      </c>
      <c r="AF6" s="53">
        <f>($AF$17)</f>
        <v>2301.539788</v>
      </c>
      <c r="AG6" s="53">
        <f>($AG$17)</f>
        <v>2301.539788</v>
      </c>
      <c r="AH6" s="53">
        <f ca="1">(AI6/BB78)</f>
        <v>2367.4438335155246</v>
      </c>
      <c r="AI6" s="53">
        <f>COUNTIF($A$1,"Deniz Taksi / Kaptan")*($AE$1)
+COUNTIF($A$1,"Deniz Taksi / Gemici")*($AE$2)</f>
        <v>1451.03</v>
      </c>
      <c r="AJ6" s="53">
        <f ca="1">AM20/AJ20</f>
        <v>2176.3836666666666</v>
      </c>
      <c r="AK6" s="53">
        <f>COUNTIF($A$1,"Deniz Taksi / Kaptan")*($AE$1)
+COUNTIF($A$1,"Deniz Taksi / Gemici")*($AE$2)</f>
        <v>1451.03</v>
      </c>
      <c r="AL6" s="55">
        <f ca="1">(AM6/BB78)</f>
        <v>0</v>
      </c>
      <c r="AM6" s="55">
        <f>(60*C20)</f>
        <v>0</v>
      </c>
      <c r="AN6" s="55">
        <f ca="1">(AO6/BB78)</f>
        <v>24858.160251913007</v>
      </c>
      <c r="AO6" s="55">
        <f>(AI6/8*1.4*D20)</f>
        <v>15235.814999999999</v>
      </c>
      <c r="AP6" s="55">
        <f ca="1">(AQ6/BB78)</f>
        <v>0</v>
      </c>
      <c r="AQ6" s="55">
        <f>(AI6/8*2*E20)</f>
        <v>0</v>
      </c>
      <c r="AR6" s="55">
        <f ca="1">(AS6+AQ20*-1+AU20*-1+AP34*-1+AT34*-1)</f>
        <v>10226.650000000001</v>
      </c>
      <c r="AS6" s="55">
        <f>(325*F20)</f>
        <v>8450</v>
      </c>
      <c r="AT6" s="55">
        <f ca="1">ROUND((AS6+AQ20*-1+AU20*-1+AP34*-1+AT34*-1),2)</f>
        <v>10226.65</v>
      </c>
      <c r="AU6" s="55">
        <f ca="1">IF($AF$15*F20&gt;=AT6,AT6,$AF$15*F20)</f>
        <v>6240</v>
      </c>
      <c r="AV6" s="56">
        <f ca="1">COUNTIF(G20,"Yok")*(0)
+COUNTIF(G20,"Askerlik Yardımı")*($AG$41/BB78)
+COUNTIF(G20,"Cenaze Yardımı (Anne-Baba)")*($AG$42+$AG$42*0.00759)
+COUNTIF(G20,"Cenaze Yardımı (Eş-Çocuk)")*($AG$43+$AG$43*0.00759)
+COUNTIF(G20,"Cenaze Yardımı (İşçi-İş Kazası Sonucu)")*($AG$44+$AG$44*0.00759)
+COUNTIF(G20,"Cenaze Yardımı (İşçi-Tabii Sebepler Sonucu)")*($AG$45+$AG$45*0.00759)
+COUNTIF(G20,"Doğal Afet Yardımı")*($AG$46+$AG$46*0.00759)
+COUNTIF(G20,"Eğitim Yardımı (Çocuk-İlköğretim)")*($AG$47/BB78)
+COUNTIF(G20,"Eğitim Yardımı (Çocuk-Ortaöğretim)")*($AG$48/BB78)
+COUNTIF(G20,"Eğitim Yardımı (Çocuk-Lise)")*($AG$49/BB78)
+COUNTIF(G20,"Eğitim Yardımı (Çocuk-Yükseköğretim)")*($AG$50/BB78)
+COUNTIF(G20,"Eğitim Yardımı (İşçi-Lise)")*($AG$51/BB78)
+COUNTIF(G20,"Eğitim Yardımı (İşçi-Yükseköğretim)")*($AG$52/BB78)
+COUNTIF(G20,"Evlilik Yardımı")*($AG$53+$AG$53*0.00759)
+COUNTIF(G20,"Gıda Yardımı")*($AG$54/BB78)
+COUNTIF(G20,"İş Kazası veya Meslek Hastalığı Tazminatı")*($AG$55+$AG$55*0.00759)
+COUNTIF(H20,"Yok")*(0)
+COUNTIF(H20,"Askerlik Yardımı")*($AG$41/BB78)
+COUNTIF(H20,"Cenaze Yardımı (Anne-Baba)")*($AG$42+$AG$42*0.00759)
+COUNTIF(H20,"Cenaze Yardımı (Eş-Çocuk)")*($AG$43+$AG$43*0.00759)
+COUNTIF(H20,"Cenaze Yardımı (İşçi-İş Kazası Sonucu)")*($AG$44+$AG$44*0.00759)
+COUNTIF(H20,"Cenaze Yardımı (İşçi-Tabii Sebepler Sonucu)")*($AG$45+$AG$45*0.00759)
+COUNTIF(H20,"Doğal Afet Yardımı")*($AG$46+$AG$46*0.00759)
+COUNTIF(H20,"Eğitim Yardımı (Çocuk-İlköğretim)")*($AG$47/BB78)
+COUNTIF(H20,"Eğitim Yardımı (Çocuk-Ortaöğretim)")*($AG$48/BB78)
+COUNTIF(H20,"Eğitim Yardımı (Çocuk-Lise)")*($AG$49/BB78)
+COUNTIF(H20,"Eğitim Yardımı (Çocuk-Yükseköğretim)")*($AG$50/BB78)
+COUNTIF(H20,"Eğitim Yardımı (İşçi-Lise)")*($AG$51/BB78)
+COUNTIF(H20,"Eğitim Yardımı (İşçi-Yükseköğretim)")*($AG$52/BB78)
+COUNTIF(H20,"Evlilik Yardımı")*($AG$53+$AG$53*0.00759)
+COUNTIF(H20,"Gıda Yardımı")*($AG$54/BB78)
+COUNTIF(H20,"İş Kazası veya Meslek Hastalığı Tazminatı")*($AG$55+$AG$55*0.00759)
+COUNTIF(I20,"Yok")*(0)
+COUNTIF(I20,"Askerlik Yardımı")*($AG$41/BB78)
+COUNTIF(I20,"Cenaze Yardımı (Anne-Baba)")*($AG$42+$AG$42*0.00759)
+COUNTIF(I20,"Cenaze Yardımı (Eş-Çocuk)")*($AG$43+$AG$43*0.00759)
+COUNTIF(I20,"Cenaze Yardımı (İşçi-İş Kazası Sonucu)")*($AG$44+$AG$44*0.00759)
+COUNTIF(I20,"Cenaze Yardımı (İşçi-Tabii Sebepler Sonucu)")*($AG$45+$AG$45*0.00759)
+COUNTIF(I20,"Doğal Afet Yardımı")*($AG$46+$AG$46*0.00759)
+COUNTIF(I20,"Eğitim Yardımı (Çocuk-İlköğretim)")*($AG$47/BB78)
+COUNTIF(I20,"Eğitim Yardımı (Çocuk-Ortaöğretim)")*($AG$48/BB78)
+COUNTIF(I20,"Eğitim Yardımı (Çocuk-Lise)")*($AG$49/BB78)
+COUNTIF(I20,"Eğitim Yardımı (Çocuk-Yükseköğretim)")*($AG$50/BB78)
+COUNTIF(I20,"Eğitim Yardımı (İşçi-Lise)")*($AG$51/BB78)
+COUNTIF(I20,"Eğitim Yardımı (İşçi-Yükseköğretim)")*($AG$52/BB78)
+COUNTIF(I20,"Evlilik Yardımı")*($AG$53+$AG$53*0.00759)
+COUNTIF(I20,"Gıda Yardımı")*($AG$54/BB78)
+COUNTIF(I20,"İş Kazası veya Meslek Hastalığı Tazminatı")*($AG$55+$AG$55*0.00759)</f>
        <v>0</v>
      </c>
      <c r="AW6" s="56">
        <f>COUNTIF(G20,"Yok")*(0)
+COUNTIF(G20,"Askerlik Yardımı")*(0)
+COUNTIF(G20,"Cenaze Yardımı (Anne-Baba)")*($AG$42+$AG$42*0.00759)
+COUNTIF(G20,"Cenaze Yardımı (Eş-Çocuk)")*($AG$43+$AG$43*0.00759)
+COUNTIF(G20,"Cenaze Yardımı (İşçi-İş Kazası Sonucu)")*($AG$44+$AG$44*0.00759)
+COUNTIF(G20,"Cenaze Yardımı (İşçi-Tabii Sebepler Sonucu)")*($AG$45+$AG$45*0.00759)
+COUNTIF(G20,"Doğal Afet Yardımı")*($AG$46+$AG$46*0.00759)
+COUNTIF(G20,"Eğitim Yardımı (Çocuk-İlköğretim)")*(0)
+COUNTIF(G20,"Eğitim Yardımı (Çocuk-Ortaöğretim)")*(0)
+COUNTIF(G20,"Eğitim Yardımı (Çocuk-Lise)")*(0)
+COUNTIF(G20,"Eğitim Yardımı (Çocuk-Yükseköğretim)")*(0)
+COUNTIF(G20,"Eğitim Yardımı (İşçi-Lise)")*(0)
+COUNTIF(G20,"Eğitim Yardımı (İşçi-Yükseköğretim)")*(0)
+COUNTIF(G20,"Evlilik Yardımı")*($AG$53+$AG$53*0.00759)
+COUNTIF(G20,"Gıda Yardımı")*(0)
+COUNTIF(G20,"İş Kazası veya Meslek Hastalığı Tazminatı")*($AG$55+$AG$55*0.00759)
+COUNTIF(H20,"Yok")*(0)
+COUNTIF(H20,"Askerlik Yardımı")*(0)
+COUNTIF(H20,"Cenaze Yardımı (Anne-Baba)")*($AG$42+$AG$42*0.00759)
+COUNTIF(H20,"Cenaze Yardımı (Eş-Çocuk)")*($AG$43+$AG$43*0.00759)
+COUNTIF(H20,"Cenaze Yardımı (İşçi-İş Kazası Sonucu)")*($AG$44+$AG$44*0.00759)
+COUNTIF(H20,"Cenaze Yardımı (İşçi-Tabii Sebepler Sonucu)")*($AG$45+$AG$45*0.00759)
+COUNTIF(H20,"Doğal Afet Yardımı")*($AG$46+$AG$46*0.00759)
+COUNTIF(H20,"Eğitim Yardımı (Çocuk-İlköğretim)")*(0)
+COUNTIF(H20,"Eğitim Yardımı (Çocuk-Ortaöğretim)")*(0)
+COUNTIF(H20,"Eğitim Yardımı (Çocuk-Lise)")*(0)
+COUNTIF(H20,"Eğitim Yardımı (Çocuk-Yükseköğretim)")*(0)
+COUNTIF(H20,"Eğitim Yardımı (İşçi-Lise)")*(0)
+COUNTIF(H20,"Eğitim Yardımı (İşçi-Yükseköğretim)")*(0)
+COUNTIF(H20,"Evlilik Yardımı")*($AG$53+$AG$53*0.00759)
+COUNTIF(H20,"Gıda Yardımı")*(0)
+COUNTIF(H20,"İş Kazası veya Meslek Hastalığı Tazminatı")*($AG$55+$AG$55*0.00759)
+COUNTIF(I20,"Yok")*(0)
+COUNTIF(I20,"Askerlik Yardımı")*(0)
+COUNTIF(I20,"Cenaze Yardımı (Anne-Baba)")*($AG$42+$AG$42*0.00759)
+COUNTIF(I20,"Cenaze Yardımı (Eş-Çocuk)")*($AG$43+$AG$43*0.00759)
+COUNTIF(I20,"Cenaze Yardımı (İşçi-İş Kazası Sonucu)")*($AG$44+$AG$44*0.00759)
+COUNTIF(I20,"Cenaze Yardımı (İşçi-Tabii Sebepler Sonucu)")*($AG$45+$AG$45*0.00759)
+COUNTIF(I20,"Doğal Afet Yardımı")*($AG$46+$AG$46*0.00759)
+COUNTIF(I20,"Eğitim Yardımı (Çocuk-İlköğretim)")*(0)
+COUNTIF(I20,"Eğitim Yardımı (Çocuk-Ortaöğretim)")*(0)
+COUNTIF(I20,"Eğitim Yardımı (Çocuk-Lise)")*(0)
+COUNTIF(I20,"Eğitim Yardımı (Çocuk-Yükseköğretim)")*(0)
+COUNTIF(I20,"Eğitim Yardımı (İşçi-Lise)")*(0)
+COUNTIF(I20,"Eğitim Yardımı (İşçi-Yükseköğretim)")*(0)
+COUNTIF(I20,"Evlilik Yardımı")*($AG$53+$AG$53*0.00759)
+COUNTIF(I20,"Gıda Yardımı")*(0)
+COUNTIF(I20,"İş Kazası veya Meslek Hastalığı Tazminatı")*($AG$55+$AG$55*0.00759)</f>
        <v>0</v>
      </c>
      <c r="AX6" s="56">
        <f>COUNTIF(G20,"Yok")*(0)
+COUNTIF(G20,"Askerlik Yardımı")*($AG$41)
+COUNTIF(G20,"Cenaze Yardımı (Anne-Baba)")*($AG$42)
+COUNTIF(G20,"Cenaze Yardımı (Eş-Çocuk)")*($AG$43)
+COUNTIF(G20,"Cenaze Yardımı (İşçi-İş Kazası Sonucu)")*($AG$44)
+COUNTIF(G20,"Cenaze Yardımı (İşçi-Tabii Sebepler Sonucu)")*($AG$45)
+COUNTIF(G20,"Doğal Afet Yardımı")*($AG$46)
+COUNTIF(G20,"Eğitim Yardımı (Çocuk-İlköğretim)")*($AG$47)
+COUNTIF(G20,"Eğitim Yardımı (Çocuk-Ortaöğretim)")*($AG$48)
+COUNTIF(G20,"Eğitim Yardımı (Çocuk-Lise)")*($AG$49)
+COUNTIF(G20,"Eğitim Yardımı (Çocuk-Yükseköğretim)")*($AG$50)
+COUNTIF(G20,"Eğitim Yardımı (İşçi-Lise)")*($AG$51)
+COUNTIF(G20,"Eğitim Yardımı (İşçi-Yükseköğretim)")*($AG$52)
+COUNTIF(G20,"Evlilik Yardımı")*($AG$53)
+COUNTIF(G20,"Gıda Yardımı")*($AG$54)
+COUNTIF(G20,"İş Kazası veya Meslek Hastalığı Tazminatı")*($AG$55)
+COUNTIF(H20,"Yok")*(0)
+COUNTIF(H20,"Askerlik Yardımı")*($AG$41)
+COUNTIF(H20,"Cenaze Yardımı (Anne-Baba)")*($AG$42)
+COUNTIF(H20,"Cenaze Yardımı (Eş-Çocuk)")*($AG$43)
+COUNTIF(H20,"Cenaze Yardımı (İşçi-İş Kazası Sonucu)")*($AG$44)
+COUNTIF(H20,"Cenaze Yardımı (İşçi-Tabii Sebepler Sonucu)")*($AG$45)
+COUNTIF(H20,"Doğal Afet Yardımı")*($AG$46)
+COUNTIF(H20,"Eğitim Yardımı (Çocuk-İlköğretim)")*($AG$47)
+COUNTIF(H20,"Eğitim Yardımı (Çocuk-Ortaöğretim)")*($AG$48)
+COUNTIF(H20,"Eğitim Yardımı (Çocuk-Lise)")*($AG$49)
+COUNTIF(H20,"Eğitim Yardımı (Çocuk-Yükseköğretim)")*($AG$50)
+COUNTIF(H20,"Eğitim Yardımı (İşçi-Lise)")*($AG$51)
+COUNTIF(H20,"Eğitim Yardımı (İşçi-Yükseköğretim)")*($AG$52)
+COUNTIF(H20,"Evlilik Yardımı")*($AG$53)
+COUNTIF(H20,"Gıda Yardımı")*($AG$54)
+COUNTIF(H20,"İş Kazası veya Meslek Hastalığı Tazminatı")*($AG$55)
+COUNTIF(I20,"Yok")*(0)
+COUNTIF(I20,"Askerlik Yardımı")*($AG$41)
+COUNTIF(I20,"Cenaze Yardımı (Anne-Baba)")*($AG$42)
+COUNTIF(I20,"Cenaze Yardımı (Eş-Çocuk)")*($AG$43)
+COUNTIF(I20,"Cenaze Yardımı (İşçi-İş Kazası Sonucu)")*($AG$44)
+COUNTIF(I20,"Cenaze Yardımı (İşçi-Tabii Sebepler Sonucu)")*($AG$45)
+COUNTIF(I20,"Doğal Afet Yardımı")*($AG$46)
+COUNTIF(I20,"Eğitim Yardımı (Çocuk-İlköğretim)")*($AG$47)
+COUNTIF(I20,"Eğitim Yardımı (Çocuk-Ortaöğretim)")*($AG$48)
+COUNTIF(I20,"Eğitim Yardımı (Çocuk-Lise)")*($AG$49)
+COUNTIF(I20,"Eğitim Yardımı (Çocuk-Yükseköğretim)")*($AG$50)
+COUNTIF(I20,"Eğitim Yardımı (İşçi-Lise)")*($AG$51)
+COUNTIF(I20,"Eğitim Yardımı (İşçi-Yükseköğretim)")*($AG$52)
+COUNTIF(I20,"Evlilik Yardımı")*($AG$53)
+COUNTIF(I20,"Gıda Yardımı")*($AG$54)
+COUNTIF(I20,"İş Kazası veya Meslek Hastalığı Tazminatı")*($AG$55)</f>
        <v>0</v>
      </c>
      <c r="AY6" s="57" t="s">
        <v>9</v>
      </c>
      <c r="AZ6" s="55">
        <f ca="1">COUNTIF(AY6,"Var")*(AJ6*0.9*-1)</f>
        <v>-1958.7453</v>
      </c>
      <c r="BA6" s="55">
        <f t="shared" ca="1" si="1"/>
        <v>1958.7453</v>
      </c>
      <c r="BD6" s="58">
        <v>4</v>
      </c>
      <c r="BE6" s="60">
        <v>2</v>
      </c>
      <c r="BF6" s="61">
        <v>0.06</v>
      </c>
    </row>
    <row r="7" spans="1:58" ht="39.950000000000003" customHeight="1" x14ac:dyDescent="0.25">
      <c r="A7" s="45"/>
      <c r="B7" s="14"/>
      <c r="C7" s="2"/>
      <c r="D7" s="2"/>
      <c r="E7" s="3"/>
      <c r="F7" s="2"/>
      <c r="G7" s="15"/>
      <c r="H7" s="16"/>
      <c r="I7" s="17"/>
      <c r="J7" s="2"/>
      <c r="K7" s="2"/>
      <c r="L7" s="2"/>
      <c r="M7" s="7"/>
      <c r="N7" s="50"/>
      <c r="O7" s="8"/>
      <c r="P7" s="51"/>
      <c r="Q7" s="18"/>
      <c r="R7" s="19"/>
      <c r="S7" s="20"/>
      <c r="T7" s="21"/>
      <c r="U7" s="52" t="s">
        <v>34</v>
      </c>
      <c r="V7" s="53">
        <f t="shared" si="2"/>
        <v>17014.8</v>
      </c>
      <c r="W7" s="53">
        <f>COUNTIF(N1,"Ocak")*(AR43)
+COUNTIF(N1,"Şubat")*(AR44)
+COUNTIF(N1,"Mart")*(AR45)
+COUNTIF(N1,"Nisan")*(AR46)
+COUNTIF(N1,"Mayıs")*(AR47)
+COUNTIF(N1,"Haziran")*(AR48)
+COUNTIF(N1,"Temmuz")*(AR49)
+COUNTIF(N1,"Ağustos")*(AR50)
+COUNTIF(N1,"Eylül")*(AR51)
+COUNTIF(N1,"Ekim")*(AR52)
+COUNTIF(N1,"Kasım")*(AR53)
+COUNTIF(N1,"Aralık")*(AR54)
+COUNTIF(N1,"Yıllık Toplam")*(AR55)
+COUNTIF(N1,"Yıllık Ortalama")*(AR56)</f>
        <v>17014.8</v>
      </c>
      <c r="X7" s="59"/>
      <c r="Y7" s="59"/>
      <c r="Z7" s="59"/>
      <c r="AA7" s="59"/>
      <c r="AB7" s="59"/>
      <c r="AC7" s="59"/>
      <c r="AD7" s="52" t="s">
        <v>0</v>
      </c>
      <c r="AE7" s="52" t="s">
        <v>0</v>
      </c>
      <c r="AF7" s="53">
        <f>($AF$18)</f>
        <v>506.27800000000002</v>
      </c>
      <c r="AG7" s="53">
        <f>($AG$18)</f>
        <v>506.27800000000002</v>
      </c>
      <c r="AH7" s="53">
        <f ca="1">(AI7/BB79)</f>
        <v>2793.5749131193816</v>
      </c>
      <c r="AI7" s="53">
        <f>COUNTIF($A$1,"Deniz Taksi / Kaptan")*($AF$1)
+COUNTIF($A$1,"Deniz Taksi / Gemici")*($AF$2)</f>
        <v>1712.21</v>
      </c>
      <c r="AJ7" s="53">
        <f ca="1">AM21/AJ21</f>
        <v>2608.6777419354844</v>
      </c>
      <c r="AK7" s="53">
        <f>COUNTIF($A$1,"Deniz Taksi / Kaptan")*($AF$1)
+COUNTIF($A$1,"Deniz Taksi / Gemici")*($AF$2)</f>
        <v>1712.21</v>
      </c>
      <c r="AL7" s="55">
        <f ca="1">(AM7/BB79)</f>
        <v>0</v>
      </c>
      <c r="AM7" s="55">
        <f>(60*C21)</f>
        <v>0</v>
      </c>
      <c r="AN7" s="55">
        <f ca="1">(AO7/BB79)</f>
        <v>29332.536587753508</v>
      </c>
      <c r="AO7" s="55">
        <f>(AI7/8*1.4*D21)</f>
        <v>17978.205000000002</v>
      </c>
      <c r="AP7" s="55">
        <f ca="1">(AQ7/BB79)</f>
        <v>0</v>
      </c>
      <c r="AQ7" s="55">
        <f>(AI7/8*2*E21)</f>
        <v>0</v>
      </c>
      <c r="AR7" s="55">
        <f ca="1">(AS7+AQ21*-1+AU21*-1+AP35*-1+AT35*-1)</f>
        <v>10226.650000000001</v>
      </c>
      <c r="AS7" s="55">
        <f>(325*F21)</f>
        <v>8450</v>
      </c>
      <c r="AT7" s="55">
        <f ca="1">ROUND((AS7+AQ21*-1+AU21*-1+AP35*-1+AT35*-1),2)</f>
        <v>10226.65</v>
      </c>
      <c r="AU7" s="55">
        <f ca="1">IF($AG$15*F21&gt;=AT7,AT7,$AG$15*F21)</f>
        <v>6240</v>
      </c>
      <c r="AV7" s="56">
        <f ca="1">COUNTIF(G21,"Yok")*(0)
+COUNTIF(G21,"Askerlik Yardımı")*($AG$41/BB79)
+COUNTIF(G21,"Cenaze Yardımı (Anne-Baba)")*($AG$42+$AG$42*0.00759)
+COUNTIF(G21,"Cenaze Yardımı (Eş-Çocuk)")*($AG$43+$AG$43*0.00759)
+COUNTIF(G21,"Cenaze Yardımı (İşçi-İş Kazası Sonucu)")*($AG$44+$AG$44*0.00759)
+COUNTIF(G21,"Cenaze Yardımı (İşçi-Tabii Sebepler Sonucu)")*($AG$45+$AG$45*0.00759)
+COUNTIF(G21,"Doğal Afet Yardımı")*($AG$46+$AG$46*0.00759)
+COUNTIF(G21,"Eğitim Yardımı (Çocuk-İlköğretim)")*($AG$47/BB79)
+COUNTIF(G21,"Eğitim Yardımı (Çocuk-Ortaöğretim)")*($AG$48/BB79)
+COUNTIF(G21,"Eğitim Yardımı (Çocuk-Lise)")*($AG$49/BB79)
+COUNTIF(G21,"Eğitim Yardımı (Çocuk-Yükseköğretim)")*($AG$50/BB79)
+COUNTIF(G21,"Eğitim Yardımı (İşçi-Lise)")*($AG$51/BB79)
+COUNTIF(G21,"Eğitim Yardımı (İşçi-Yükseköğretim)")*($AG$52/BB79)
+COUNTIF(G21,"Evlilik Yardımı")*($AG$53+$AG$53*0.00759)
+COUNTIF(G21,"Gıda Yardımı")*($AG$54/BB79)
+COUNTIF(G21,"İş Kazası veya Meslek Hastalığı Tazminatı")*($AG$55+$AG$55*0.00759)
+COUNTIF(H21,"Yok")*(0)
+COUNTIF(H21,"Askerlik Yardımı")*($AG$41/BB79)
+COUNTIF(H21,"Cenaze Yardımı (Anne-Baba)")*($AG$42+$AG$42*0.00759)
+COUNTIF(H21,"Cenaze Yardımı (Eş-Çocuk)")*($AG$43+$AG$43*0.00759)
+COUNTIF(H21,"Cenaze Yardımı (İşçi-İş Kazası Sonucu)")*($AG$44+$AG$44*0.00759)
+COUNTIF(H21,"Cenaze Yardımı (İşçi-Tabii Sebepler Sonucu)")*($AG$45+$AG$45*0.00759)
+COUNTIF(H21,"Doğal Afet Yardımı")*($AG$46+$AG$46*0.00759)
+COUNTIF(H21,"Eğitim Yardımı (Çocuk-İlköğretim)")*($AG$47/BB79)
+COUNTIF(H21,"Eğitim Yardımı (Çocuk-Ortaöğretim)")*($AG$48/BB79)
+COUNTIF(H21,"Eğitim Yardımı (Çocuk-Lise)")*($AG$49/BB79)
+COUNTIF(H21,"Eğitim Yardımı (Çocuk-Yükseköğretim)")*($AG$50/BB79)
+COUNTIF(H21,"Eğitim Yardımı (İşçi-Lise)")*($AG$51/BB79)
+COUNTIF(H21,"Eğitim Yardımı (İşçi-Yükseköğretim)")*($AG$52/BB79)
+COUNTIF(H21,"Evlilik Yardımı")*($AG$53+$AG$53*0.00759)
+COUNTIF(H21,"Gıda Yardımı")*($AG$54/BB79)
+COUNTIF(H21,"İş Kazası veya Meslek Hastalığı Tazminatı")*($AG$55+$AG$55*0.00759)
+COUNTIF(I21,"Yok")*(0)
+COUNTIF(I21,"Askerlik Yardımı")*($AG$41/BB79)
+COUNTIF(I21,"Cenaze Yardımı (Anne-Baba)")*($AG$42+$AG$42*0.00759)
+COUNTIF(I21,"Cenaze Yardımı (Eş-Çocuk)")*($AG$43+$AG$43*0.00759)
+COUNTIF(I21,"Cenaze Yardımı (İşçi-İş Kazası Sonucu)")*($AG$44+$AG$44*0.00759)
+COUNTIF(I21,"Cenaze Yardımı (İşçi-Tabii Sebepler Sonucu)")*($AG$45+$AG$45*0.00759)
+COUNTIF(I21,"Doğal Afet Yardımı")*($AG$46+$AG$46*0.00759)
+COUNTIF(I21,"Eğitim Yardımı (Çocuk-İlköğretim)")*($AG$47/BB79)
+COUNTIF(I21,"Eğitim Yardımı (Çocuk-Ortaöğretim)")*($AG$48/BB79)
+COUNTIF(I21,"Eğitim Yardımı (Çocuk-Lise)")*($AG$49/BB79)
+COUNTIF(I21,"Eğitim Yardımı (Çocuk-Yükseköğretim)")*($AG$50/BB79)
+COUNTIF(I21,"Eğitim Yardımı (İşçi-Lise)")*($AG$51/BB79)
+COUNTIF(I21,"Eğitim Yardımı (İşçi-Yükseköğretim)")*($AG$52/BB79)
+COUNTIF(I21,"Evlilik Yardımı")*($AG$53+$AG$53*0.00759)
+COUNTIF(I21,"Gıda Yardımı")*($AG$54/BB79)
+COUNTIF(I21,"İş Kazası veya Meslek Hastalığı Tazminatı")*($AG$55+$AG$55*0.00759)</f>
        <v>0</v>
      </c>
      <c r="AW7" s="56">
        <f>COUNTIF(G21,"Yok")*(0)
+COUNTIF(G21,"Askerlik Yardımı")*(0)
+COUNTIF(G21,"Cenaze Yardımı (Anne-Baba)")*($AG$42+$AG$42*0.00759)
+COUNTIF(G21,"Cenaze Yardımı (Eş-Çocuk)")*($AG$43+$AG$43*0.00759)
+COUNTIF(G21,"Cenaze Yardımı (İşçi-İş Kazası Sonucu)")*($AG$44+$AG$44*0.00759)
+COUNTIF(G21,"Cenaze Yardımı (İşçi-Tabii Sebepler Sonucu)")*($AG$45+$AG$45*0.00759)
+COUNTIF(G21,"Doğal Afet Yardımı")*($AG$46+$AG$46*0.00759)
+COUNTIF(G21,"Eğitim Yardımı (Çocuk-İlköğretim)")*(0)
+COUNTIF(G21,"Eğitim Yardımı (Çocuk-Ortaöğretim)")*(0)
+COUNTIF(G21,"Eğitim Yardımı (Çocuk-Lise)")*(0)
+COUNTIF(G21,"Eğitim Yardımı (Çocuk-Yükseköğretim)")*(0)
+COUNTIF(G21,"Eğitim Yardımı (İşçi-Lise)")*(0)
+COUNTIF(G21,"Eğitim Yardımı (İşçi-Yükseköğretim)")*(0)
+COUNTIF(G21,"Evlilik Yardımı")*($AG$53+$AG$53*0.00759)
+COUNTIF(G21,"Gıda Yardımı")*(0)
+COUNTIF(G21,"İş Kazası veya Meslek Hastalığı Tazminatı")*($AG$55+$AG$55*0.00759)
+COUNTIF(H21,"Yok")*(0)
+COUNTIF(H21,"Askerlik Yardımı")*(0)
+COUNTIF(H21,"Cenaze Yardımı (Anne-Baba)")*($AG$42+$AG$42*0.00759)
+COUNTIF(H21,"Cenaze Yardımı (Eş-Çocuk)")*($AG$43+$AG$43*0.00759)
+COUNTIF(H21,"Cenaze Yardımı (İşçi-İş Kazası Sonucu)")*($AG$44+$AG$44*0.00759)
+COUNTIF(H21,"Cenaze Yardımı (İşçi-Tabii Sebepler Sonucu)")*($AG$45+$AG$45*0.00759)
+COUNTIF(H21,"Doğal Afet Yardımı")*($AG$46+$AG$46*0.00759)
+COUNTIF(H21,"Eğitim Yardımı (Çocuk-İlköğretim)")*(0)
+COUNTIF(H21,"Eğitim Yardımı (Çocuk-Ortaöğretim)")*(0)
+COUNTIF(H21,"Eğitim Yardımı (Çocuk-Lise)")*(0)
+COUNTIF(H21,"Eğitim Yardımı (Çocuk-Yükseköğretim)")*(0)
+COUNTIF(H21,"Eğitim Yardımı (İşçi-Lise)")*(0)
+COUNTIF(H21,"Eğitim Yardımı (İşçi-Yükseköğretim)")*(0)
+COUNTIF(H21,"Evlilik Yardımı")*($AG$53+$AG$53*0.00759)
+COUNTIF(H21,"Gıda Yardımı")*(0)
+COUNTIF(H21,"İş Kazası veya Meslek Hastalığı Tazminatı")*($AG$55+$AG$55*0.00759)
+COUNTIF(I21,"Yok")*(0)
+COUNTIF(I21,"Askerlik Yardımı")*(0)
+COUNTIF(I21,"Cenaze Yardımı (Anne-Baba)")*($AG$42+$AG$42*0.00759)
+COUNTIF(I21,"Cenaze Yardımı (Eş-Çocuk)")*($AG$43+$AG$43*0.00759)
+COUNTIF(I21,"Cenaze Yardımı (İşçi-İş Kazası Sonucu)")*($AG$44+$AG$44*0.00759)
+COUNTIF(I21,"Cenaze Yardımı (İşçi-Tabii Sebepler Sonucu)")*($AG$45+$AG$45*0.00759)
+COUNTIF(I21,"Doğal Afet Yardımı")*($AG$46+$AG$46*0.00759)
+COUNTIF(I21,"Eğitim Yardımı (Çocuk-İlköğretim)")*(0)
+COUNTIF(I21,"Eğitim Yardımı (Çocuk-Ortaöğretim)")*(0)
+COUNTIF(I21,"Eğitim Yardımı (Çocuk-Lise)")*(0)
+COUNTIF(I21,"Eğitim Yardımı (Çocuk-Yükseköğretim)")*(0)
+COUNTIF(I21,"Eğitim Yardımı (İşçi-Lise)")*(0)
+COUNTIF(I21,"Eğitim Yardımı (İşçi-Yükseköğretim)")*(0)
+COUNTIF(I21,"Evlilik Yardımı")*($AG$53+$AG$53*0.00759)
+COUNTIF(I21,"Gıda Yardımı")*(0)
+COUNTIF(I21,"İş Kazası veya Meslek Hastalığı Tazminatı")*($AG$55+$AG$55*0.00759)</f>
        <v>0</v>
      </c>
      <c r="AX7" s="56">
        <f>COUNTIF(G21,"Yok")*(0)
+COUNTIF(G21,"Askerlik Yardımı")*($AG$41)
+COUNTIF(G21,"Cenaze Yardımı (Anne-Baba)")*($AG$42)
+COUNTIF(G21,"Cenaze Yardımı (Eş-Çocuk)")*($AG$43)
+COUNTIF(G21,"Cenaze Yardımı (İşçi-İş Kazası Sonucu)")*($AG$44)
+COUNTIF(G21,"Cenaze Yardımı (İşçi-Tabii Sebepler Sonucu)")*($AG$45)
+COUNTIF(G21,"Doğal Afet Yardımı")*($AG$46)
+COUNTIF(G21,"Eğitim Yardımı (Çocuk-İlköğretim)")*($AG$47)
+COUNTIF(G21,"Eğitim Yardımı (Çocuk-Ortaöğretim)")*($AG$48)
+COUNTIF(G21,"Eğitim Yardımı (Çocuk-Lise)")*($AG$49)
+COUNTIF(G21,"Eğitim Yardımı (Çocuk-Yükseköğretim)")*($AG$50)
+COUNTIF(G21,"Eğitim Yardımı (İşçi-Lise)")*($AG$51)
+COUNTIF(G21,"Eğitim Yardımı (İşçi-Yükseköğretim)")*($AG$52)
+COUNTIF(G21,"Evlilik Yardımı")*($AG$53)
+COUNTIF(G21,"Gıda Yardımı")*($AG$54)
+COUNTIF(G21,"İş Kazası veya Meslek Hastalığı Tazminatı")*($AG$55)
+COUNTIF(H21,"Yok")*(0)
+COUNTIF(H21,"Askerlik Yardımı")*($AG$41)
+COUNTIF(H21,"Cenaze Yardımı (Anne-Baba)")*($AG$42)
+COUNTIF(H21,"Cenaze Yardımı (Eş-Çocuk)")*($AG$43)
+COUNTIF(H21,"Cenaze Yardımı (İşçi-İş Kazası Sonucu)")*($AG$44)
+COUNTIF(H21,"Cenaze Yardımı (İşçi-Tabii Sebepler Sonucu)")*($AG$45)
+COUNTIF(H21,"Doğal Afet Yardımı")*($AG$46)
+COUNTIF(H21,"Eğitim Yardımı (Çocuk-İlköğretim)")*($AG$47)
+COUNTIF(H21,"Eğitim Yardımı (Çocuk-Ortaöğretim)")*($AG$48)
+COUNTIF(H21,"Eğitim Yardımı (Çocuk-Lise)")*($AG$49)
+COUNTIF(H21,"Eğitim Yardımı (Çocuk-Yükseköğretim)")*($AG$50)
+COUNTIF(H21,"Eğitim Yardımı (İşçi-Lise)")*($AG$51)
+COUNTIF(H21,"Eğitim Yardımı (İşçi-Yükseköğretim)")*($AG$52)
+COUNTIF(H21,"Evlilik Yardımı")*($AG$53)
+COUNTIF(H21,"Gıda Yardımı")*($AG$54)
+COUNTIF(H21,"İş Kazası veya Meslek Hastalığı Tazminatı")*($AG$55)
+COUNTIF(I21,"Yok")*(0)
+COUNTIF(I21,"Askerlik Yardımı")*($AG$41)
+COUNTIF(I21,"Cenaze Yardımı (Anne-Baba)")*($AG$42)
+COUNTIF(I21,"Cenaze Yardımı (Eş-Çocuk)")*($AG$43)
+COUNTIF(I21,"Cenaze Yardımı (İşçi-İş Kazası Sonucu)")*($AG$44)
+COUNTIF(I21,"Cenaze Yardımı (İşçi-Tabii Sebepler Sonucu)")*($AG$45)
+COUNTIF(I21,"Doğal Afet Yardımı")*($AG$46)
+COUNTIF(I21,"Eğitim Yardımı (Çocuk-İlköğretim)")*($AG$47)
+COUNTIF(I21,"Eğitim Yardımı (Çocuk-Ortaöğretim)")*($AG$48)
+COUNTIF(I21,"Eğitim Yardımı (Çocuk-Lise)")*($AG$49)
+COUNTIF(I21,"Eğitim Yardımı (Çocuk-Yükseköğretim)")*($AG$50)
+COUNTIF(I21,"Eğitim Yardımı (İşçi-Lise)")*($AG$51)
+COUNTIF(I21,"Eğitim Yardımı (İşçi-Yükseköğretim)")*($AG$52)
+COUNTIF(I21,"Evlilik Yardımı")*($AG$53)
+COUNTIF(I21,"Gıda Yardımı")*($AG$54)
+COUNTIF(I21,"İş Kazası veya Meslek Hastalığı Tazminatı")*($AG$55)</f>
        <v>0</v>
      </c>
      <c r="AY7" s="57" t="s">
        <v>9</v>
      </c>
      <c r="AZ7" s="55">
        <f ca="1">COUNTIF(AY7,"Var")*(AJ7*0.9*-1)</f>
        <v>-2347.8099677419359</v>
      </c>
      <c r="BA7" s="55">
        <f t="shared" ca="1" si="1"/>
        <v>2347.8099677419359</v>
      </c>
      <c r="BD7" s="58">
        <v>5</v>
      </c>
      <c r="BE7" s="60">
        <v>2.5</v>
      </c>
      <c r="BF7" s="61">
        <v>7.0000000000000007E-2</v>
      </c>
    </row>
    <row r="8" spans="1:58" ht="39.950000000000003" customHeight="1" x14ac:dyDescent="0.25">
      <c r="A8" s="45"/>
      <c r="B8" s="14"/>
      <c r="C8" s="2"/>
      <c r="D8" s="2"/>
      <c r="E8" s="3"/>
      <c r="F8" s="2"/>
      <c r="G8" s="15"/>
      <c r="H8" s="16"/>
      <c r="I8" s="17"/>
      <c r="J8" s="2"/>
      <c r="K8" s="2"/>
      <c r="L8" s="2"/>
      <c r="M8" s="7"/>
      <c r="N8" s="50"/>
      <c r="O8" s="8"/>
      <c r="P8" s="51"/>
      <c r="Q8" s="18"/>
      <c r="R8" s="19"/>
      <c r="S8" s="20"/>
      <c r="T8" s="21"/>
      <c r="U8" s="52" t="s">
        <v>7</v>
      </c>
      <c r="V8" s="53">
        <f t="shared" ca="1" si="2"/>
        <v>3597.5496671760325</v>
      </c>
      <c r="W8" s="53">
        <f ca="1">COUNTIF(N1,"Ocak")*(AU43)
+COUNTIF(N1,"Şubat")*(AU44)
+COUNTIF(N1,"Mart")*(AU45)
+COUNTIF(N1,"Nisan")*(AU46)
+COUNTIF(N1,"Mayıs")*(AU47)
+COUNTIF(N1,"Haziran")*(AU48)
+COUNTIF(N1,"Temmuz")*(AU49)
+COUNTIF(N1,"Ağustos")*(AU50)
+COUNTIF(N1,"Eylül")*(AU51)
+COUNTIF(N1,"Ekim")*(AU52)
+COUNTIF(N1,"Kasım")*(AU53)
+COUNTIF(N1,"Aralık")*(AU54)
+COUNTIF(N1,"Yıllık Toplam")*(AU55)
+COUNTIF(N1,"Yıllık Ortalama")*(AU56)</f>
        <v>3597.5496671760325</v>
      </c>
      <c r="X8" s="59"/>
      <c r="Y8" s="59"/>
      <c r="Z8" s="59"/>
      <c r="AA8" s="59"/>
      <c r="AB8" s="59"/>
      <c r="AC8" s="59"/>
      <c r="AD8" s="52" t="s">
        <v>0</v>
      </c>
      <c r="AE8" s="52" t="s">
        <v>0</v>
      </c>
      <c r="AF8" s="53">
        <f>($AF$19)</f>
        <v>253.13900000000001</v>
      </c>
      <c r="AG8" s="53">
        <f>($AG$19)</f>
        <v>253.13900000000001</v>
      </c>
      <c r="AH8" s="53">
        <f ca="1">(AI8/BB80)</f>
        <v>2793.5749131193816</v>
      </c>
      <c r="AI8" s="53">
        <f>COUNTIF($A$1,"Deniz Taksi / Kaptan")*($AF$1)
+COUNTIF($A$1,"Deniz Taksi / Gemici")*($AF$2)</f>
        <v>1712.21</v>
      </c>
      <c r="AJ8" s="53">
        <f ca="1">AM22/AJ22</f>
        <v>2559.1061290322577</v>
      </c>
      <c r="AK8" s="53">
        <f>COUNTIF($A$1,"Deniz Taksi / Kaptan")*($AF$1)
+COUNTIF($A$1,"Deniz Taksi / Gemici")*($AF$2)</f>
        <v>1712.21</v>
      </c>
      <c r="AL8" s="55">
        <f ca="1">(AM8/BB80)</f>
        <v>0</v>
      </c>
      <c r="AM8" s="55">
        <f>(60*C22)</f>
        <v>0</v>
      </c>
      <c r="AN8" s="55">
        <f ca="1">(AO8/BB80)</f>
        <v>29332.536587753508</v>
      </c>
      <c r="AO8" s="55">
        <f>(AI8/8*1.4*D22)</f>
        <v>17978.205000000002</v>
      </c>
      <c r="AP8" s="55">
        <f ca="1">(AQ8/BB80)</f>
        <v>0</v>
      </c>
      <c r="AQ8" s="55">
        <f>(AI8/8*2*E22)</f>
        <v>0</v>
      </c>
      <c r="AR8" s="55">
        <f ca="1">(AS8+AQ22*-1+AU22*-1+AP36*-1+AT36*-1)</f>
        <v>10226.650000000001</v>
      </c>
      <c r="AS8" s="55">
        <f>(325*F22)</f>
        <v>8450</v>
      </c>
      <c r="AT8" s="55">
        <f ca="1">ROUND((AS8+AQ22*-1+AU22*-1+AP36*-1+AT36*-1),2)</f>
        <v>10226.65</v>
      </c>
      <c r="AU8" s="55">
        <f ca="1">IF($AG$15*F22&gt;=AT8,AT8,$AG$15*F22)</f>
        <v>6240</v>
      </c>
      <c r="AV8" s="56">
        <f ca="1">COUNTIF(G22,"Yok")*(0)
+COUNTIF(G22,"Askerlik Yardımı")*($AG$41/BB80)
+COUNTIF(G22,"Cenaze Yardımı (Anne-Baba)")*($AG$42+$AG$42*0.00759)
+COUNTIF(G22,"Cenaze Yardımı (Eş-Çocuk)")*($AG$43+$AG$43*0.00759)
+COUNTIF(G22,"Cenaze Yardımı (İşçi-İş Kazası Sonucu)")*($AG$44+$AG$44*0.00759)
+COUNTIF(G22,"Cenaze Yardımı (İşçi-Tabii Sebepler Sonucu)")*($AG$45+$AG$45*0.00759)
+COUNTIF(G22,"Doğal Afet Yardımı")*($AG$46+$AG$46*0.00759)
+COUNTIF(G22,"Eğitim Yardımı (Çocuk-İlköğretim)")*($AG$47/BB80)
+COUNTIF(G22,"Eğitim Yardımı (Çocuk-Ortaöğretim)")*($AG$48/BB80)
+COUNTIF(G22,"Eğitim Yardımı (Çocuk-Lise)")*($AG$49/BB80)
+COUNTIF(G22,"Eğitim Yardımı (Çocuk-Yükseköğretim)")*($AG$50/BB80)
+COUNTIF(G22,"Eğitim Yardımı (İşçi-Lise)")*($AG$51/BB80)
+COUNTIF(G22,"Eğitim Yardımı (İşçi-Yükseköğretim)")*($AG$52/BB80)
+COUNTIF(G22,"Evlilik Yardımı")*($AG$53+$AG$53*0.00759)
+COUNTIF(G22,"Gıda Yardımı")*($AG$54/BB80)
+COUNTIF(G22,"İş Kazası veya Meslek Hastalığı Tazminatı")*($AG$55+$AG$55*0.00759)
+COUNTIF(H22,"Yok")*(0)
+COUNTIF(H22,"Askerlik Yardımı")*($AG$41/BB80)
+COUNTIF(H22,"Cenaze Yardımı (Anne-Baba)")*($AG$42+$AG$42*0.00759)
+COUNTIF(H22,"Cenaze Yardımı (Eş-Çocuk)")*($AG$43+$AG$43*0.00759)
+COUNTIF(H22,"Cenaze Yardımı (İşçi-İş Kazası Sonucu)")*($AG$44+$AG$44*0.00759)
+COUNTIF(H22,"Cenaze Yardımı (İşçi-Tabii Sebepler Sonucu)")*($AG$45+$AG$45*0.00759)
+COUNTIF(H22,"Doğal Afet Yardımı")*($AG$46+$AG$46*0.00759)
+COUNTIF(H22,"Eğitim Yardımı (Çocuk-İlköğretim)")*($AG$47/BB80)
+COUNTIF(H22,"Eğitim Yardımı (Çocuk-Ortaöğretim)")*($AG$48/BB80)
+COUNTIF(H22,"Eğitim Yardımı (Çocuk-Lise)")*($AG$49/BB80)
+COUNTIF(H22,"Eğitim Yardımı (Çocuk-Yükseköğretim)")*($AG$50/BB80)
+COUNTIF(H22,"Eğitim Yardımı (İşçi-Lise)")*($AG$51/BB80)
+COUNTIF(H22,"Eğitim Yardımı (İşçi-Yükseköğretim)")*($AG$52/BB80)
+COUNTIF(H22,"Evlilik Yardımı")*($AG$53+$AG$53*0.00759)
+COUNTIF(H22,"Gıda Yardımı")*($AG$54/BB80)
+COUNTIF(H22,"İş Kazası veya Meslek Hastalığı Tazminatı")*($AG$55+$AG$55*0.00759)
+COUNTIF(I22,"Yok")*(0)
+COUNTIF(I22,"Askerlik Yardımı")*($AG$41/BB80)
+COUNTIF(I22,"Cenaze Yardımı (Anne-Baba)")*($AG$42+$AG$42*0.00759)
+COUNTIF(I22,"Cenaze Yardımı (Eş-Çocuk)")*($AG$43+$AG$43*0.00759)
+COUNTIF(I22,"Cenaze Yardımı (İşçi-İş Kazası Sonucu)")*($AG$44+$AG$44*0.00759)
+COUNTIF(I22,"Cenaze Yardımı (İşçi-Tabii Sebepler Sonucu)")*($AG$45+$AG$45*0.00759)
+COUNTIF(I22,"Doğal Afet Yardımı")*($AG$46+$AG$46*0.00759)
+COUNTIF(I22,"Eğitim Yardımı (Çocuk-İlköğretim)")*($AG$47/BB80)
+COUNTIF(I22,"Eğitim Yardımı (Çocuk-Ortaöğretim)")*($AG$48/BB80)
+COUNTIF(I22,"Eğitim Yardımı (Çocuk-Lise)")*($AG$49/BB80)
+COUNTIF(I22,"Eğitim Yardımı (Çocuk-Yükseköğretim)")*($AG$50/BB80)
+COUNTIF(I22,"Eğitim Yardımı (İşçi-Lise)")*($AG$51/BB80)
+COUNTIF(I22,"Eğitim Yardımı (İşçi-Yükseköğretim)")*($AG$52/BB80)
+COUNTIF(I22,"Evlilik Yardımı")*($AG$53+$AG$53*0.00759)
+COUNTIF(I22,"Gıda Yardımı")*($AG$54/BB80)
+COUNTIF(I22,"İş Kazası veya Meslek Hastalığı Tazminatı")*($AG$55+$AG$55*0.00759)</f>
        <v>0</v>
      </c>
      <c r="AW8" s="56">
        <f>COUNTIF(G22,"Yok")*(0)
+COUNTIF(G22,"Askerlik Yardımı")*(0)
+COUNTIF(G22,"Cenaze Yardımı (Anne-Baba)")*($AG$42+$AG$42*0.00759)
+COUNTIF(G22,"Cenaze Yardımı (Eş-Çocuk)")*($AG$43+$AG$43*0.00759)
+COUNTIF(G22,"Cenaze Yardımı (İşçi-İş Kazası Sonucu)")*($AG$44+$AG$44*0.00759)
+COUNTIF(G22,"Cenaze Yardımı (İşçi-Tabii Sebepler Sonucu)")*($AG$45+$AG$45*0.00759)
+COUNTIF(G22,"Doğal Afet Yardımı")*($AG$46+$AG$46*0.00759)
+COUNTIF(G22,"Eğitim Yardımı (Çocuk-İlköğretim)")*(0)
+COUNTIF(G22,"Eğitim Yardımı (Çocuk-Ortaöğretim)")*(0)
+COUNTIF(G22,"Eğitim Yardımı (Çocuk-Lise)")*(0)
+COUNTIF(G22,"Eğitim Yardımı (Çocuk-Yükseköğretim)")*(0)
+COUNTIF(G22,"Eğitim Yardımı (İşçi-Lise)")*(0)
+COUNTIF(G22,"Eğitim Yardımı (İşçi-Yükseköğretim)")*(0)
+COUNTIF(G22,"Evlilik Yardımı")*($AG$53+$AG$53*0.00759)
+COUNTIF(G22,"Gıda Yardımı")*(0)
+COUNTIF(G22,"İş Kazası veya Meslek Hastalığı Tazminatı")*($AG$55+$AG$55*0.00759)
+COUNTIF(H22,"Yok")*(0)
+COUNTIF(H22,"Askerlik Yardımı")*(0)
+COUNTIF(H22,"Cenaze Yardımı (Anne-Baba)")*($AG$42+$AG$42*0.00759)
+COUNTIF(H22,"Cenaze Yardımı (Eş-Çocuk)")*($AG$43+$AG$43*0.00759)
+COUNTIF(H22,"Cenaze Yardımı (İşçi-İş Kazası Sonucu)")*($AG$44+$AG$44*0.00759)
+COUNTIF(H22,"Cenaze Yardımı (İşçi-Tabii Sebepler Sonucu)")*($AG$45+$AG$45*0.00759)
+COUNTIF(H22,"Doğal Afet Yardımı")*($AG$46+$AG$46*0.00759)
+COUNTIF(H22,"Eğitim Yardımı (Çocuk-İlköğretim)")*(0)
+COUNTIF(H22,"Eğitim Yardımı (Çocuk-Ortaöğretim)")*(0)
+COUNTIF(H22,"Eğitim Yardımı (Çocuk-Lise)")*(0)
+COUNTIF(H22,"Eğitim Yardımı (Çocuk-Yükseköğretim)")*(0)
+COUNTIF(H22,"Eğitim Yardımı (İşçi-Lise)")*(0)
+COUNTIF(H22,"Eğitim Yardımı (İşçi-Yükseköğretim)")*(0)
+COUNTIF(H22,"Evlilik Yardımı")*($AG$53+$AG$53*0.00759)
+COUNTIF(H22,"Gıda Yardımı")*(0)
+COUNTIF(H22,"İş Kazası veya Meslek Hastalığı Tazminatı")*($AG$55+$AG$55*0.00759)
+COUNTIF(I22,"Yok")*(0)
+COUNTIF(I22,"Askerlik Yardımı")*(0)
+COUNTIF(I22,"Cenaze Yardımı (Anne-Baba)")*($AG$42+$AG$42*0.00759)
+COUNTIF(I22,"Cenaze Yardımı (Eş-Çocuk)")*($AG$43+$AG$43*0.00759)
+COUNTIF(I22,"Cenaze Yardımı (İşçi-İş Kazası Sonucu)")*($AG$44+$AG$44*0.00759)
+COUNTIF(I22,"Cenaze Yardımı (İşçi-Tabii Sebepler Sonucu)")*($AG$45+$AG$45*0.00759)
+COUNTIF(I22,"Doğal Afet Yardımı")*($AG$46+$AG$46*0.00759)
+COUNTIF(I22,"Eğitim Yardımı (Çocuk-İlköğretim)")*(0)
+COUNTIF(I22,"Eğitim Yardımı (Çocuk-Ortaöğretim)")*(0)
+COUNTIF(I22,"Eğitim Yardımı (Çocuk-Lise)")*(0)
+COUNTIF(I22,"Eğitim Yardımı (Çocuk-Yükseköğretim)")*(0)
+COUNTIF(I22,"Eğitim Yardımı (İşçi-Lise)")*(0)
+COUNTIF(I22,"Eğitim Yardımı (İşçi-Yükseköğretim)")*(0)
+COUNTIF(I22,"Evlilik Yardımı")*($AG$53+$AG$53*0.00759)
+COUNTIF(I22,"Gıda Yardımı")*(0)
+COUNTIF(I22,"İş Kazası veya Meslek Hastalığı Tazminatı")*($AG$55+$AG$55*0.00759)</f>
        <v>0</v>
      </c>
      <c r="AX8" s="56">
        <f>COUNTIF(G22,"Yok")*(0)
+COUNTIF(G22,"Askerlik Yardımı")*($AG$41)
+COUNTIF(G22,"Cenaze Yardımı (Anne-Baba)")*($AG$42)
+COUNTIF(G22,"Cenaze Yardımı (Eş-Çocuk)")*($AG$43)
+COUNTIF(G22,"Cenaze Yardımı (İşçi-İş Kazası Sonucu)")*($AG$44)
+COUNTIF(G22,"Cenaze Yardımı (İşçi-Tabii Sebepler Sonucu)")*($AG$45)
+COUNTIF(G22,"Doğal Afet Yardımı")*($AG$46)
+COUNTIF(G22,"Eğitim Yardımı (Çocuk-İlköğretim)")*($AG$47)
+COUNTIF(G22,"Eğitim Yardımı (Çocuk-Ortaöğretim)")*($AG$48)
+COUNTIF(G22,"Eğitim Yardımı (Çocuk-Lise)")*($AG$49)
+COUNTIF(G22,"Eğitim Yardımı (Çocuk-Yükseköğretim)")*($AG$50)
+COUNTIF(G22,"Eğitim Yardımı (İşçi-Lise)")*($AG$51)
+COUNTIF(G22,"Eğitim Yardımı (İşçi-Yükseköğretim)")*($AG$52)
+COUNTIF(G22,"Evlilik Yardımı")*($AG$53)
+COUNTIF(G22,"Gıda Yardımı")*($AG$54)
+COUNTIF(G22,"İş Kazası veya Meslek Hastalığı Tazminatı")*($AG$55)
+COUNTIF(H22,"Yok")*(0)
+COUNTIF(H22,"Askerlik Yardımı")*($AG$41)
+COUNTIF(H22,"Cenaze Yardımı (Anne-Baba)")*($AG$42)
+COUNTIF(H22,"Cenaze Yardımı (Eş-Çocuk)")*($AG$43)
+COUNTIF(H22,"Cenaze Yardımı (İşçi-İş Kazası Sonucu)")*($AG$44)
+COUNTIF(H22,"Cenaze Yardımı (İşçi-Tabii Sebepler Sonucu)")*($AG$45)
+COUNTIF(H22,"Doğal Afet Yardımı")*($AG$46)
+COUNTIF(H22,"Eğitim Yardımı (Çocuk-İlköğretim)")*($AG$47)
+COUNTIF(H22,"Eğitim Yardımı (Çocuk-Ortaöğretim)")*($AG$48)
+COUNTIF(H22,"Eğitim Yardımı (Çocuk-Lise)")*($AG$49)
+COUNTIF(H22,"Eğitim Yardımı (Çocuk-Yükseköğretim)")*($AG$50)
+COUNTIF(H22,"Eğitim Yardımı (İşçi-Lise)")*($AG$51)
+COUNTIF(H22,"Eğitim Yardımı (İşçi-Yükseköğretim)")*($AG$52)
+COUNTIF(H22,"Evlilik Yardımı")*($AG$53)
+COUNTIF(H22,"Gıda Yardımı")*($AG$54)
+COUNTIF(H22,"İş Kazası veya Meslek Hastalığı Tazminatı")*($AG$55)
+COUNTIF(I22,"Yok")*(0)
+COUNTIF(I22,"Askerlik Yardımı")*($AG$41)
+COUNTIF(I22,"Cenaze Yardımı (Anne-Baba)")*($AG$42)
+COUNTIF(I22,"Cenaze Yardımı (Eş-Çocuk)")*($AG$43)
+COUNTIF(I22,"Cenaze Yardımı (İşçi-İş Kazası Sonucu)")*($AG$44)
+COUNTIF(I22,"Cenaze Yardımı (İşçi-Tabii Sebepler Sonucu)")*($AG$45)
+COUNTIF(I22,"Doğal Afet Yardımı")*($AG$46)
+COUNTIF(I22,"Eğitim Yardımı (Çocuk-İlköğretim)")*($AG$47)
+COUNTIF(I22,"Eğitim Yardımı (Çocuk-Ortaöğretim)")*($AG$48)
+COUNTIF(I22,"Eğitim Yardımı (Çocuk-Lise)")*($AG$49)
+COUNTIF(I22,"Eğitim Yardımı (Çocuk-Yükseköğretim)")*($AG$50)
+COUNTIF(I22,"Eğitim Yardımı (İşçi-Lise)")*($AG$51)
+COUNTIF(I22,"Eğitim Yardımı (İşçi-Yükseköğretim)")*($AG$52)
+COUNTIF(I22,"Evlilik Yardımı")*($AG$53)
+COUNTIF(I22,"Gıda Yardımı")*($AG$54)
+COUNTIF(I22,"İş Kazası veya Meslek Hastalığı Tazminatı")*($AG$55)</f>
        <v>0</v>
      </c>
      <c r="AY8" s="57" t="s">
        <v>9</v>
      </c>
      <c r="AZ8" s="55">
        <f ca="1">COUNTIF(AY8,"Var")*(AJ8*0.9*-1)</f>
        <v>-2303.1955161290321</v>
      </c>
      <c r="BA8" s="55">
        <f t="shared" ca="1" si="1"/>
        <v>2303.1955161290321</v>
      </c>
      <c r="BD8" s="58">
        <v>6</v>
      </c>
      <c r="BE8" s="60">
        <v>3</v>
      </c>
      <c r="BF8" s="61">
        <v>0.08</v>
      </c>
    </row>
    <row r="9" spans="1:58" ht="39.950000000000003" customHeight="1" x14ac:dyDescent="0.25">
      <c r="A9" s="45"/>
      <c r="B9" s="14"/>
      <c r="C9" s="2"/>
      <c r="D9" s="2"/>
      <c r="E9" s="3"/>
      <c r="F9" s="2"/>
      <c r="G9" s="15"/>
      <c r="H9" s="16"/>
      <c r="I9" s="17"/>
      <c r="J9" s="2"/>
      <c r="K9" s="2"/>
      <c r="L9" s="2"/>
      <c r="M9" s="7"/>
      <c r="N9" s="50"/>
      <c r="O9" s="8"/>
      <c r="P9" s="51"/>
      <c r="Q9" s="18"/>
      <c r="R9" s="19"/>
      <c r="S9" s="20"/>
      <c r="T9" s="21"/>
      <c r="U9" s="52" t="s">
        <v>83</v>
      </c>
      <c r="V9" s="53">
        <f t="shared" ref="V9" si="3">IF(W9&gt;0,W9,W9*-1)</f>
        <v>0</v>
      </c>
      <c r="W9" s="53">
        <f>COUNTIF(N1,"Ocak")*(AX43)
+COUNTIF(N1,"Şubat")*(AX44)
+COUNTIF(N1,"Mart")*(AX45)
+COUNTIF(N1,"Nisan")*(AX46)
+COUNTIF(N1,"Mayıs")*(AX47)
+COUNTIF(N1,"Haziran")*(AX48)
+COUNTIF(N1,"Temmuz")*(AX49)
+COUNTIF(N1,"Ağustos")*(AX50)
+COUNTIF(N1,"Eylül")*(AX51)
+COUNTIF(N1,"Ekim")*(AX52)
+COUNTIF(N1,"Kasım")*(AX53)
+COUNTIF(N1,"Aralık")*(AX54)
+COUNTIF(N1,"Yıllık Toplam")*(AX55)
+COUNTIF(N1,"Yıllık Ortalama")*(AX56)</f>
        <v>0</v>
      </c>
      <c r="X9" s="59"/>
      <c r="Y9" s="59"/>
      <c r="Z9" s="59"/>
      <c r="AA9" s="59"/>
      <c r="AB9" s="59"/>
      <c r="AC9" s="59"/>
      <c r="AD9" s="53" t="s">
        <v>0</v>
      </c>
      <c r="AE9" s="52" t="s">
        <v>0</v>
      </c>
      <c r="AF9" s="53">
        <v>26005.5</v>
      </c>
      <c r="AG9" s="53">
        <v>26005.5</v>
      </c>
      <c r="AH9" s="53">
        <f ca="1">(AI9/BB81)</f>
        <v>3184.6926955017871</v>
      </c>
      <c r="AI9" s="53">
        <f>COUNTIF($A$1,"Deniz Taksi / Kaptan")*($AG$1)
+COUNTIF($A$1,"Deniz Taksi / Gemici")*($AG$2)</f>
        <v>1951.93</v>
      </c>
      <c r="AJ9" s="53">
        <f ca="1">AM23/AJ23</f>
        <v>2933.5236666666665</v>
      </c>
      <c r="AK9" s="53">
        <f>COUNTIF($A$1,"Deniz Taksi / Kaptan")*($AG$1)
+COUNTIF($A$1,"Deniz Taksi / Gemici")*($AG$2)</f>
        <v>1951.93</v>
      </c>
      <c r="AL9" s="55">
        <f ca="1">(AM9/BB81)</f>
        <v>0</v>
      </c>
      <c r="AM9" s="55">
        <f>(60*C23)</f>
        <v>0</v>
      </c>
      <c r="AN9" s="55">
        <f ca="1">(AO9/BB81)</f>
        <v>33439.273302768757</v>
      </c>
      <c r="AO9" s="55">
        <f>(AI9/8*1.4*D23)</f>
        <v>20495.264999999999</v>
      </c>
      <c r="AP9" s="55">
        <f ca="1">(AQ9/BB81)</f>
        <v>0</v>
      </c>
      <c r="AQ9" s="55">
        <f>(AI9/8*2*E23)</f>
        <v>0</v>
      </c>
      <c r="AR9" s="55">
        <f ca="1">(AS9+AQ23*-1+AU23*-1+AP37*-1+AT37*-1)</f>
        <v>10226.650000000001</v>
      </c>
      <c r="AS9" s="55">
        <f>(325*F23)</f>
        <v>8450</v>
      </c>
      <c r="AT9" s="55">
        <f ca="1">ROUND((AS9+AQ23*-1+AU23*-1+AP37*-1+AT37*-1),2)</f>
        <v>10226.65</v>
      </c>
      <c r="AU9" s="55">
        <f ca="1">IF($AG$15*F23&gt;=AT9,AT9,$AG$15*F23)</f>
        <v>6240</v>
      </c>
      <c r="AV9" s="56">
        <f ca="1">COUNTIF(G23,"Yok")*(0)
+COUNTIF(G23,"Askerlik Yardımı")*($AG$41/BB81)
+COUNTIF(G23,"Cenaze Yardımı (Anne-Baba)")*($AG$42+$AG$42*0.00759)
+COUNTIF(G23,"Cenaze Yardımı (Eş-Çocuk)")*($AG$43+$AG$43*0.00759)
+COUNTIF(G23,"Cenaze Yardımı (İşçi-İş Kazası Sonucu)")*($AG$44+$AG$44*0.00759)
+COUNTIF(G23,"Cenaze Yardımı (İşçi-Tabii Sebepler Sonucu)")*($AG$45+$AG$45*0.00759)
+COUNTIF(G23,"Doğal Afet Yardımı")*($AG$46+$AG$46*0.00759)
+COUNTIF(G23,"Eğitim Yardımı (Çocuk-İlköğretim)")*($AG$47/BB81)
+COUNTIF(G23,"Eğitim Yardımı (Çocuk-Ortaöğretim)")*($AG$48/BB81)
+COUNTIF(G23,"Eğitim Yardımı (Çocuk-Lise)")*($AG$49/BB81)
+COUNTIF(G23,"Eğitim Yardımı (Çocuk-Yükseköğretim)")*($AG$50/BB81)
+COUNTIF(G23,"Eğitim Yardımı (İşçi-Lise)")*($AG$51/BB81)
+COUNTIF(G23,"Eğitim Yardımı (İşçi-Yükseköğretim)")*($AG$52/BB81)
+COUNTIF(G23,"Evlilik Yardımı")*($AG$53+$AG$53*0.00759)
+COUNTIF(G23,"Gıda Yardımı")*($AG$54/BB81)
+COUNTIF(G23,"İş Kazası veya Meslek Hastalığı Tazminatı")*($AG$55+$AG$55*0.00759)
+COUNTIF(H23,"Yok")*(0)
+COUNTIF(H23,"Askerlik Yardımı")*($AG$41/BB81)
+COUNTIF(H23,"Cenaze Yardımı (Anne-Baba)")*($AG$42+$AG$42*0.00759)
+COUNTIF(H23,"Cenaze Yardımı (Eş-Çocuk)")*($AG$43+$AG$43*0.00759)
+COUNTIF(H23,"Cenaze Yardımı (İşçi-İş Kazası Sonucu)")*($AG$44+$AG$44*0.00759)
+COUNTIF(H23,"Cenaze Yardımı (İşçi-Tabii Sebepler Sonucu)")*($AG$45+$AG$45*0.00759)
+COUNTIF(H23,"Doğal Afet Yardımı")*($AG$46+$AG$46*0.00759)
+COUNTIF(H23,"Eğitim Yardımı (Çocuk-İlköğretim)")*($AG$47/BB81)
+COUNTIF(H23,"Eğitim Yardımı (Çocuk-Ortaöğretim)")*($AG$48/BB81)
+COUNTIF(H23,"Eğitim Yardımı (Çocuk-Lise)")*($AG$49/BB81)
+COUNTIF(H23,"Eğitim Yardımı (Çocuk-Yükseköğretim)")*($AG$50/BB81)
+COUNTIF(H23,"Eğitim Yardımı (İşçi-Lise)")*($AG$51/BB81)
+COUNTIF(H23,"Eğitim Yardımı (İşçi-Yükseköğretim)")*($AG$52/BB81)
+COUNTIF(H23,"Evlilik Yardımı")*($AG$53+$AG$53*0.00759)
+COUNTIF(H23,"Gıda Yardımı")*($AG$54/BB81)
+COUNTIF(H23,"İş Kazası veya Meslek Hastalığı Tazminatı")*($AG$55+$AG$55*0.00759)
+COUNTIF(I23,"Yok")*(0)
+COUNTIF(I23,"Askerlik Yardımı")*($AG$41/BB81)
+COUNTIF(I23,"Cenaze Yardımı (Anne-Baba)")*($AG$42+$AG$42*0.00759)
+COUNTIF(I23,"Cenaze Yardımı (Eş-Çocuk)")*($AG$43+$AG$43*0.00759)
+COUNTIF(I23,"Cenaze Yardımı (İşçi-İş Kazası Sonucu)")*($AG$44+$AG$44*0.00759)
+COUNTIF(I23,"Cenaze Yardımı (İşçi-Tabii Sebepler Sonucu)")*($AG$45+$AG$45*0.00759)
+COUNTIF(I23,"Doğal Afet Yardımı")*($AG$46+$AG$46*0.00759)
+COUNTIF(I23,"Eğitim Yardımı (Çocuk-İlköğretim)")*($AG$47/BB81)
+COUNTIF(I23,"Eğitim Yardımı (Çocuk-Ortaöğretim)")*($AG$48/BB81)
+COUNTIF(I23,"Eğitim Yardımı (Çocuk-Lise)")*($AG$49/BB81)
+COUNTIF(I23,"Eğitim Yardımı (Çocuk-Yükseköğretim)")*($AG$50/BB81)
+COUNTIF(I23,"Eğitim Yardımı (İşçi-Lise)")*($AG$51/BB81)
+COUNTIF(I23,"Eğitim Yardımı (İşçi-Yükseköğretim)")*($AG$52/BB81)
+COUNTIF(I23,"Evlilik Yardımı")*($AG$53+$AG$53*0.00759)
+COUNTIF(I23,"Gıda Yardımı")*($AG$54/BB81)
+COUNTIF(I23,"İş Kazası veya Meslek Hastalığı Tazminatı")*($AG$55+$AG$55*0.00759)</f>
        <v>0</v>
      </c>
      <c r="AW9" s="56">
        <f>COUNTIF(G23,"Yok")*(0)
+COUNTIF(G23,"Askerlik Yardımı")*(0)
+COUNTIF(G23,"Cenaze Yardımı (Anne-Baba)")*($AG$42+$AG$42*0.00759)
+COUNTIF(G23,"Cenaze Yardımı (Eş-Çocuk)")*($AG$43+$AG$43*0.00759)
+COUNTIF(G23,"Cenaze Yardımı (İşçi-İş Kazası Sonucu)")*($AG$44+$AG$44*0.00759)
+COUNTIF(G23,"Cenaze Yardımı (İşçi-Tabii Sebepler Sonucu)")*($AG$45+$AG$45*0.00759)
+COUNTIF(G23,"Doğal Afet Yardımı")*($AG$46+$AG$46*0.00759)
+COUNTIF(G23,"Eğitim Yardımı (Çocuk-İlköğretim)")*(0)
+COUNTIF(G23,"Eğitim Yardımı (Çocuk-Ortaöğretim)")*(0)
+COUNTIF(G23,"Eğitim Yardımı (Çocuk-Lise)")*(0)
+COUNTIF(G23,"Eğitim Yardımı (Çocuk-Yükseköğretim)")*(0)
+COUNTIF(G23,"Eğitim Yardımı (İşçi-Lise)")*(0)
+COUNTIF(G23,"Eğitim Yardımı (İşçi-Yükseköğretim)")*(0)
+COUNTIF(G23,"Evlilik Yardımı")*($AG$53+$AG$53*0.00759)
+COUNTIF(G23,"Gıda Yardımı")*(0)
+COUNTIF(G23,"İş Kazası veya Meslek Hastalığı Tazminatı")*($AG$55+$AG$55*0.00759)
+COUNTIF(H23,"Yok")*(0)
+COUNTIF(H23,"Askerlik Yardımı")*(0)
+COUNTIF(H23,"Cenaze Yardımı (Anne-Baba)")*($AG$42+$AG$42*0.00759)
+COUNTIF(H23,"Cenaze Yardımı (Eş-Çocuk)")*($AG$43+$AG$43*0.00759)
+COUNTIF(H23,"Cenaze Yardımı (İşçi-İş Kazası Sonucu)")*($AG$44+$AG$44*0.00759)
+COUNTIF(H23,"Cenaze Yardımı (İşçi-Tabii Sebepler Sonucu)")*($AG$45+$AG$45*0.00759)
+COUNTIF(H23,"Doğal Afet Yardımı")*($AG$46+$AG$46*0.00759)
+COUNTIF(H23,"Eğitim Yardımı (Çocuk-İlköğretim)")*(0)
+COUNTIF(H23,"Eğitim Yardımı (Çocuk-Ortaöğretim)")*(0)
+COUNTIF(H23,"Eğitim Yardımı (Çocuk-Lise)")*(0)
+COUNTIF(H23,"Eğitim Yardımı (Çocuk-Yükseköğretim)")*(0)
+COUNTIF(H23,"Eğitim Yardımı (İşçi-Lise)")*(0)
+COUNTIF(H23,"Eğitim Yardımı (İşçi-Yükseköğretim)")*(0)
+COUNTIF(H23,"Evlilik Yardımı")*($AG$53+$AG$53*0.00759)
+COUNTIF(H23,"Gıda Yardımı")*(0)
+COUNTIF(H23,"İş Kazası veya Meslek Hastalığı Tazminatı")*($AG$55+$AG$55*0.00759)
+COUNTIF(I23,"Yok")*(0)
+COUNTIF(I23,"Askerlik Yardımı")*(0)
+COUNTIF(I23,"Cenaze Yardımı (Anne-Baba)")*($AG$42+$AG$42*0.00759)
+COUNTIF(I23,"Cenaze Yardımı (Eş-Çocuk)")*($AG$43+$AG$43*0.00759)
+COUNTIF(I23,"Cenaze Yardımı (İşçi-İş Kazası Sonucu)")*($AG$44+$AG$44*0.00759)
+COUNTIF(I23,"Cenaze Yardımı (İşçi-Tabii Sebepler Sonucu)")*($AG$45+$AG$45*0.00759)
+COUNTIF(I23,"Doğal Afet Yardımı")*($AG$46+$AG$46*0.00759)
+COUNTIF(I23,"Eğitim Yardımı (Çocuk-İlköğretim)")*(0)
+COUNTIF(I23,"Eğitim Yardımı (Çocuk-Ortaöğretim)")*(0)
+COUNTIF(I23,"Eğitim Yardımı (Çocuk-Lise)")*(0)
+COUNTIF(I23,"Eğitim Yardımı (Çocuk-Yükseköğretim)")*(0)
+COUNTIF(I23,"Eğitim Yardımı (İşçi-Lise)")*(0)
+COUNTIF(I23,"Eğitim Yardımı (İşçi-Yükseköğretim)")*(0)
+COUNTIF(I23,"Evlilik Yardımı")*($AG$53+$AG$53*0.00759)
+COUNTIF(I23,"Gıda Yardımı")*(0)
+COUNTIF(I23,"İş Kazası veya Meslek Hastalığı Tazminatı")*($AG$55+$AG$55*0.00759)</f>
        <v>0</v>
      </c>
      <c r="AX9" s="56">
        <f>COUNTIF(G23,"Yok")*(0)
+COUNTIF(G23,"Askerlik Yardımı")*($AG$41)
+COUNTIF(G23,"Cenaze Yardımı (Anne-Baba)")*($AG$42)
+COUNTIF(G23,"Cenaze Yardımı (Eş-Çocuk)")*($AG$43)
+COUNTIF(G23,"Cenaze Yardımı (İşçi-İş Kazası Sonucu)")*($AG$44)
+COUNTIF(G23,"Cenaze Yardımı (İşçi-Tabii Sebepler Sonucu)")*($AG$45)
+COUNTIF(G23,"Doğal Afet Yardımı")*($AG$46)
+COUNTIF(G23,"Eğitim Yardımı (Çocuk-İlköğretim)")*($AG$47)
+COUNTIF(G23,"Eğitim Yardımı (Çocuk-Ortaöğretim)")*($AG$48)
+COUNTIF(G23,"Eğitim Yardımı (Çocuk-Lise)")*($AG$49)
+COUNTIF(G23,"Eğitim Yardımı (Çocuk-Yükseköğretim)")*($AG$50)
+COUNTIF(G23,"Eğitim Yardımı (İşçi-Lise)")*($AG$51)
+COUNTIF(G23,"Eğitim Yardımı (İşçi-Yükseköğretim)")*($AG$52)
+COUNTIF(G23,"Evlilik Yardımı")*($AG$53)
+COUNTIF(G23,"Gıda Yardımı")*($AG$54)
+COUNTIF(G23,"İş Kazası veya Meslek Hastalığı Tazminatı")*($AG$55)
+COUNTIF(H23,"Yok")*(0)
+COUNTIF(H23,"Askerlik Yardımı")*($AG$41)
+COUNTIF(H23,"Cenaze Yardımı (Anne-Baba)")*($AG$42)
+COUNTIF(H23,"Cenaze Yardımı (Eş-Çocuk)")*($AG$43)
+COUNTIF(H23,"Cenaze Yardımı (İşçi-İş Kazası Sonucu)")*($AG$44)
+COUNTIF(H23,"Cenaze Yardımı (İşçi-Tabii Sebepler Sonucu)")*($AG$45)
+COUNTIF(H23,"Doğal Afet Yardımı")*($AG$46)
+COUNTIF(H23,"Eğitim Yardımı (Çocuk-İlköğretim)")*($AG$47)
+COUNTIF(H23,"Eğitim Yardımı (Çocuk-Ortaöğretim)")*($AG$48)
+COUNTIF(H23,"Eğitim Yardımı (Çocuk-Lise)")*($AG$49)
+COUNTIF(H23,"Eğitim Yardımı (Çocuk-Yükseköğretim)")*($AG$50)
+COUNTIF(H23,"Eğitim Yardımı (İşçi-Lise)")*($AG$51)
+COUNTIF(H23,"Eğitim Yardımı (İşçi-Yükseköğretim)")*($AG$52)
+COUNTIF(H23,"Evlilik Yardımı")*($AG$53)
+COUNTIF(H23,"Gıda Yardımı")*($AG$54)
+COUNTIF(H23,"İş Kazası veya Meslek Hastalığı Tazminatı")*($AG$55)
+COUNTIF(I23,"Yok")*(0)
+COUNTIF(I23,"Askerlik Yardımı")*($AG$41)
+COUNTIF(I23,"Cenaze Yardımı (Anne-Baba)")*($AG$42)
+COUNTIF(I23,"Cenaze Yardımı (Eş-Çocuk)")*($AG$43)
+COUNTIF(I23,"Cenaze Yardımı (İşçi-İş Kazası Sonucu)")*($AG$44)
+COUNTIF(I23,"Cenaze Yardımı (İşçi-Tabii Sebepler Sonucu)")*($AG$45)
+COUNTIF(I23,"Doğal Afet Yardımı")*($AG$46)
+COUNTIF(I23,"Eğitim Yardımı (Çocuk-İlköğretim)")*($AG$47)
+COUNTIF(I23,"Eğitim Yardımı (Çocuk-Ortaöğretim)")*($AG$48)
+COUNTIF(I23,"Eğitim Yardımı (Çocuk-Lise)")*($AG$49)
+COUNTIF(I23,"Eğitim Yardımı (Çocuk-Yükseköğretim)")*($AG$50)
+COUNTIF(I23,"Eğitim Yardımı (İşçi-Lise)")*($AG$51)
+COUNTIF(I23,"Eğitim Yardımı (İşçi-Yükseköğretim)")*($AG$52)
+COUNTIF(I23,"Evlilik Yardımı")*($AG$53)
+COUNTIF(I23,"Gıda Yardımı")*($AG$54)
+COUNTIF(I23,"İş Kazası veya Meslek Hastalığı Tazminatı")*($AG$55)</f>
        <v>0</v>
      </c>
      <c r="AY9" s="57" t="s">
        <v>9</v>
      </c>
      <c r="AZ9" s="55">
        <f ca="1">COUNTIF(AY9,"Var")*(AJ9*0.9*-1)</f>
        <v>-2640.1713</v>
      </c>
      <c r="BA9" s="55">
        <f t="shared" ca="1" si="1"/>
        <v>2640.1713</v>
      </c>
      <c r="BD9" s="58">
        <v>7</v>
      </c>
      <c r="BE9" s="60">
        <v>3.5</v>
      </c>
      <c r="BF9" s="61">
        <v>0.09</v>
      </c>
    </row>
    <row r="10" spans="1:58" ht="39.950000000000003" customHeight="1" x14ac:dyDescent="0.25">
      <c r="A10" s="45"/>
      <c r="B10" s="14">
        <f>COUNTIF($A$1,"Deniz Taksi / Kaptan")*($AG$1)
+COUNTIF($A$1,"Deniz Taksi / Gemici")*($AG$2)</f>
        <v>1951.93</v>
      </c>
      <c r="C10" s="2"/>
      <c r="D10" s="2"/>
      <c r="E10" s="3"/>
      <c r="F10" s="2"/>
      <c r="G10" s="15"/>
      <c r="H10" s="16"/>
      <c r="I10" s="17"/>
      <c r="J10" s="2"/>
      <c r="K10" s="2"/>
      <c r="L10" s="2"/>
      <c r="M10" s="7"/>
      <c r="N10" s="50"/>
      <c r="O10" s="8"/>
      <c r="P10" s="51"/>
      <c r="Q10" s="18"/>
      <c r="R10" s="19"/>
      <c r="S10" s="20"/>
      <c r="T10" s="21"/>
      <c r="U10" s="52" t="s">
        <v>36</v>
      </c>
      <c r="V10" s="53">
        <f t="shared" ref="V10:V19" si="4">IF(W10&gt;0,W10,W10*-1)</f>
        <v>0</v>
      </c>
      <c r="W10" s="53">
        <f>COUNTIF(N1,"Ocak")*(AX1)
+COUNTIF(N1,"Şubat")*(AX2)
+COUNTIF(N1,"Mart")*(AX3)
+COUNTIF(N1,"Nisan")*(AX4)
+COUNTIF(N1,"Mayıs")*(AX5)
+COUNTIF(N1,"Haziran")*(AX6)
+COUNTIF(N1,"Temmuz")*(AX7)
+COUNTIF(N1,"Ağustos")*(AX8)
+COUNTIF(N1,"Eylül")*(AX9)
+COUNTIF(N1,"Ekim")*(AX10)
+COUNTIF(N1,"Kasım")*(AX11)
+COUNTIF(N1,"Aralık")*(AX12)
+COUNTIF(N1,"Yıllık Toplam")*(AX13)
+COUNTIF(N1,"Yıllık Ortalama")*(AX14)</f>
        <v>0</v>
      </c>
      <c r="X10" s="59"/>
      <c r="Y10" s="59"/>
      <c r="Z10" s="59"/>
      <c r="AA10" s="59"/>
      <c r="AB10" s="59"/>
      <c r="AC10" s="59"/>
      <c r="AD10" s="53" t="s">
        <v>0</v>
      </c>
      <c r="AE10" s="52" t="s">
        <v>0</v>
      </c>
      <c r="AF10" s="53">
        <v>0</v>
      </c>
      <c r="AG10" s="53">
        <v>0</v>
      </c>
      <c r="AH10" s="53">
        <f ca="1">(AI10/BB82)</f>
        <v>3184.6926955017871</v>
      </c>
      <c r="AI10" s="53">
        <f>COUNTIF($A$1,"Deniz Taksi / Kaptan")*($AG$1)
+COUNTIF($A$1,"Deniz Taksi / Gemici")*($AG$2)</f>
        <v>1951.93</v>
      </c>
      <c r="AJ10" s="53">
        <f ca="1">AM24/AJ24</f>
        <v>2941.6258064516128</v>
      </c>
      <c r="AK10" s="53">
        <f>COUNTIF($A$1,"Deniz Taksi / Kaptan")*($AG$1)
+COUNTIF($A$1,"Deniz Taksi / Gemici")*($AG$2)</f>
        <v>1951.93</v>
      </c>
      <c r="AL10" s="55">
        <f ca="1">(AM10/BB82)</f>
        <v>0</v>
      </c>
      <c r="AM10" s="55">
        <f>(60*C24)</f>
        <v>0</v>
      </c>
      <c r="AN10" s="55">
        <f ca="1">(AO10/BB82)</f>
        <v>33439.273302768757</v>
      </c>
      <c r="AO10" s="55">
        <f>(AI10/8*1.4*D24)</f>
        <v>20495.264999999999</v>
      </c>
      <c r="AP10" s="55">
        <f ca="1">(AQ10/BB82)</f>
        <v>0</v>
      </c>
      <c r="AQ10" s="55">
        <f>(AI10/8*2*E24)</f>
        <v>0</v>
      </c>
      <c r="AR10" s="55">
        <f ca="1">(AS10+AQ24*-1+AU24*-1+AP38*-1+AT38*-1)</f>
        <v>10226.650000000001</v>
      </c>
      <c r="AS10" s="55">
        <f>(325*F24)</f>
        <v>8450</v>
      </c>
      <c r="AT10" s="55">
        <f ca="1">ROUND((AS10+AQ24*-1+AU24*-1+AP38*-1+AT38*-1),2)</f>
        <v>10226.65</v>
      </c>
      <c r="AU10" s="55">
        <f ca="1">IF($AG$15*F24&gt;=AT10,AT10,$AG$15*F24)</f>
        <v>6240</v>
      </c>
      <c r="AV10" s="56">
        <f ca="1">COUNTIF(G24,"Yok")*(0)
+COUNTIF(G24,"Askerlik Yardımı")*($AG$41/BB82)
+COUNTIF(G24,"Cenaze Yardımı (Anne-Baba)")*($AG$42+$AG$42*0.00759)
+COUNTIF(G24,"Cenaze Yardımı (Eş-Çocuk)")*($AG$43+$AG$43*0.00759)
+COUNTIF(G24,"Cenaze Yardımı (İşçi-İş Kazası Sonucu)")*($AG$44+$AG$44*0.00759)
+COUNTIF(G24,"Cenaze Yardımı (İşçi-Tabii Sebepler Sonucu)")*($AG$45+$AG$45*0.00759)
+COUNTIF(G24,"Doğal Afet Yardımı")*($AG$46+$AG$46*0.00759)
+COUNTIF(G24,"Eğitim Yardımı (Çocuk-İlköğretim)")*($AG$47/BB82)
+COUNTIF(G24,"Eğitim Yardımı (Çocuk-Ortaöğretim)")*($AG$48/BB82)
+COUNTIF(G24,"Eğitim Yardımı (Çocuk-Lise)")*($AG$49/BB82)
+COUNTIF(G24,"Eğitim Yardımı (Çocuk-Yükseköğretim)")*($AG$50/BB82)
+COUNTIF(G24,"Eğitim Yardımı (İşçi-Lise)")*($AG$51/BB82)
+COUNTIF(G24,"Eğitim Yardımı (İşçi-Yükseköğretim)")*($AG$52/BB82)
+COUNTIF(G24,"Evlilik Yardımı")*($AG$53+$AG$53*0.00759)
+COUNTIF(G24,"Gıda Yardımı")*($AG$54/BB82)
+COUNTIF(G24,"İş Kazası veya Meslek Hastalığı Tazminatı")*($AG$55+$AG$55*0.00759)
+COUNTIF(H24,"Yok")*(0)
+COUNTIF(H24,"Askerlik Yardımı")*($AG$41/BB82)
+COUNTIF(H24,"Cenaze Yardımı (Anne-Baba)")*($AG$42+$AG$42*0.00759)
+COUNTIF(H24,"Cenaze Yardımı (Eş-Çocuk)")*($AG$43+$AG$43*0.00759)
+COUNTIF(H24,"Cenaze Yardımı (İşçi-İş Kazası Sonucu)")*($AG$44+$AG$44*0.00759)
+COUNTIF(H24,"Cenaze Yardımı (İşçi-Tabii Sebepler Sonucu)")*($AG$45+$AG$45*0.00759)
+COUNTIF(H24,"Doğal Afet Yardımı")*($AG$46+$AG$46*0.00759)
+COUNTIF(H24,"Eğitim Yardımı (Çocuk-İlköğretim)")*($AG$47/BB82)
+COUNTIF(H24,"Eğitim Yardımı (Çocuk-Ortaöğretim)")*($AG$48/BB82)
+COUNTIF(H24,"Eğitim Yardımı (Çocuk-Lise)")*($AG$49/BB82)
+COUNTIF(H24,"Eğitim Yardımı (Çocuk-Yükseköğretim)")*($AG$50/BB82)
+COUNTIF(H24,"Eğitim Yardımı (İşçi-Lise)")*($AG$51/BB82)
+COUNTIF(H24,"Eğitim Yardımı (İşçi-Yükseköğretim)")*($AG$52/BB82)
+COUNTIF(H24,"Evlilik Yardımı")*($AG$53+$AG$53*0.00759)
+COUNTIF(H24,"Gıda Yardımı")*($AG$54/BB82)
+COUNTIF(H24,"İş Kazası veya Meslek Hastalığı Tazminatı")*($AG$55+$AG$55*0.00759)
+COUNTIF(I24,"Yok")*(0)
+COUNTIF(I24,"Askerlik Yardımı")*($AG$41/BB82)
+COUNTIF(I24,"Cenaze Yardımı (Anne-Baba)")*($AG$42+$AG$42*0.00759)
+COUNTIF(I24,"Cenaze Yardımı (Eş-Çocuk)")*($AG$43+$AG$43*0.00759)
+COUNTIF(I24,"Cenaze Yardımı (İşçi-İş Kazası Sonucu)")*($AG$44+$AG$44*0.00759)
+COUNTIF(I24,"Cenaze Yardımı (İşçi-Tabii Sebepler Sonucu)")*($AG$45+$AG$45*0.00759)
+COUNTIF(I24,"Doğal Afet Yardımı")*($AG$46+$AG$46*0.00759)
+COUNTIF(I24,"Eğitim Yardımı (Çocuk-İlköğretim)")*($AG$47/BB82)
+COUNTIF(I24,"Eğitim Yardımı (Çocuk-Ortaöğretim)")*($AG$48/BB82)
+COUNTIF(I24,"Eğitim Yardımı (Çocuk-Lise)")*($AG$49/BB82)
+COUNTIF(I24,"Eğitim Yardımı (Çocuk-Yükseköğretim)")*($AG$50/BB82)
+COUNTIF(I24,"Eğitim Yardımı (İşçi-Lise)")*($AG$51/BB82)
+COUNTIF(I24,"Eğitim Yardımı (İşçi-Yükseköğretim)")*($AG$52/BB82)
+COUNTIF(I24,"Evlilik Yardımı")*($AG$53+$AG$53*0.00759)
+COUNTIF(I24,"Gıda Yardımı")*($AG$54/BB82)
+COUNTIF(I24,"İş Kazası veya Meslek Hastalığı Tazminatı")*($AG$55+$AG$55*0.00759)</f>
        <v>0</v>
      </c>
      <c r="AW10" s="56">
        <f>COUNTIF(G24,"Yok")*(0)
+COUNTIF(G24,"Askerlik Yardımı")*(0)
+COUNTIF(G24,"Cenaze Yardımı (Anne-Baba)")*($AG$42+$AG$42*0.00759)
+COUNTIF(G24,"Cenaze Yardımı (Eş-Çocuk)")*($AG$43+$AG$43*0.00759)
+COUNTIF(G24,"Cenaze Yardımı (İşçi-İş Kazası Sonucu)")*($AG$44+$AG$44*0.00759)
+COUNTIF(G24,"Cenaze Yardımı (İşçi-Tabii Sebepler Sonucu)")*($AG$45+$AG$45*0.00759)
+COUNTIF(G24,"Doğal Afet Yardımı")*($AG$46+$AG$46*0.00759)
+COUNTIF(G24,"Eğitim Yardımı (Çocuk-İlköğretim)")*(0)
+COUNTIF(G24,"Eğitim Yardımı (Çocuk-Ortaöğretim)")*(0)
+COUNTIF(G24,"Eğitim Yardımı (Çocuk-Lise)")*(0)
+COUNTIF(G24,"Eğitim Yardımı (Çocuk-Yükseköğretim)")*(0)
+COUNTIF(G24,"Eğitim Yardımı (İşçi-Lise)")*(0)
+COUNTIF(G24,"Eğitim Yardımı (İşçi-Yükseköğretim)")*(0)
+COUNTIF(G24,"Evlilik Yardımı")*($AG$53+$AG$53*0.00759)
+COUNTIF(G24,"Gıda Yardımı")*(0)
+COUNTIF(G24,"İş Kazası veya Meslek Hastalığı Tazminatı")*($AG$55+$AG$55*0.00759)
+COUNTIF(H24,"Yok")*(0)
+COUNTIF(H24,"Askerlik Yardımı")*(0)
+COUNTIF(H24,"Cenaze Yardımı (Anne-Baba)")*($AG$42+$AG$42*0.00759)
+COUNTIF(H24,"Cenaze Yardımı (Eş-Çocuk)")*($AG$43+$AG$43*0.00759)
+COUNTIF(H24,"Cenaze Yardımı (İşçi-İş Kazası Sonucu)")*($AG$44+$AG$44*0.00759)
+COUNTIF(H24,"Cenaze Yardımı (İşçi-Tabii Sebepler Sonucu)")*($AG$45+$AG$45*0.00759)
+COUNTIF(H24,"Doğal Afet Yardımı")*($AG$46+$AG$46*0.00759)
+COUNTIF(H24,"Eğitim Yardımı (Çocuk-İlköğretim)")*(0)
+COUNTIF(H24,"Eğitim Yardımı (Çocuk-Ortaöğretim)")*(0)
+COUNTIF(H24,"Eğitim Yardımı (Çocuk-Lise)")*(0)
+COUNTIF(H24,"Eğitim Yardımı (Çocuk-Yükseköğretim)")*(0)
+COUNTIF(H24,"Eğitim Yardımı (İşçi-Lise)")*(0)
+COUNTIF(H24,"Eğitim Yardımı (İşçi-Yükseköğretim)")*(0)
+COUNTIF(H24,"Evlilik Yardımı")*($AG$53+$AG$53*0.00759)
+COUNTIF(H24,"Gıda Yardımı")*(0)
+COUNTIF(H24,"İş Kazası veya Meslek Hastalığı Tazminatı")*($AG$55+$AG$55*0.00759)
+COUNTIF(I24,"Yok")*(0)
+COUNTIF(I24,"Askerlik Yardımı")*(0)
+COUNTIF(I24,"Cenaze Yardımı (Anne-Baba)")*($AG$42+$AG$42*0.00759)
+COUNTIF(I24,"Cenaze Yardımı (Eş-Çocuk)")*($AG$43+$AG$43*0.00759)
+COUNTIF(I24,"Cenaze Yardımı (İşçi-İş Kazası Sonucu)")*($AG$44+$AG$44*0.00759)
+COUNTIF(I24,"Cenaze Yardımı (İşçi-Tabii Sebepler Sonucu)")*($AG$45+$AG$45*0.00759)
+COUNTIF(I24,"Doğal Afet Yardımı")*($AG$46+$AG$46*0.00759)
+COUNTIF(I24,"Eğitim Yardımı (Çocuk-İlköğretim)")*(0)
+COUNTIF(I24,"Eğitim Yardımı (Çocuk-Ortaöğretim)")*(0)
+COUNTIF(I24,"Eğitim Yardımı (Çocuk-Lise)")*(0)
+COUNTIF(I24,"Eğitim Yardımı (Çocuk-Yükseköğretim)")*(0)
+COUNTIF(I24,"Eğitim Yardımı (İşçi-Lise)")*(0)
+COUNTIF(I24,"Eğitim Yardımı (İşçi-Yükseköğretim)")*(0)
+COUNTIF(I24,"Evlilik Yardımı")*($AG$53+$AG$53*0.00759)
+COUNTIF(I24,"Gıda Yardımı")*(0)
+COUNTIF(I24,"İş Kazası veya Meslek Hastalığı Tazminatı")*($AG$55+$AG$55*0.00759)</f>
        <v>0</v>
      </c>
      <c r="AX10" s="56">
        <f>COUNTIF(G24,"Yok")*(0)
+COUNTIF(G24,"Askerlik Yardımı")*($AG$41)
+COUNTIF(G24,"Cenaze Yardımı (Anne-Baba)")*($AG$42)
+COUNTIF(G24,"Cenaze Yardımı (Eş-Çocuk)")*($AG$43)
+COUNTIF(G24,"Cenaze Yardımı (İşçi-İş Kazası Sonucu)")*($AG$44)
+COUNTIF(G24,"Cenaze Yardımı (İşçi-Tabii Sebepler Sonucu)")*($AG$45)
+COUNTIF(G24,"Doğal Afet Yardımı")*($AG$46)
+COUNTIF(G24,"Eğitim Yardımı (Çocuk-İlköğretim)")*($AG$47)
+COUNTIF(G24,"Eğitim Yardımı (Çocuk-Ortaöğretim)")*($AG$48)
+COUNTIF(G24,"Eğitim Yardımı (Çocuk-Lise)")*($AG$49)
+COUNTIF(G24,"Eğitim Yardımı (Çocuk-Yükseköğretim)")*($AG$50)
+COUNTIF(G24,"Eğitim Yardımı (İşçi-Lise)")*($AG$51)
+COUNTIF(G24,"Eğitim Yardımı (İşçi-Yükseköğretim)")*($AG$52)
+COUNTIF(G24,"Evlilik Yardımı")*($AG$53)
+COUNTIF(G24,"Gıda Yardımı")*($AG$54)
+COUNTIF(G24,"İş Kazası veya Meslek Hastalığı Tazminatı")*($AG$55)
+COUNTIF(H24,"Yok")*(0)
+COUNTIF(H24,"Askerlik Yardımı")*($AG$41)
+COUNTIF(H24,"Cenaze Yardımı (Anne-Baba)")*($AG$42)
+COUNTIF(H24,"Cenaze Yardımı (Eş-Çocuk)")*($AG$43)
+COUNTIF(H24,"Cenaze Yardımı (İşçi-İş Kazası Sonucu)")*($AG$44)
+COUNTIF(H24,"Cenaze Yardımı (İşçi-Tabii Sebepler Sonucu)")*($AG$45)
+COUNTIF(H24,"Doğal Afet Yardımı")*($AG$46)
+COUNTIF(H24,"Eğitim Yardımı (Çocuk-İlköğretim)")*($AG$47)
+COUNTIF(H24,"Eğitim Yardımı (Çocuk-Ortaöğretim)")*($AG$48)
+COUNTIF(H24,"Eğitim Yardımı (Çocuk-Lise)")*($AG$49)
+COUNTIF(H24,"Eğitim Yardımı (Çocuk-Yükseköğretim)")*($AG$50)
+COUNTIF(H24,"Eğitim Yardımı (İşçi-Lise)")*($AG$51)
+COUNTIF(H24,"Eğitim Yardımı (İşçi-Yükseköğretim)")*($AG$52)
+COUNTIF(H24,"Evlilik Yardımı")*($AG$53)
+COUNTIF(H24,"Gıda Yardımı")*($AG$54)
+COUNTIF(H24,"İş Kazası veya Meslek Hastalığı Tazminatı")*($AG$55)
+COUNTIF(I24,"Yok")*(0)
+COUNTIF(I24,"Askerlik Yardımı")*($AG$41)
+COUNTIF(I24,"Cenaze Yardımı (Anne-Baba)")*($AG$42)
+COUNTIF(I24,"Cenaze Yardımı (Eş-Çocuk)")*($AG$43)
+COUNTIF(I24,"Cenaze Yardımı (İşçi-İş Kazası Sonucu)")*($AG$44)
+COUNTIF(I24,"Cenaze Yardımı (İşçi-Tabii Sebepler Sonucu)")*($AG$45)
+COUNTIF(I24,"Doğal Afet Yardımı")*($AG$46)
+COUNTIF(I24,"Eğitim Yardımı (Çocuk-İlköğretim)")*($AG$47)
+COUNTIF(I24,"Eğitim Yardımı (Çocuk-Ortaöğretim)")*($AG$48)
+COUNTIF(I24,"Eğitim Yardımı (Çocuk-Lise)")*($AG$49)
+COUNTIF(I24,"Eğitim Yardımı (Çocuk-Yükseköğretim)")*($AG$50)
+COUNTIF(I24,"Eğitim Yardımı (İşçi-Lise)")*($AG$51)
+COUNTIF(I24,"Eğitim Yardımı (İşçi-Yükseköğretim)")*($AG$52)
+COUNTIF(I24,"Evlilik Yardımı")*($AG$53)
+COUNTIF(I24,"Gıda Yardımı")*($AG$54)
+COUNTIF(I24,"İş Kazası veya Meslek Hastalığı Tazminatı")*($AG$55)</f>
        <v>0</v>
      </c>
      <c r="AY10" s="57" t="s">
        <v>9</v>
      </c>
      <c r="AZ10" s="55">
        <f ca="1">COUNTIF(AY10,"Var")*(AJ10*0.9*-1)</f>
        <v>-2647.4632258064516</v>
      </c>
      <c r="BA10" s="55">
        <f t="shared" ca="1" si="1"/>
        <v>2647.4632258064516</v>
      </c>
      <c r="BD10" s="58">
        <v>8</v>
      </c>
      <c r="BE10" s="60">
        <v>4</v>
      </c>
      <c r="BF10" s="61">
        <v>0.1</v>
      </c>
    </row>
    <row r="11" spans="1:58" ht="39.950000000000003" customHeight="1" x14ac:dyDescent="0.25">
      <c r="A11" s="45"/>
      <c r="B11" s="14"/>
      <c r="C11" s="2"/>
      <c r="D11" s="2"/>
      <c r="E11" s="3"/>
      <c r="F11" s="2"/>
      <c r="G11" s="15"/>
      <c r="H11" s="16"/>
      <c r="I11" s="17"/>
      <c r="J11" s="2"/>
      <c r="K11" s="2"/>
      <c r="L11" s="2"/>
      <c r="M11" s="7"/>
      <c r="N11" s="50"/>
      <c r="O11" s="8"/>
      <c r="P11" s="51"/>
      <c r="Q11" s="18"/>
      <c r="R11" s="19"/>
      <c r="S11" s="20"/>
      <c r="T11" s="21"/>
      <c r="U11" s="52" t="s">
        <v>37</v>
      </c>
      <c r="V11" s="53">
        <f t="shared" ca="1" si="4"/>
        <v>2205.4666578341012</v>
      </c>
      <c r="W11" s="53">
        <f ca="1">COUNTIF(N1,"Ocak")*(AZ1)*-1
+COUNTIF(N1,"Şubat")*(AZ2)*-1
+COUNTIF(N1,"Mart")*(AZ3)*-1
+COUNTIF(N1,"Nisan")*(AZ4)*-1
+COUNTIF(N1,"Mayıs")*(AZ5)*-1
+COUNTIF(N1,"Haziran")*(AZ6)*-1
+COUNTIF(N1,"Temmuz")*(AZ7)*-1
+COUNTIF(N1,"Ağustos")*(AZ8)*-1
+COUNTIF(N1,"Eylül")*(AZ9)*-1
+COUNTIF(N1,"Ekim")*(AZ10)*-1
+COUNTIF(N1,"Kasım")*(AZ11)*-1
+COUNTIF(N1,"Aralık")*(AZ12)*-1
+COUNTIF(N1,"Yıllık Toplam")*(AZ13)*-1
+COUNTIF(N1,"Yıllık Ortalama")*(AZ14)*-1</f>
        <v>2205.4666578341012</v>
      </c>
      <c r="X11" s="59"/>
      <c r="Y11" s="59"/>
      <c r="Z11" s="59"/>
      <c r="AA11" s="59"/>
      <c r="AB11" s="59"/>
      <c r="AC11" s="59"/>
      <c r="AD11" s="53" t="s">
        <v>0</v>
      </c>
      <c r="AE11" s="52" t="s">
        <v>0</v>
      </c>
      <c r="AF11" s="53">
        <v>126</v>
      </c>
      <c r="AG11" s="53">
        <v>126</v>
      </c>
      <c r="AH11" s="53">
        <f ca="1">(AI11/BB83)</f>
        <v>3216.8421179971979</v>
      </c>
      <c r="AI11" s="53">
        <f>COUNTIF($A$1,"Deniz Taksi / Kaptan")*($AG$1)
+COUNTIF($A$1,"Deniz Taksi / Gemici")*($AG$2)</f>
        <v>1951.93</v>
      </c>
      <c r="AJ11" s="53">
        <f ca="1">AM25/AJ25</f>
        <v>2963.1373333333331</v>
      </c>
      <c r="AK11" s="53">
        <f>COUNTIF($A$1,"Deniz Taksi / Kaptan")*($AG$1)
+COUNTIF($A$1,"Deniz Taksi / Gemici")*($AG$2)</f>
        <v>1951.93</v>
      </c>
      <c r="AL11" s="55">
        <f ca="1">(AM11/BB83)</f>
        <v>0</v>
      </c>
      <c r="AM11" s="55">
        <f>(60*C25)</f>
        <v>0</v>
      </c>
      <c r="AN11" s="55">
        <f ca="1">(AO11/BB83)</f>
        <v>33776.842238970574</v>
      </c>
      <c r="AO11" s="55">
        <f>(AI11/8*1.4*D25)</f>
        <v>20495.264999999999</v>
      </c>
      <c r="AP11" s="55">
        <f ca="1">(AQ11/BB83)</f>
        <v>0</v>
      </c>
      <c r="AQ11" s="55">
        <f>(AI11/8*2*E25)</f>
        <v>0</v>
      </c>
      <c r="AR11" s="55">
        <f ca="1">(AS11+AQ25*-1+AU25*-1+AP39*-1+AT39*-1)</f>
        <v>10263.109999999999</v>
      </c>
      <c r="AS11" s="55">
        <f>(325*F25)</f>
        <v>8450</v>
      </c>
      <c r="AT11" s="55">
        <f ca="1">ROUND((AS11+AQ25*-1+AU25*-1+AP39*-1+AT39*-1),2)</f>
        <v>10263.11</v>
      </c>
      <c r="AU11" s="55">
        <f ca="1">IF($AG$15*F25&gt;=AT11,AT11,$AG$15*F25)</f>
        <v>6240</v>
      </c>
      <c r="AV11" s="56">
        <f ca="1">COUNTIF(G25,"Yok")*(0)
+COUNTIF(G25,"Askerlik Yardımı")*($AG$41/BB83)
+COUNTIF(G25,"Cenaze Yardımı (Anne-Baba)")*($AG$42+$AG$42*0.00759)
+COUNTIF(G25,"Cenaze Yardımı (Eş-Çocuk)")*($AG$43+$AG$43*0.00759)
+COUNTIF(G25,"Cenaze Yardımı (İşçi-İş Kazası Sonucu)")*($AG$44+$AG$44*0.00759)
+COUNTIF(G25,"Cenaze Yardımı (İşçi-Tabii Sebepler Sonucu)")*($AG$45+$AG$45*0.00759)
+COUNTIF(G25,"Doğal Afet Yardımı")*($AG$46+$AG$46*0.00759)
+COUNTIF(G25,"Eğitim Yardımı (Çocuk-İlköğretim)")*($AG$47/BB83)
+COUNTIF(G25,"Eğitim Yardımı (Çocuk-Ortaöğretim)")*($AG$48/BB83)
+COUNTIF(G25,"Eğitim Yardımı (Çocuk-Lise)")*($AG$49/BB83)
+COUNTIF(G25,"Eğitim Yardımı (Çocuk-Yükseköğretim)")*($AG$50/BB83)
+COUNTIF(G25,"Eğitim Yardımı (İşçi-Lise)")*($AG$51/BB83)
+COUNTIF(G25,"Eğitim Yardımı (İşçi-Yükseköğretim)")*($AG$52/BB83)
+COUNTIF(G25,"Evlilik Yardımı")*($AG$53+$AG$53*0.00759)
+COUNTIF(G25,"Gıda Yardımı")*($AG$54/BB83)
+COUNTIF(G25,"İş Kazası veya Meslek Hastalığı Tazminatı")*($AG$55+$AG$55*0.00759)
+COUNTIF(H25,"Yok")*(0)
+COUNTIF(H25,"Askerlik Yardımı")*($AG$41/BB83)
+COUNTIF(H25,"Cenaze Yardımı (Anne-Baba)")*($AG$42+$AG$42*0.00759)
+COUNTIF(H25,"Cenaze Yardımı (Eş-Çocuk)")*($AG$43+$AG$43*0.00759)
+COUNTIF(H25,"Cenaze Yardımı (İşçi-İş Kazası Sonucu)")*($AG$44+$AG$44*0.00759)
+COUNTIF(H25,"Cenaze Yardımı (İşçi-Tabii Sebepler Sonucu)")*($AG$45+$AG$45*0.00759)
+COUNTIF(H25,"Doğal Afet Yardımı")*($AG$46+$AG$46*0.00759)
+COUNTIF(H25,"Eğitim Yardımı (Çocuk-İlköğretim)")*($AG$47/BB83)
+COUNTIF(H25,"Eğitim Yardımı (Çocuk-Ortaöğretim)")*($AG$48/BB83)
+COUNTIF(H25,"Eğitim Yardımı (Çocuk-Lise)")*($AG$49/BB83)
+COUNTIF(H25,"Eğitim Yardımı (Çocuk-Yükseköğretim)")*($AG$50/BB83)
+COUNTIF(H25,"Eğitim Yardımı (İşçi-Lise)")*($AG$51/BB83)
+COUNTIF(H25,"Eğitim Yardımı (İşçi-Yükseköğretim)")*($AG$52/BB83)
+COUNTIF(H25,"Evlilik Yardımı")*($AG$53+$AG$53*0.00759)
+COUNTIF(H25,"Gıda Yardımı")*($AG$54/BB83)
+COUNTIF(H25,"İş Kazası veya Meslek Hastalığı Tazminatı")*($AG$55+$AG$55*0.00759)
+COUNTIF(I25,"Yok")*(0)
+COUNTIF(I25,"Askerlik Yardımı")*($AG$41/BB83)
+COUNTIF(I25,"Cenaze Yardımı (Anne-Baba)")*($AG$42+$AG$42*0.00759)
+COUNTIF(I25,"Cenaze Yardımı (Eş-Çocuk)")*($AG$43+$AG$43*0.00759)
+COUNTIF(I25,"Cenaze Yardımı (İşçi-İş Kazası Sonucu)")*($AG$44+$AG$44*0.00759)
+COUNTIF(I25,"Cenaze Yardımı (İşçi-Tabii Sebepler Sonucu)")*($AG$45+$AG$45*0.00759)
+COUNTIF(I25,"Doğal Afet Yardımı")*($AG$46+$AG$46*0.00759)
+COUNTIF(I25,"Eğitim Yardımı (Çocuk-İlköğretim)")*($AG$47/BB83)
+COUNTIF(I25,"Eğitim Yardımı (Çocuk-Ortaöğretim)")*($AG$48/BB83)
+COUNTIF(I25,"Eğitim Yardımı (Çocuk-Lise)")*($AG$49/BB83)
+COUNTIF(I25,"Eğitim Yardımı (Çocuk-Yükseköğretim)")*($AG$50/BB83)
+COUNTIF(I25,"Eğitim Yardımı (İşçi-Lise)")*($AG$51/BB83)
+COUNTIF(I25,"Eğitim Yardımı (İşçi-Yükseköğretim)")*($AG$52/BB83)
+COUNTIF(I25,"Evlilik Yardımı")*($AG$53+$AG$53*0.00759)
+COUNTIF(I25,"Gıda Yardımı")*($AG$54/BB83)
+COUNTIF(I25,"İş Kazası veya Meslek Hastalığı Tazminatı")*($AG$55+$AG$55*0.00759)</f>
        <v>0</v>
      </c>
      <c r="AW11" s="56">
        <f>COUNTIF(G25,"Yok")*(0)
+COUNTIF(G25,"Askerlik Yardımı")*(0)
+COUNTIF(G25,"Cenaze Yardımı (Anne-Baba)")*($AG$42+$AG$42*0.00759)
+COUNTIF(G25,"Cenaze Yardımı (Eş-Çocuk)")*($AG$43+$AG$43*0.00759)
+COUNTIF(G25,"Cenaze Yardımı (İşçi-İş Kazası Sonucu)")*($AG$44+$AG$44*0.00759)
+COUNTIF(G25,"Cenaze Yardımı (İşçi-Tabii Sebepler Sonucu)")*($AG$45+$AG$45*0.00759)
+COUNTIF(G25,"Doğal Afet Yardımı")*($AG$46+$AG$46*0.00759)
+COUNTIF(G25,"Eğitim Yardımı (Çocuk-İlköğretim)")*(0)
+COUNTIF(G25,"Eğitim Yardımı (Çocuk-Ortaöğretim)")*(0)
+COUNTIF(G25,"Eğitim Yardımı (Çocuk-Lise)")*(0)
+COUNTIF(G25,"Eğitim Yardımı (Çocuk-Yükseköğretim)")*(0)
+COUNTIF(G25,"Eğitim Yardımı (İşçi-Lise)")*(0)
+COUNTIF(G25,"Eğitim Yardımı (İşçi-Yükseköğretim)")*(0)
+COUNTIF(G25,"Evlilik Yardımı")*($AG$53+$AG$53*0.00759)
+COUNTIF(G25,"Gıda Yardımı")*(0)
+COUNTIF(G25,"İş Kazası veya Meslek Hastalığı Tazminatı")*($AG$55+$AG$55*0.00759)
+COUNTIF(H25,"Yok")*(0)
+COUNTIF(H25,"Askerlik Yardımı")*(0)
+COUNTIF(H25,"Cenaze Yardımı (Anne-Baba)")*($AG$42+$AG$42*0.00759)
+COUNTIF(H25,"Cenaze Yardımı (Eş-Çocuk)")*($AG$43+$AG$43*0.00759)
+COUNTIF(H25,"Cenaze Yardımı (İşçi-İş Kazası Sonucu)")*($AG$44+$AG$44*0.00759)
+COUNTIF(H25,"Cenaze Yardımı (İşçi-Tabii Sebepler Sonucu)")*($AG$45+$AG$45*0.00759)
+COUNTIF(H25,"Doğal Afet Yardımı")*($AG$46+$AG$46*0.00759)
+COUNTIF(H25,"Eğitim Yardımı (Çocuk-İlköğretim)")*(0)
+COUNTIF(H25,"Eğitim Yardımı (Çocuk-Ortaöğretim)")*(0)
+COUNTIF(H25,"Eğitim Yardımı (Çocuk-Lise)")*(0)
+COUNTIF(H25,"Eğitim Yardımı (Çocuk-Yükseköğretim)")*(0)
+COUNTIF(H25,"Eğitim Yardımı (İşçi-Lise)")*(0)
+COUNTIF(H25,"Eğitim Yardımı (İşçi-Yükseköğretim)")*(0)
+COUNTIF(H25,"Evlilik Yardımı")*($AG$53+$AG$53*0.00759)
+COUNTIF(H25,"Gıda Yardımı")*(0)
+COUNTIF(H25,"İş Kazası veya Meslek Hastalığı Tazminatı")*($AG$55+$AG$55*0.00759)
+COUNTIF(I25,"Yok")*(0)
+COUNTIF(I25,"Askerlik Yardımı")*(0)
+COUNTIF(I25,"Cenaze Yardımı (Anne-Baba)")*($AG$42+$AG$42*0.00759)
+COUNTIF(I25,"Cenaze Yardımı (Eş-Çocuk)")*($AG$43+$AG$43*0.00759)
+COUNTIF(I25,"Cenaze Yardımı (İşçi-İş Kazası Sonucu)")*($AG$44+$AG$44*0.00759)
+COUNTIF(I25,"Cenaze Yardımı (İşçi-Tabii Sebepler Sonucu)")*($AG$45+$AG$45*0.00759)
+COUNTIF(I25,"Doğal Afet Yardımı")*($AG$46+$AG$46*0.00759)
+COUNTIF(I25,"Eğitim Yardımı (Çocuk-İlköğretim)")*(0)
+COUNTIF(I25,"Eğitim Yardımı (Çocuk-Ortaöğretim)")*(0)
+COUNTIF(I25,"Eğitim Yardımı (Çocuk-Lise)")*(0)
+COUNTIF(I25,"Eğitim Yardımı (Çocuk-Yükseköğretim)")*(0)
+COUNTIF(I25,"Eğitim Yardımı (İşçi-Lise)")*(0)
+COUNTIF(I25,"Eğitim Yardımı (İşçi-Yükseköğretim)")*(0)
+COUNTIF(I25,"Evlilik Yardımı")*($AG$53+$AG$53*0.00759)
+COUNTIF(I25,"Gıda Yardımı")*(0)
+COUNTIF(I25,"İş Kazası veya Meslek Hastalığı Tazminatı")*($AG$55+$AG$55*0.00759)</f>
        <v>0</v>
      </c>
      <c r="AX11" s="56">
        <f>COUNTIF(G25,"Yok")*(0)
+COUNTIF(G25,"Askerlik Yardımı")*($AG$41)
+COUNTIF(G25,"Cenaze Yardımı (Anne-Baba)")*($AG$42)
+COUNTIF(G25,"Cenaze Yardımı (Eş-Çocuk)")*($AG$43)
+COUNTIF(G25,"Cenaze Yardımı (İşçi-İş Kazası Sonucu)")*($AG$44)
+COUNTIF(G25,"Cenaze Yardımı (İşçi-Tabii Sebepler Sonucu)")*($AG$45)
+COUNTIF(G25,"Doğal Afet Yardımı")*($AG$46)
+COUNTIF(G25,"Eğitim Yardımı (Çocuk-İlköğretim)")*($AG$47)
+COUNTIF(G25,"Eğitim Yardımı (Çocuk-Ortaöğretim)")*($AG$48)
+COUNTIF(G25,"Eğitim Yardımı (Çocuk-Lise)")*($AG$49)
+COUNTIF(G25,"Eğitim Yardımı (Çocuk-Yükseköğretim)")*($AG$50)
+COUNTIF(G25,"Eğitim Yardımı (İşçi-Lise)")*($AG$51)
+COUNTIF(G25,"Eğitim Yardımı (İşçi-Yükseköğretim)")*($AG$52)
+COUNTIF(G25,"Evlilik Yardımı")*($AG$53)
+COUNTIF(G25,"Gıda Yardımı")*($AG$54)
+COUNTIF(G25,"İş Kazası veya Meslek Hastalığı Tazminatı")*($AG$55)
+COUNTIF(H25,"Yok")*(0)
+COUNTIF(H25,"Askerlik Yardımı")*($AG$41)
+COUNTIF(H25,"Cenaze Yardımı (Anne-Baba)")*($AG$42)
+COUNTIF(H25,"Cenaze Yardımı (Eş-Çocuk)")*($AG$43)
+COUNTIF(H25,"Cenaze Yardımı (İşçi-İş Kazası Sonucu)")*($AG$44)
+COUNTIF(H25,"Cenaze Yardımı (İşçi-Tabii Sebepler Sonucu)")*($AG$45)
+COUNTIF(H25,"Doğal Afet Yardımı")*($AG$46)
+COUNTIF(H25,"Eğitim Yardımı (Çocuk-İlköğretim)")*($AG$47)
+COUNTIF(H25,"Eğitim Yardımı (Çocuk-Ortaöğretim)")*($AG$48)
+COUNTIF(H25,"Eğitim Yardımı (Çocuk-Lise)")*($AG$49)
+COUNTIF(H25,"Eğitim Yardımı (Çocuk-Yükseköğretim)")*($AG$50)
+COUNTIF(H25,"Eğitim Yardımı (İşçi-Lise)")*($AG$51)
+COUNTIF(H25,"Eğitim Yardımı (İşçi-Yükseköğretim)")*($AG$52)
+COUNTIF(H25,"Evlilik Yardımı")*($AG$53)
+COUNTIF(H25,"Gıda Yardımı")*($AG$54)
+COUNTIF(H25,"İş Kazası veya Meslek Hastalığı Tazminatı")*($AG$55)
+COUNTIF(I25,"Yok")*(0)
+COUNTIF(I25,"Askerlik Yardımı")*($AG$41)
+COUNTIF(I25,"Cenaze Yardımı (Anne-Baba)")*($AG$42)
+COUNTIF(I25,"Cenaze Yardımı (Eş-Çocuk)")*($AG$43)
+COUNTIF(I25,"Cenaze Yardımı (İşçi-İş Kazası Sonucu)")*($AG$44)
+COUNTIF(I25,"Cenaze Yardımı (İşçi-Tabii Sebepler Sonucu)")*($AG$45)
+COUNTIF(I25,"Doğal Afet Yardımı")*($AG$46)
+COUNTIF(I25,"Eğitim Yardımı (Çocuk-İlköğretim)")*($AG$47)
+COUNTIF(I25,"Eğitim Yardımı (Çocuk-Ortaöğretim)")*($AG$48)
+COUNTIF(I25,"Eğitim Yardımı (Çocuk-Lise)")*($AG$49)
+COUNTIF(I25,"Eğitim Yardımı (Çocuk-Yükseköğretim)")*($AG$50)
+COUNTIF(I25,"Eğitim Yardımı (İşçi-Lise)")*($AG$51)
+COUNTIF(I25,"Eğitim Yardımı (İşçi-Yükseköğretim)")*($AG$52)
+COUNTIF(I25,"Evlilik Yardımı")*($AG$53)
+COUNTIF(I25,"Gıda Yardımı")*($AG$54)
+COUNTIF(I25,"İş Kazası veya Meslek Hastalığı Tazminatı")*($AG$55)</f>
        <v>0</v>
      </c>
      <c r="AY11" s="57" t="s">
        <v>9</v>
      </c>
      <c r="AZ11" s="55">
        <f ca="1">COUNTIF(AY11,"Var")*(AJ11*0.9*-1)</f>
        <v>-2666.8235999999997</v>
      </c>
      <c r="BA11" s="55">
        <f t="shared" ca="1" si="1"/>
        <v>2666.8235999999997</v>
      </c>
      <c r="BD11" s="58">
        <v>9</v>
      </c>
      <c r="BE11" s="60">
        <v>4.5</v>
      </c>
      <c r="BF11" s="61">
        <v>0.11</v>
      </c>
    </row>
    <row r="12" spans="1:58" ht="39.950000000000003" customHeight="1" x14ac:dyDescent="0.25">
      <c r="A12" s="45"/>
      <c r="B12" s="14"/>
      <c r="C12" s="2"/>
      <c r="D12" s="2"/>
      <c r="E12" s="3"/>
      <c r="F12" s="2"/>
      <c r="G12" s="15"/>
      <c r="H12" s="16"/>
      <c r="I12" s="17"/>
      <c r="J12" s="2"/>
      <c r="K12" s="2"/>
      <c r="L12" s="2"/>
      <c r="M12" s="7"/>
      <c r="N12" s="50"/>
      <c r="O12" s="8"/>
      <c r="P12" s="51"/>
      <c r="Q12" s="18"/>
      <c r="R12" s="19"/>
      <c r="S12" s="20"/>
      <c r="T12" s="21"/>
      <c r="U12" s="52" t="s">
        <v>31</v>
      </c>
      <c r="V12" s="53">
        <f t="shared" ca="1" si="4"/>
        <v>0</v>
      </c>
      <c r="W12" s="53">
        <f ca="1">COUNTIF(N1,"Ocak")*(AX15)*-1
+COUNTIF(N1,"Şubat")*(AX16)*-1
+COUNTIF(N1,"Mart")*(AX17)*-1
+COUNTIF(N1,"Nisan")*(AX18)*-1
+COUNTIF(N1,"Mayıs")*(AX19)*-1
+COUNTIF(N1,"Haziran")*(AX20)*-1
+COUNTIF(N1,"Temmuz")*(AX21)*-1
+COUNTIF(N1,"Ağustos")*(AX22)*-1
+COUNTIF(N1,"Eylül")*(AX23)*-1
+COUNTIF(N1,"Ekim")*(AX24)*-1
+COUNTIF(N1,"Kasım")*(AX25)*-1
+COUNTIF(N1,"Aralık")*(AX26)*-1
+COUNTIF(N1,"Yıllık Toplam")*(AX27)*-1
+COUNTIF(N1,"Yıllık Ortalama")*(AX28)*-1</f>
        <v>0</v>
      </c>
      <c r="X12" s="59"/>
      <c r="Y12" s="59"/>
      <c r="Z12" s="59"/>
      <c r="AA12" s="59"/>
      <c r="AB12" s="59"/>
      <c r="AC12" s="59"/>
      <c r="AD12" s="53" t="s">
        <v>0</v>
      </c>
      <c r="AE12" s="52" t="s">
        <v>0</v>
      </c>
      <c r="AF12" s="53">
        <v>1000</v>
      </c>
      <c r="AG12" s="53">
        <v>1000</v>
      </c>
      <c r="AH12" s="53">
        <f ca="1">(AI12/BB84)</f>
        <v>3582.1144776201577</v>
      </c>
      <c r="AI12" s="53">
        <f>COUNTIF($A$1,"Deniz Taksi / Kaptan")*($AG$1)
+COUNTIF($A$1,"Deniz Taksi / Gemici")*($AG$2)</f>
        <v>1951.93</v>
      </c>
      <c r="AJ12" s="53">
        <f ca="1">AM26/AJ26</f>
        <v>3308.7154838709675</v>
      </c>
      <c r="AK12" s="53">
        <f>COUNTIF($A$1,"Deniz Taksi / Kaptan")*($AG$1)
+COUNTIF($A$1,"Deniz Taksi / Gemici")*($AG$2)</f>
        <v>1951.93</v>
      </c>
      <c r="AL12" s="55">
        <f ca="1">(AM12/BB84)</f>
        <v>0</v>
      </c>
      <c r="AM12" s="55">
        <f>(60*C26)</f>
        <v>0</v>
      </c>
      <c r="AN12" s="55">
        <f ca="1">(AO12/BB84)</f>
        <v>37612.202015011651</v>
      </c>
      <c r="AO12" s="55">
        <f>(AI12/8*1.4*D26)</f>
        <v>20495.264999999999</v>
      </c>
      <c r="AP12" s="55">
        <f ca="1">(AQ12/BB84)</f>
        <v>0</v>
      </c>
      <c r="AQ12" s="55">
        <f>(AI12/8*2*E26)</f>
        <v>0</v>
      </c>
      <c r="AR12" s="55">
        <f ca="1">(AS12+AQ26*-1+AU26*-1+AP40*-1+AT40*-1)</f>
        <v>10677.190000000002</v>
      </c>
      <c r="AS12" s="55">
        <f>(325*F26)</f>
        <v>8450</v>
      </c>
      <c r="AT12" s="55">
        <f ca="1">ROUND((AS12+AQ26*-1+AU26*-1+AP40*-1+AT40*-1),2)</f>
        <v>10677.19</v>
      </c>
      <c r="AU12" s="55">
        <f ca="1">IF($AG$15*F26&gt;=AT12,AT12,$AG$15*F26)</f>
        <v>6240</v>
      </c>
      <c r="AV12" s="56">
        <f ca="1">COUNTIF(G26,"Yok")*(0)
+COUNTIF(G26,"Askerlik Yardımı")*($AG$41/BB84)
+COUNTIF(G26,"Cenaze Yardımı (Anne-Baba)")*($AG$42+$AG$42*0.00759)
+COUNTIF(G26,"Cenaze Yardımı (Eş-Çocuk)")*($AG$43+$AG$43*0.00759)
+COUNTIF(G26,"Cenaze Yardımı (İşçi-İş Kazası Sonucu)")*($AG$44+$AG$44*0.00759)
+COUNTIF(G26,"Cenaze Yardımı (İşçi-Tabii Sebepler Sonucu)")*($AG$45+$AG$45*0.00759)
+COUNTIF(G26,"Doğal Afet Yardımı")*($AG$46+$AG$46*0.00759)
+COUNTIF(G26,"Eğitim Yardımı (Çocuk-İlköğretim)")*($AG$47/BB84)
+COUNTIF(G26,"Eğitim Yardımı (Çocuk-Ortaöğretim)")*($AG$48/BB84)
+COUNTIF(G26,"Eğitim Yardımı (Çocuk-Lise)")*($AG$49/BB84)
+COUNTIF(G26,"Eğitim Yardımı (Çocuk-Yükseköğretim)")*($AG$50/BB84)
+COUNTIF(G26,"Eğitim Yardımı (İşçi-Lise)")*($AG$51/BB84)
+COUNTIF(G26,"Eğitim Yardımı (İşçi-Yükseköğretim)")*($AG$52/BB84)
+COUNTIF(G26,"Evlilik Yardımı")*($AG$53+$AG$53*0.00759)
+COUNTIF(G26,"Gıda Yardımı")*($AG$54/BB84)
+COUNTIF(G26,"İş Kazası veya Meslek Hastalığı Tazminatı")*($AG$55+$AG$55*0.00759)
+COUNTIF(H26,"Yok")*(0)
+COUNTIF(H26,"Askerlik Yardımı")*($AG$41/BB84)
+COUNTIF(H26,"Cenaze Yardımı (Anne-Baba)")*($AG$42+$AG$42*0.00759)
+COUNTIF(H26,"Cenaze Yardımı (Eş-Çocuk)")*($AG$43+$AG$43*0.00759)
+COUNTIF(H26,"Cenaze Yardımı (İşçi-İş Kazası Sonucu)")*($AG$44+$AG$44*0.00759)
+COUNTIF(H26,"Cenaze Yardımı (İşçi-Tabii Sebepler Sonucu)")*($AG$45+$AG$45*0.00759)
+COUNTIF(H26,"Doğal Afet Yardımı")*($AG$46+$AG$46*0.00759)
+COUNTIF(H26,"Eğitim Yardımı (Çocuk-İlköğretim)")*($AG$47/BB84)
+COUNTIF(H26,"Eğitim Yardımı (Çocuk-Ortaöğretim)")*($AG$48/BB84)
+COUNTIF(H26,"Eğitim Yardımı (Çocuk-Lise)")*($AG$49/BB84)
+COUNTIF(H26,"Eğitim Yardımı (Çocuk-Yükseköğretim)")*($AG$50/BB84)
+COUNTIF(H26,"Eğitim Yardımı (İşçi-Lise)")*($AG$51/BB84)
+COUNTIF(H26,"Eğitim Yardımı (İşçi-Yükseköğretim)")*($AG$52/BB84)
+COUNTIF(H26,"Evlilik Yardımı")*($AG$53+$AG$53*0.00759)
+COUNTIF(H26,"Gıda Yardımı")*($AG$54/BB84)
+COUNTIF(H26,"İş Kazası veya Meslek Hastalığı Tazminatı")*($AG$55+$AG$55*0.00759)
+COUNTIF(I26,"Yok")*(0)
+COUNTIF(I26,"Askerlik Yardımı")*($AG$41/BB84)
+COUNTIF(I26,"Cenaze Yardımı (Anne-Baba)")*($AG$42+$AG$42*0.00759)
+COUNTIF(I26,"Cenaze Yardımı (Eş-Çocuk)")*($AG$43+$AG$43*0.00759)
+COUNTIF(I26,"Cenaze Yardımı (İşçi-İş Kazası Sonucu)")*($AG$44+$AG$44*0.00759)
+COUNTIF(I26,"Cenaze Yardımı (İşçi-Tabii Sebepler Sonucu)")*($AG$45+$AG$45*0.00759)
+COUNTIF(I26,"Doğal Afet Yardımı")*($AG$46+$AG$46*0.00759)
+COUNTIF(I26,"Eğitim Yardımı (Çocuk-İlköğretim)")*($AG$47/BB84)
+COUNTIF(I26,"Eğitim Yardımı (Çocuk-Ortaöğretim)")*($AG$48/BB84)
+COUNTIF(I26,"Eğitim Yardımı (Çocuk-Lise)")*($AG$49/BB84)
+COUNTIF(I26,"Eğitim Yardımı (Çocuk-Yükseköğretim)")*($AG$50/BB84)
+COUNTIF(I26,"Eğitim Yardımı (İşçi-Lise)")*($AG$51/BB84)
+COUNTIF(I26,"Eğitim Yardımı (İşçi-Yükseköğretim)")*($AG$52/BB84)
+COUNTIF(I26,"Evlilik Yardımı")*($AG$53+$AG$53*0.00759)
+COUNTIF(I26,"Gıda Yardımı")*($AG$54/BB84)
+COUNTIF(I26,"İş Kazası veya Meslek Hastalığı Tazminatı")*($AG$55+$AG$55*0.00759)</f>
        <v>0</v>
      </c>
      <c r="AW12" s="56">
        <f>COUNTIF(G26,"Yok")*(0)
+COUNTIF(G26,"Askerlik Yardımı")*(0)
+COUNTIF(G26,"Cenaze Yardımı (Anne-Baba)")*($AG$42+$AG$42*0.00759)
+COUNTIF(G26,"Cenaze Yardımı (Eş-Çocuk)")*($AG$43+$AG$43*0.00759)
+COUNTIF(G26,"Cenaze Yardımı (İşçi-İş Kazası Sonucu)")*($AG$44+$AG$44*0.00759)
+COUNTIF(G26,"Cenaze Yardımı (İşçi-Tabii Sebepler Sonucu)")*($AG$45+$AG$45*0.00759)
+COUNTIF(G26,"Doğal Afet Yardımı")*($AG$46+$AG$46*0.00759)
+COUNTIF(G26,"Eğitim Yardımı (Çocuk-İlköğretim)")*(0)
+COUNTIF(G26,"Eğitim Yardımı (Çocuk-Ortaöğretim)")*(0)
+COUNTIF(G26,"Eğitim Yardımı (Çocuk-Lise)")*(0)
+COUNTIF(G26,"Eğitim Yardımı (Çocuk-Yükseköğretim)")*(0)
+COUNTIF(G26,"Eğitim Yardımı (İşçi-Lise)")*(0)
+COUNTIF(G26,"Eğitim Yardımı (İşçi-Yükseköğretim)")*(0)
+COUNTIF(G26,"Evlilik Yardımı")*($AG$53+$AG$53*0.00759)
+COUNTIF(G26,"Gıda Yardımı")*(0)
+COUNTIF(G26,"İş Kazası veya Meslek Hastalığı Tazminatı")*($AG$55+$AG$55*0.00759)
+COUNTIF(H26,"Yok")*(0)
+COUNTIF(H26,"Askerlik Yardımı")*(0)
+COUNTIF(H26,"Cenaze Yardımı (Anne-Baba)")*($AG$42+$AG$42*0.00759)
+COUNTIF(H26,"Cenaze Yardımı (Eş-Çocuk)")*($AG$43+$AG$43*0.00759)
+COUNTIF(H26,"Cenaze Yardımı (İşçi-İş Kazası Sonucu)")*($AG$44+$AG$44*0.00759)
+COUNTIF(H26,"Cenaze Yardımı (İşçi-Tabii Sebepler Sonucu)")*($AG$45+$AG$45*0.00759)
+COUNTIF(H26,"Doğal Afet Yardımı")*($AG$46+$AG$46*0.00759)
+COUNTIF(H26,"Eğitim Yardımı (Çocuk-İlköğretim)")*(0)
+COUNTIF(H26,"Eğitim Yardımı (Çocuk-Ortaöğretim)")*(0)
+COUNTIF(H26,"Eğitim Yardımı (Çocuk-Lise)")*(0)
+COUNTIF(H26,"Eğitim Yardımı (Çocuk-Yükseköğretim)")*(0)
+COUNTIF(H26,"Eğitim Yardımı (İşçi-Lise)")*(0)
+COUNTIF(H26,"Eğitim Yardımı (İşçi-Yükseköğretim)")*(0)
+COUNTIF(H26,"Evlilik Yardımı")*($AG$53+$AG$53*0.00759)
+COUNTIF(H26,"Gıda Yardımı")*(0)
+COUNTIF(H26,"İş Kazası veya Meslek Hastalığı Tazminatı")*($AG$55+$AG$55*0.00759)
+COUNTIF(I26,"Yok")*(0)
+COUNTIF(I26,"Askerlik Yardımı")*(0)
+COUNTIF(I26,"Cenaze Yardımı (Anne-Baba)")*($AG$42+$AG$42*0.00759)
+COUNTIF(I26,"Cenaze Yardımı (Eş-Çocuk)")*($AG$43+$AG$43*0.00759)
+COUNTIF(I26,"Cenaze Yardımı (İşçi-İş Kazası Sonucu)")*($AG$44+$AG$44*0.00759)
+COUNTIF(I26,"Cenaze Yardımı (İşçi-Tabii Sebepler Sonucu)")*($AG$45+$AG$45*0.00759)
+COUNTIF(I26,"Doğal Afet Yardımı")*($AG$46+$AG$46*0.00759)
+COUNTIF(I26,"Eğitim Yardımı (Çocuk-İlköğretim)")*(0)
+COUNTIF(I26,"Eğitim Yardımı (Çocuk-Ortaöğretim)")*(0)
+COUNTIF(I26,"Eğitim Yardımı (Çocuk-Lise)")*(0)
+COUNTIF(I26,"Eğitim Yardımı (Çocuk-Yükseköğretim)")*(0)
+COUNTIF(I26,"Eğitim Yardımı (İşçi-Lise)")*(0)
+COUNTIF(I26,"Eğitim Yardımı (İşçi-Yükseköğretim)")*(0)
+COUNTIF(I26,"Evlilik Yardımı")*($AG$53+$AG$53*0.00759)
+COUNTIF(I26,"Gıda Yardımı")*(0)
+COUNTIF(I26,"İş Kazası veya Meslek Hastalığı Tazminatı")*($AG$55+$AG$55*0.00759)</f>
        <v>0</v>
      </c>
      <c r="AX12" s="56">
        <f>COUNTIF(G26,"Yok")*(0)
+COUNTIF(G26,"Askerlik Yardımı")*($AG$41)
+COUNTIF(G26,"Cenaze Yardımı (Anne-Baba)")*($AG$42)
+COUNTIF(G26,"Cenaze Yardımı (Eş-Çocuk)")*($AG$43)
+COUNTIF(G26,"Cenaze Yardımı (İşçi-İş Kazası Sonucu)")*($AG$44)
+COUNTIF(G26,"Cenaze Yardımı (İşçi-Tabii Sebepler Sonucu)")*($AG$45)
+COUNTIF(G26,"Doğal Afet Yardımı")*($AG$46)
+COUNTIF(G26,"Eğitim Yardımı (Çocuk-İlköğretim)")*($AG$47)
+COUNTIF(G26,"Eğitim Yardımı (Çocuk-Ortaöğretim)")*($AG$48)
+COUNTIF(G26,"Eğitim Yardımı (Çocuk-Lise)")*($AG$49)
+COUNTIF(G26,"Eğitim Yardımı (Çocuk-Yükseköğretim)")*($AG$50)
+COUNTIF(G26,"Eğitim Yardımı (İşçi-Lise)")*($AG$51)
+COUNTIF(G26,"Eğitim Yardımı (İşçi-Yükseköğretim)")*($AG$52)
+COUNTIF(G26,"Evlilik Yardımı")*($AG$53)
+COUNTIF(G26,"Gıda Yardımı")*($AG$54)
+COUNTIF(G26,"İş Kazası veya Meslek Hastalığı Tazminatı")*($AG$55)
+COUNTIF(H26,"Yok")*(0)
+COUNTIF(H26,"Askerlik Yardımı")*($AG$41)
+COUNTIF(H26,"Cenaze Yardımı (Anne-Baba)")*($AG$42)
+COUNTIF(H26,"Cenaze Yardımı (Eş-Çocuk)")*($AG$43)
+COUNTIF(H26,"Cenaze Yardımı (İşçi-İş Kazası Sonucu)")*($AG$44)
+COUNTIF(H26,"Cenaze Yardımı (İşçi-Tabii Sebepler Sonucu)")*($AG$45)
+COUNTIF(H26,"Doğal Afet Yardımı")*($AG$46)
+COUNTIF(H26,"Eğitim Yardımı (Çocuk-İlköğretim)")*($AG$47)
+COUNTIF(H26,"Eğitim Yardımı (Çocuk-Ortaöğretim)")*($AG$48)
+COUNTIF(H26,"Eğitim Yardımı (Çocuk-Lise)")*($AG$49)
+COUNTIF(H26,"Eğitim Yardımı (Çocuk-Yükseköğretim)")*($AG$50)
+COUNTIF(H26,"Eğitim Yardımı (İşçi-Lise)")*($AG$51)
+COUNTIF(H26,"Eğitim Yardımı (İşçi-Yükseköğretim)")*($AG$52)
+COUNTIF(H26,"Evlilik Yardımı")*($AG$53)
+COUNTIF(H26,"Gıda Yardımı")*($AG$54)
+COUNTIF(H26,"İş Kazası veya Meslek Hastalığı Tazminatı")*($AG$55)
+COUNTIF(I26,"Yok")*(0)
+COUNTIF(I26,"Askerlik Yardımı")*($AG$41)
+COUNTIF(I26,"Cenaze Yardımı (Anne-Baba)")*($AG$42)
+COUNTIF(I26,"Cenaze Yardımı (Eş-Çocuk)")*($AG$43)
+COUNTIF(I26,"Cenaze Yardımı (İşçi-İş Kazası Sonucu)")*($AG$44)
+COUNTIF(I26,"Cenaze Yardımı (İşçi-Tabii Sebepler Sonucu)")*($AG$45)
+COUNTIF(I26,"Doğal Afet Yardımı")*($AG$46)
+COUNTIF(I26,"Eğitim Yardımı (Çocuk-İlköğretim)")*($AG$47)
+COUNTIF(I26,"Eğitim Yardımı (Çocuk-Ortaöğretim)")*($AG$48)
+COUNTIF(I26,"Eğitim Yardımı (Çocuk-Lise)")*($AG$49)
+COUNTIF(I26,"Eğitim Yardımı (Çocuk-Yükseköğretim)")*($AG$50)
+COUNTIF(I26,"Eğitim Yardımı (İşçi-Lise)")*($AG$51)
+COUNTIF(I26,"Eğitim Yardımı (İşçi-Yükseköğretim)")*($AG$52)
+COUNTIF(I26,"Evlilik Yardımı")*($AG$53)
+COUNTIF(I26,"Gıda Yardımı")*($AG$54)
+COUNTIF(I26,"İş Kazası veya Meslek Hastalığı Tazminatı")*($AG$55)</f>
        <v>0</v>
      </c>
      <c r="AY12" s="57" t="s">
        <v>9</v>
      </c>
      <c r="AZ12" s="55">
        <f ca="1">COUNTIF(AY12,"Var")*(AJ12*0.9*-1)</f>
        <v>-2977.8439354838711</v>
      </c>
      <c r="BA12" s="55">
        <f t="shared" ca="1" si="1"/>
        <v>2977.8439354838711</v>
      </c>
      <c r="BD12" s="58">
        <v>10</v>
      </c>
      <c r="BE12" s="60">
        <v>5</v>
      </c>
      <c r="BF12" s="61">
        <v>0.12</v>
      </c>
    </row>
    <row r="13" spans="1:58" ht="39.950000000000003" customHeight="1" x14ac:dyDescent="0.25">
      <c r="A13" s="45"/>
      <c r="B13" s="14"/>
      <c r="C13" s="2"/>
      <c r="D13" s="2"/>
      <c r="E13" s="3"/>
      <c r="F13" s="2"/>
      <c r="G13" s="15"/>
      <c r="H13" s="16"/>
      <c r="I13" s="17"/>
      <c r="J13" s="2"/>
      <c r="K13" s="2"/>
      <c r="L13" s="2"/>
      <c r="M13" s="7"/>
      <c r="N13" s="50"/>
      <c r="O13" s="8"/>
      <c r="P13" s="51"/>
      <c r="Q13" s="18"/>
      <c r="R13" s="19"/>
      <c r="S13" s="20"/>
      <c r="T13" s="21"/>
      <c r="U13" s="52" t="s">
        <v>32</v>
      </c>
      <c r="V13" s="53">
        <f t="shared" ca="1" si="4"/>
        <v>878.70416666666677</v>
      </c>
      <c r="W13" s="55">
        <f ca="1">COUNTIF(N1,"Ocak")*(AK73)*-1
+COUNTIF(N1,"Şubat")*(AK74)*-1
+COUNTIF(N1,"Mart")*(AK75)*-1
+COUNTIF(N1,"Nisan")*(AK76)*-1
+COUNTIF(N1,"Mayıs")*(AK77)*-1
+COUNTIF(N1,"Haziran")*(AK78)*-1
+COUNTIF(N1,"Temmuz")*(AK79)*-1
+COUNTIF(N1,"Ağustos")*(AK80)*-1
+COUNTIF(N1,"Eylül")*(AK81)*-1
+COUNTIF(N1,"Ekim")*(AK82)*-1
+COUNTIF(N1,"Kasım")*(AK83)*-1
+COUNTIF(N1,"Aralık")*(AK84)*-1
+COUNTIF(N1,"Yıllık Toplam")*(AK85)*-1
+COUNTIF(N1,"Yıllık Ortalama")*(AK86)*-1</f>
        <v>878.70416666666677</v>
      </c>
      <c r="X13" s="59"/>
      <c r="Y13" s="59"/>
      <c r="Z13" s="59"/>
      <c r="AA13" s="59"/>
      <c r="AB13" s="59"/>
      <c r="AC13" s="59"/>
      <c r="AD13" s="53" t="s">
        <v>0</v>
      </c>
      <c r="AE13" s="52" t="s">
        <v>0</v>
      </c>
      <c r="AF13" s="53">
        <v>1000</v>
      </c>
      <c r="AG13" s="53">
        <v>1000</v>
      </c>
      <c r="AH13" s="55">
        <f ca="1">(AH1+AH2+AH3+AH4+AH5+AH6+AH7+AH8+AH9+AH10+AH11+AH12)</f>
        <v>31902.626271835754</v>
      </c>
      <c r="AI13" s="55">
        <f t="shared" ref="AI13:AK13" si="5">(AI1+AI2+AI3+AI4+AI5+AI6+AI7+AI8+AI9+AI10+AI11+AI12)</f>
        <v>19938.32</v>
      </c>
      <c r="AJ13" s="55">
        <f t="shared" ca="1" si="5"/>
        <v>29406.222104454686</v>
      </c>
      <c r="AK13" s="55">
        <f t="shared" si="5"/>
        <v>19938.32</v>
      </c>
      <c r="AL13" s="55">
        <f t="shared" ref="AL13:AM13" ca="1" si="6">(AL1+AL2+AL3+AL4+AL5+AL6+AL7+AL8+AL9+AL10+AL11+AL12)</f>
        <v>0</v>
      </c>
      <c r="AM13" s="55">
        <f t="shared" si="6"/>
        <v>0</v>
      </c>
      <c r="AN13" s="55">
        <f t="shared" ref="AN13:AO13" ca="1" si="7">(AN1+AN2+AN3+AN4+AN5+AN6+AN7+AN8+AN9+AN10+AN11+AN12)</f>
        <v>334977.57585427532</v>
      </c>
      <c r="AO13" s="55">
        <f t="shared" si="7"/>
        <v>209352.36000000004</v>
      </c>
      <c r="AP13" s="55">
        <f t="shared" ref="AP13:AQ13" ca="1" si="8">(AP1+AP2+AP3+AP4+AP5+AP6+AP7+AP8+AP9+AP10+AP11+AP12)</f>
        <v>0</v>
      </c>
      <c r="AQ13" s="55">
        <f t="shared" si="8"/>
        <v>0</v>
      </c>
      <c r="AR13" s="55">
        <f ca="1">(AR1+AR2+AR3+AR4+AR5+AR6+AR7+AR8+AR9+AR10+AR11+AR12)</f>
        <v>114792.96000000001</v>
      </c>
      <c r="AS13" s="55">
        <f>(AS1+AS2+AS3+AS4+AS5+AS6+AS7+AS8+AS9+AS10+AS11+AS12)</f>
        <v>96460</v>
      </c>
      <c r="AT13" s="55">
        <f ca="1">(AT1+AT2+AT3+AT4+AT5+AT6+AT7+AT8+AT9+AT10+AT11+AT12)</f>
        <v>114792.95999999999</v>
      </c>
      <c r="AU13" s="55">
        <f ca="1">(AU1+AU2+AU3+AU4+AU5+AU6+AU7+AU8+AU9+AU10+AU11+AU12)</f>
        <v>74880</v>
      </c>
      <c r="AV13" s="55">
        <f t="shared" ref="AV13" ca="1" si="9">(AV1+AV2+AV3+AV4+AV5+AV6+AV7+AV8+AV9+AV10+AV11+AV12)</f>
        <v>0</v>
      </c>
      <c r="AW13" s="55">
        <f t="shared" ref="AW13" si="10">(AW1+AW2+AW3+AW4+AW5+AW6+AW7+AW8+AW9+AW10+AW11+AW12)</f>
        <v>0</v>
      </c>
      <c r="AX13" s="55">
        <f t="shared" ref="AX13" si="11">(AX1+AX2+AX3+AX4+AX5+AX6+AX7+AX8+AX9+AX10+AX11+AX12)</f>
        <v>0</v>
      </c>
      <c r="AY13" s="63" t="s">
        <v>0</v>
      </c>
      <c r="AZ13" s="55">
        <f t="shared" ref="AZ13:BA13" ca="1" si="12">(AZ1+AZ2+AZ3+AZ4+AZ5+AZ6+AZ7+AZ8+AZ9+AZ10+AZ11+AZ12)</f>
        <v>-26465.599894009214</v>
      </c>
      <c r="BA13" s="55">
        <f t="shared" ca="1" si="12"/>
        <v>26465.599894009214</v>
      </c>
      <c r="BD13" s="58">
        <v>11</v>
      </c>
      <c r="BE13" s="60">
        <v>5.5</v>
      </c>
      <c r="BF13" s="61">
        <v>0.13</v>
      </c>
    </row>
    <row r="14" spans="1:58" ht="39.950000000000003" customHeight="1" x14ac:dyDescent="0.25">
      <c r="A14" s="45"/>
      <c r="B14" s="24"/>
      <c r="C14" s="2"/>
      <c r="D14" s="2"/>
      <c r="E14" s="3"/>
      <c r="F14" s="2"/>
      <c r="G14" s="25"/>
      <c r="H14" s="26"/>
      <c r="I14" s="27"/>
      <c r="J14" s="2"/>
      <c r="K14" s="2"/>
      <c r="L14" s="2"/>
      <c r="M14" s="7"/>
      <c r="N14" s="50"/>
      <c r="O14" s="8"/>
      <c r="P14" s="51"/>
      <c r="Q14" s="18"/>
      <c r="R14" s="19"/>
      <c r="S14" s="20"/>
      <c r="T14" s="21"/>
      <c r="U14" s="52" t="s">
        <v>4</v>
      </c>
      <c r="V14" s="53">
        <f t="shared" ca="1" si="4"/>
        <v>19078.015833333331</v>
      </c>
      <c r="W14" s="55">
        <f ca="1">COUNTIF(N1,"Ocak")*(AO73)*-1
+COUNTIF(N1,"Şubat")*(AO74)*-1
+COUNTIF(N1,"Mart")*(AO75)*-1
+COUNTIF(N1,"Nisan")*(AO76)*-1
+COUNTIF(N1,"Mayıs")*(AO77)*-1
+COUNTIF(N1,"Haziran")*(AO78)*-1
+COUNTIF(N1,"Temmuz")*(AO79)*-1
+COUNTIF(N1,"Ağustos")*(AO80)*-1
+COUNTIF(N1,"Eylül")*(AO81)*-1
+COUNTIF(N1,"Ekim")*(AO82)*-1
+COUNTIF(N1,"Kasım")*(AO83)*-1
+COUNTIF(N1,"Aralık")*(AO84)*-1
+COUNTIF(N1,"Yıllık Toplam")*(AO85)*-1
+COUNTIF(N1,"Yıllık Ortalama")*(AO86)*-1</f>
        <v>19078.015833333331</v>
      </c>
      <c r="X14" s="54"/>
      <c r="Y14" s="54"/>
      <c r="Z14" s="54"/>
      <c r="AA14" s="54"/>
      <c r="AB14" s="54"/>
      <c r="AC14" s="54"/>
      <c r="AD14" s="62">
        <f>(23.65%)</f>
        <v>0.23649999999999999</v>
      </c>
      <c r="AE14" s="52" t="s">
        <v>0</v>
      </c>
      <c r="AF14" s="53">
        <v>158</v>
      </c>
      <c r="AG14" s="53">
        <v>158</v>
      </c>
      <c r="AH14" s="55">
        <f ca="1">(AH13/12)</f>
        <v>2658.552189319646</v>
      </c>
      <c r="AI14" s="55">
        <f t="shared" ref="AI14:AK14" si="13">(AI13/12)</f>
        <v>1661.5266666666666</v>
      </c>
      <c r="AJ14" s="55">
        <f t="shared" ca="1" si="13"/>
        <v>2450.518508704557</v>
      </c>
      <c r="AK14" s="55">
        <f t="shared" si="13"/>
        <v>1661.5266666666666</v>
      </c>
      <c r="AL14" s="55">
        <f t="shared" ref="AL14:AM14" ca="1" si="14">(AL13/12)</f>
        <v>0</v>
      </c>
      <c r="AM14" s="55">
        <f t="shared" si="14"/>
        <v>0</v>
      </c>
      <c r="AN14" s="55">
        <f t="shared" ref="AN14:AO14" ca="1" si="15">(AN13/12)</f>
        <v>27914.797987856276</v>
      </c>
      <c r="AO14" s="55">
        <f t="shared" si="15"/>
        <v>17446.030000000002</v>
      </c>
      <c r="AP14" s="55">
        <f t="shared" ref="AP14:AQ14" ca="1" si="16">(AP13/12)</f>
        <v>0</v>
      </c>
      <c r="AQ14" s="55">
        <f t="shared" si="16"/>
        <v>0</v>
      </c>
      <c r="AR14" s="55">
        <f ca="1">(AR13/12)</f>
        <v>9566.08</v>
      </c>
      <c r="AS14" s="55">
        <f>(AS13/12)</f>
        <v>8038.333333333333</v>
      </c>
      <c r="AT14" s="55">
        <f ca="1">(AT13/12)</f>
        <v>9566.08</v>
      </c>
      <c r="AU14" s="55">
        <f ca="1">(AU13/12)</f>
        <v>6240</v>
      </c>
      <c r="AV14" s="55">
        <f t="shared" ref="AV14" ca="1" si="17">AV13/12</f>
        <v>0</v>
      </c>
      <c r="AW14" s="55">
        <f t="shared" ref="AW14" si="18">AW13/12</f>
        <v>0</v>
      </c>
      <c r="AX14" s="55">
        <f t="shared" ref="AX14" si="19">AX13/12</f>
        <v>0</v>
      </c>
      <c r="AY14" s="63" t="s">
        <v>0</v>
      </c>
      <c r="AZ14" s="55">
        <f t="shared" ref="AZ14:BA14" ca="1" si="20">(AZ13/12)</f>
        <v>-2205.4666578341012</v>
      </c>
      <c r="BA14" s="55">
        <f t="shared" ca="1" si="20"/>
        <v>2205.4666578341012</v>
      </c>
      <c r="BD14" s="58">
        <v>12</v>
      </c>
      <c r="BE14" s="60">
        <v>6</v>
      </c>
      <c r="BF14" s="61">
        <v>0.14000000000000001</v>
      </c>
    </row>
    <row r="15" spans="1:58" ht="39.950000000000003" customHeight="1" x14ac:dyDescent="0.25">
      <c r="A15" s="28">
        <f ca="1">(AW73)</f>
        <v>0.15</v>
      </c>
      <c r="B15" s="29" t="s">
        <v>10</v>
      </c>
      <c r="C15" s="46">
        <v>0</v>
      </c>
      <c r="D15" s="47">
        <v>60</v>
      </c>
      <c r="E15" s="47">
        <v>0</v>
      </c>
      <c r="F15" s="46">
        <v>26</v>
      </c>
      <c r="G15" s="48" t="s">
        <v>1</v>
      </c>
      <c r="H15" s="48" t="s">
        <v>1</v>
      </c>
      <c r="I15" s="48" t="s">
        <v>1</v>
      </c>
      <c r="J15" s="49">
        <v>0</v>
      </c>
      <c r="K15" s="30">
        <f ca="1">(AH73+AZ1+AX15+AK73+AO73+AP73+AY73-L15)</f>
        <v>48933.378548387089</v>
      </c>
      <c r="L15" s="30">
        <f ca="1">(AO1+AQ1+AS1+AW15)</f>
        <v>21215.814999999999</v>
      </c>
      <c r="M15" s="31">
        <f ca="1">(K15+L15)</f>
        <v>70149.193548387091</v>
      </c>
      <c r="N15" s="50"/>
      <c r="O15" s="8"/>
      <c r="P15" s="51"/>
      <c r="Q15" s="18"/>
      <c r="R15" s="19"/>
      <c r="S15" s="20"/>
      <c r="T15" s="21"/>
      <c r="U15" s="52" t="s">
        <v>5</v>
      </c>
      <c r="V15" s="53">
        <f t="shared" ca="1" si="4"/>
        <v>1362.7158333333334</v>
      </c>
      <c r="W15" s="55">
        <f ca="1">COUNTIF(N1,"Ocak")*(AP73)*-1
+COUNTIF(N1,"Şubat")*(AP74)*-1
+COUNTIF(N1,"Mart")*(AP75)*-1
+COUNTIF(N1,"Nisan")*(AP76)*-1
+COUNTIF(N1,"Mayıs")*(AP77)*-1
+COUNTIF(N1,"Haziran")*(AP78)*-1
+COUNTIF(N1,"Temmuz")*(AP79)*-1
+COUNTIF(N1,"Ağustos")*(AP80)*-1
+COUNTIF(N1,"Eylül")*(AP81)*-1
+COUNTIF(N1,"Ekim")*(AP82)*-1
+COUNTIF(N1,"Kasım")*(AP83)*-1
+COUNTIF(N1,"Aralık")*(AP84)*-1
+COUNTIF(N1,"Yıllık Toplam")*(AP85)*-1
+COUNTIF(N1,"Yıllık Ortalama")*(AP86)*-1</f>
        <v>1362.7158333333334</v>
      </c>
      <c r="X15" s="64"/>
      <c r="Y15" s="64"/>
      <c r="Z15" s="64"/>
      <c r="AA15" s="64"/>
      <c r="AB15" s="64"/>
      <c r="AC15" s="64"/>
      <c r="AD15" s="53" t="s">
        <v>0</v>
      </c>
      <c r="AE15" s="52" t="s">
        <v>0</v>
      </c>
      <c r="AF15" s="53">
        <v>240</v>
      </c>
      <c r="AG15" s="53">
        <v>240</v>
      </c>
      <c r="AH15" s="65">
        <v>45658</v>
      </c>
      <c r="AI15" s="66">
        <f t="shared" ref="AI15:AI26" si="21">EOMONTH(AH15,0)</f>
        <v>45688</v>
      </c>
      <c r="AJ15" s="67">
        <f>DAY(AI15)</f>
        <v>31</v>
      </c>
      <c r="AK15" s="67">
        <f>NETWORKDAYS.INTL(AH15,AI15,11)</f>
        <v>27</v>
      </c>
      <c r="AL15" s="67">
        <f>(AJ15-AK15)</f>
        <v>4</v>
      </c>
      <c r="AM15" s="68">
        <f ca="1">(AN15+AJ29*-1+AN29*-1+AO29*-1+AM43*-1)</f>
        <v>58005.7</v>
      </c>
      <c r="AN15" s="55">
        <f>(AI1*AJ15)</f>
        <v>44981.93</v>
      </c>
      <c r="AO15" s="55">
        <f ca="1">ROUND((AN15+AJ29*-1+AN29*-1+AO29*-1+AM43*-1),2)</f>
        <v>58005.7</v>
      </c>
      <c r="AP15" s="55">
        <f ca="1">IF(AT1-AU1&gt;=0,AT1-AU1,0)</f>
        <v>70.989999999999782</v>
      </c>
      <c r="AQ15" s="55">
        <f ca="1">(ROUND(AP15*0.00759*-1,2))</f>
        <v>-0.54</v>
      </c>
      <c r="AR15" s="55">
        <f ca="1">(AT1)</f>
        <v>6310.99</v>
      </c>
      <c r="AS15" s="55">
        <f ca="1">IF($AF$14*F15&gt;=AR15,AR15,$AF$14*F15)</f>
        <v>4108</v>
      </c>
      <c r="AT15" s="55">
        <f ca="1">(AR15-AS15)</f>
        <v>2202.9899999999998</v>
      </c>
      <c r="AU15" s="55">
        <f ca="1">(ROUND(AT15*0.14*-1,2))</f>
        <v>-308.42</v>
      </c>
      <c r="AV15" s="69">
        <f ca="1">(AN73*J15+AW15)*-1</f>
        <v>0</v>
      </c>
      <c r="AW15" s="69">
        <f ca="1">(AN1+AP1+AR1-AS15)*(J15*-1)</f>
        <v>0</v>
      </c>
      <c r="AX15" s="69">
        <f ca="1">(AV15+AW15)</f>
        <v>0</v>
      </c>
      <c r="AY15" s="55">
        <f ca="1">(AH73)</f>
        <v>93157.64</v>
      </c>
      <c r="AZ15" s="55">
        <f ca="1">(AY15*0.205)</f>
        <v>19097.316199999997</v>
      </c>
      <c r="BA15" s="55">
        <f ca="1">(AY15*0.01)</f>
        <v>931.57640000000004</v>
      </c>
      <c r="BB15" s="55">
        <f ca="1">(AY15*0.05*-1)</f>
        <v>-4657.8820000000005</v>
      </c>
      <c r="BC15" s="55">
        <f ca="1">(AY15+AZ15+BA15+BB15)</f>
        <v>108528.65060000001</v>
      </c>
      <c r="BD15" s="58">
        <v>13</v>
      </c>
      <c r="BE15" s="60">
        <v>6.5</v>
      </c>
      <c r="BF15" s="61">
        <v>0.15</v>
      </c>
    </row>
    <row r="16" spans="1:58" ht="39.950000000000003" customHeight="1" x14ac:dyDescent="0.25">
      <c r="A16" s="28">
        <f ca="1">(AW74)</f>
        <v>0.15</v>
      </c>
      <c r="B16" s="29" t="s">
        <v>11</v>
      </c>
      <c r="C16" s="46">
        <v>0</v>
      </c>
      <c r="D16" s="47">
        <v>60</v>
      </c>
      <c r="E16" s="47">
        <v>0</v>
      </c>
      <c r="F16" s="46">
        <v>26</v>
      </c>
      <c r="G16" s="48" t="s">
        <v>1</v>
      </c>
      <c r="H16" s="48" t="s">
        <v>1</v>
      </c>
      <c r="I16" s="48" t="s">
        <v>1</v>
      </c>
      <c r="J16" s="49">
        <v>0</v>
      </c>
      <c r="K16" s="30">
        <f ca="1">(AH74+AZ2+AX16+AK74+AO74+AP74+AY74-L16)</f>
        <v>44904.953928571427</v>
      </c>
      <c r="L16" s="30">
        <f ca="1">(AO2+AQ2+AS2+AW16)</f>
        <v>21215.814999999999</v>
      </c>
      <c r="M16" s="31">
        <f t="shared" ref="M16:M26" ca="1" si="22">(K16+L16)</f>
        <v>66120.76892857143</v>
      </c>
      <c r="N16" s="50"/>
      <c r="O16" s="8"/>
      <c r="P16" s="51"/>
      <c r="Q16" s="18"/>
      <c r="R16" s="19"/>
      <c r="S16" s="20"/>
      <c r="T16" s="21"/>
      <c r="U16" s="52" t="s">
        <v>33</v>
      </c>
      <c r="V16" s="53">
        <f t="shared" ca="1" si="4"/>
        <v>27364.951666666671</v>
      </c>
      <c r="W16" s="55">
        <f ca="1">COUNTIF(N1,"Ocak")*(AY73)*-1
+COUNTIF(N1,"Şubat")*(AY74)*-1
+COUNTIF(N1,"Mart")*(AY75)*-1
+COUNTIF(N1,"Nisan")*(AY76)*-1
+COUNTIF(N1,"Mayıs")*(AY77)*-1
+COUNTIF(N1,"Haziran")*(AY78)*-1
+COUNTIF(N1,"Temmuz")*(AY79)*-1
+COUNTIF(N1,"Ağustos")*(AY80)*-1
+COUNTIF(N1,"Eylül")*(AY81)*-1
+COUNTIF(N1,"Ekim")*(AY82)*-1
+COUNTIF(N1,"Kasım")*(AY83)*-1
+COUNTIF(N1,"Aralık")*(AY84)*-1
+COUNTIF(N1,"Yıllık Toplam")*(AY85)*-1
+COUNTIF(N1,"Yıllık Ortalama")*(AY86)*-1</f>
        <v>27364.951666666671</v>
      </c>
      <c r="X16" s="64"/>
      <c r="Y16" s="64"/>
      <c r="Z16" s="64"/>
      <c r="AA16" s="64"/>
      <c r="AB16" s="64"/>
      <c r="AC16" s="64"/>
      <c r="AH16" s="66">
        <f>(AI15+1)</f>
        <v>45689</v>
      </c>
      <c r="AI16" s="66">
        <f t="shared" si="21"/>
        <v>45716</v>
      </c>
      <c r="AJ16" s="67">
        <f t="shared" ref="AJ16:AJ26" si="23">DAY(AI16)</f>
        <v>28</v>
      </c>
      <c r="AK16" s="67">
        <f t="shared" ref="AK16:AK26" si="24">NETWORKDAYS.INTL(AH16,AI16,11)</f>
        <v>24</v>
      </c>
      <c r="AL16" s="67">
        <f t="shared" ref="AL16:AL26" si="25">(AJ16-AK16)</f>
        <v>4</v>
      </c>
      <c r="AM16" s="68">
        <f ca="1">(AN16+AJ30*-1+AN30*-1+AO30*-1+AM44*-1)</f>
        <v>51916.69999999999</v>
      </c>
      <c r="AN16" s="55">
        <f>(AI2*AJ16)</f>
        <v>40628.839999999997</v>
      </c>
      <c r="AO16" s="55">
        <f ca="1">ROUND((AN16+AJ30*-1+AN30*-1+AO30*-1+AM44*-1),2)</f>
        <v>51916.7</v>
      </c>
      <c r="AP16" s="55">
        <f ca="1">IF(AT2-AU2&gt;=0,AT2-AU2,0)</f>
        <v>70.989999999999782</v>
      </c>
      <c r="AQ16" s="55">
        <f t="shared" ref="AQ16:AQ26" ca="1" si="26">(ROUND(AP16*0.00759*-1,2))</f>
        <v>-0.54</v>
      </c>
      <c r="AR16" s="55">
        <f ca="1">(AT2)</f>
        <v>6310.99</v>
      </c>
      <c r="AS16" s="55">
        <f ca="1">IF($AF$14*F16&gt;=AR16,AR16,$AF$14*F16)</f>
        <v>4108</v>
      </c>
      <c r="AT16" s="55">
        <f t="shared" ref="AT16:AT26" ca="1" si="27">(AR16-AS16)</f>
        <v>2202.9899999999998</v>
      </c>
      <c r="AU16" s="55">
        <f t="shared" ref="AU16:AU26" ca="1" si="28">(ROUND(AT16*0.14*-1,2))</f>
        <v>-308.42</v>
      </c>
      <c r="AV16" s="69">
        <f ca="1">(AN74*J16+AW16)*-1</f>
        <v>0</v>
      </c>
      <c r="AW16" s="69">
        <f ca="1">(AN2+AP2+AR2-AS16)*(J16*-1)</f>
        <v>0</v>
      </c>
      <c r="AX16" s="69">
        <f t="shared" ref="AX16:AX26" ca="1" si="29">(AV16+AW16)</f>
        <v>0</v>
      </c>
      <c r="AY16" s="55">
        <f ca="1">(AH74)</f>
        <v>87504.61</v>
      </c>
      <c r="AZ16" s="55">
        <f t="shared" ref="AZ16:AZ26" ca="1" si="30">(AY16*0.205)</f>
        <v>17938.445049999998</v>
      </c>
      <c r="BA16" s="55">
        <f t="shared" ref="BA16:BA26" ca="1" si="31">(AY16*0.01)</f>
        <v>875.04610000000002</v>
      </c>
      <c r="BB16" s="55">
        <f t="shared" ref="BB16:BB26" ca="1" si="32">(AY16*0.05*-1)</f>
        <v>-4375.2305000000006</v>
      </c>
      <c r="BC16" s="55">
        <f t="shared" ref="BC16:BC26" ca="1" si="33">(AY16+AZ16+BA16+BB16)</f>
        <v>101942.87065</v>
      </c>
      <c r="BD16" s="58">
        <v>14</v>
      </c>
      <c r="BE16" s="60">
        <v>7</v>
      </c>
      <c r="BF16" s="61">
        <v>0.16</v>
      </c>
    </row>
    <row r="17" spans="1:58" ht="39.950000000000003" customHeight="1" x14ac:dyDescent="0.25">
      <c r="A17" s="28">
        <f ca="1">(AW75)</f>
        <v>0.19306484349334008</v>
      </c>
      <c r="B17" s="29" t="s">
        <v>12</v>
      </c>
      <c r="C17" s="46">
        <v>0</v>
      </c>
      <c r="D17" s="47">
        <v>60</v>
      </c>
      <c r="E17" s="47">
        <v>0</v>
      </c>
      <c r="F17" s="46">
        <v>26</v>
      </c>
      <c r="G17" s="48" t="s">
        <v>1</v>
      </c>
      <c r="H17" s="48" t="s">
        <v>1</v>
      </c>
      <c r="I17" s="48" t="s">
        <v>1</v>
      </c>
      <c r="J17" s="49">
        <v>0</v>
      </c>
      <c r="K17" s="30">
        <f ca="1">(AH75+AZ3+AX17+AK75+AO75+AP75+AY75-L17)</f>
        <v>92592.108870967699</v>
      </c>
      <c r="L17" s="30">
        <f ca="1">(AO3+AQ3+AS3+AW17)</f>
        <v>23685.814999999999</v>
      </c>
      <c r="M17" s="31">
        <f t="shared" ca="1" si="22"/>
        <v>116277.9238709677</v>
      </c>
      <c r="N17" s="50"/>
      <c r="O17" s="8"/>
      <c r="P17" s="51"/>
      <c r="Q17" s="18"/>
      <c r="R17" s="19"/>
      <c r="S17" s="20"/>
      <c r="T17" s="21"/>
      <c r="U17" s="52" t="s">
        <v>68</v>
      </c>
      <c r="V17" s="53">
        <f t="shared" ca="1" si="4"/>
        <v>172439.70791666664</v>
      </c>
      <c r="W17" s="55">
        <f ca="1">COUNTIF(N1,"Ocak")*(BC15)
+COUNTIF(N1,"Şubat")*(BC16)
+COUNTIF(N1,"Mart")*(BC17)
+COUNTIF(N1,"Nisan")*(BC18)
+COUNTIF(N1,"Mayıs")*(BC19)
+COUNTIF(N1,"Haziran")*(BC20)
+COUNTIF(N1,"Temmuz")*(BC21)
+COUNTIF(N1,"Ağustos")*(BC22)
+COUNTIF(N1,"Eylül")*(BC23)
+COUNTIF(N1,"Ekim")*(BC24)
+COUNTIF(N1,"Kasım")*(BC25)
+COUNTIF(N1,"Aralık")*(BC26)
+COUNTIF(N1,"Yıllık Toplam")*(BC27)
+COUNTIF(N1,"Yıllık Ortalama")*(BC28)</f>
        <v>172439.70791666664</v>
      </c>
      <c r="X17" s="64"/>
      <c r="Y17" s="64"/>
      <c r="Z17" s="64"/>
      <c r="AA17" s="64"/>
      <c r="AB17" s="64"/>
      <c r="AC17" s="64"/>
      <c r="AD17" s="70">
        <f>(2273)</f>
        <v>2273</v>
      </c>
      <c r="AE17" s="52" t="s">
        <v>0</v>
      </c>
      <c r="AF17" s="53">
        <f>($AD$30*$AD$17)</f>
        <v>2301.539788</v>
      </c>
      <c r="AG17" s="53">
        <f>($AE$30*$AD$17)</f>
        <v>2301.539788</v>
      </c>
      <c r="AH17" s="66">
        <f t="shared" ref="AH17:AH26" si="34">(AI16+1)</f>
        <v>45717</v>
      </c>
      <c r="AI17" s="66">
        <f t="shared" si="21"/>
        <v>45747</v>
      </c>
      <c r="AJ17" s="67">
        <f t="shared" si="23"/>
        <v>31</v>
      </c>
      <c r="AK17" s="67">
        <f t="shared" si="24"/>
        <v>26</v>
      </c>
      <c r="AL17" s="67">
        <f t="shared" si="25"/>
        <v>5</v>
      </c>
      <c r="AM17" s="68">
        <f ca="1">(AN17+AJ31*-1+AN31*-1+AO31*-1+AM45*-1)</f>
        <v>61136</v>
      </c>
      <c r="AN17" s="55">
        <f>(AI3*AJ17)</f>
        <v>44981.93</v>
      </c>
      <c r="AO17" s="55">
        <f ca="1">ROUND((AN17+AJ31*-1+AN31*-1+AO31*-1+AM45*-1),2)</f>
        <v>61136</v>
      </c>
      <c r="AP17" s="55">
        <f ca="1">IF(AT3-AU3&gt;=0,AT3-AU3,0)</f>
        <v>3638.58</v>
      </c>
      <c r="AQ17" s="55">
        <f t="shared" ca="1" si="26"/>
        <v>-27.62</v>
      </c>
      <c r="AR17" s="55">
        <f ca="1">(AT3)</f>
        <v>9878.58</v>
      </c>
      <c r="AS17" s="55">
        <f ca="1">IF($AF$14*F17&gt;=AR17,AR17,$AF$14*F17)</f>
        <v>4108</v>
      </c>
      <c r="AT17" s="55">
        <f t="shared" ca="1" si="27"/>
        <v>5770.58</v>
      </c>
      <c r="AU17" s="55">
        <f t="shared" ca="1" si="28"/>
        <v>-807.88</v>
      </c>
      <c r="AV17" s="69">
        <f ca="1">(AN75*J17+AW17)*-1</f>
        <v>0</v>
      </c>
      <c r="AW17" s="69">
        <f ca="1">(AN3+AP3+AR3-AS17)*(J17*-1)</f>
        <v>0</v>
      </c>
      <c r="AX17" s="69">
        <f t="shared" ca="1" si="29"/>
        <v>0</v>
      </c>
      <c r="AY17" s="55">
        <f ca="1">(AH75)</f>
        <v>165777.62</v>
      </c>
      <c r="AZ17" s="55">
        <f t="shared" ca="1" si="30"/>
        <v>33984.412099999994</v>
      </c>
      <c r="BA17" s="55">
        <f t="shared" ca="1" si="31"/>
        <v>1657.7762</v>
      </c>
      <c r="BB17" s="55">
        <f t="shared" ca="1" si="32"/>
        <v>-8288.8809999999994</v>
      </c>
      <c r="BC17" s="55">
        <f t="shared" ca="1" si="33"/>
        <v>193130.92729999998</v>
      </c>
      <c r="BD17" s="58">
        <v>15</v>
      </c>
      <c r="BE17" s="60">
        <v>7.5</v>
      </c>
      <c r="BF17" s="61">
        <v>0.17</v>
      </c>
    </row>
    <row r="18" spans="1:58" ht="39.950000000000003" customHeight="1" x14ac:dyDescent="0.25">
      <c r="A18" s="28">
        <f ca="1">(AW76)</f>
        <v>0.2199244869523399</v>
      </c>
      <c r="B18" s="29" t="s">
        <v>13</v>
      </c>
      <c r="C18" s="46">
        <v>0</v>
      </c>
      <c r="D18" s="47">
        <v>60</v>
      </c>
      <c r="E18" s="47">
        <v>0</v>
      </c>
      <c r="F18" s="46">
        <v>26</v>
      </c>
      <c r="G18" s="48" t="s">
        <v>1</v>
      </c>
      <c r="H18" s="48" t="s">
        <v>1</v>
      </c>
      <c r="I18" s="48" t="s">
        <v>1</v>
      </c>
      <c r="J18" s="49">
        <v>0</v>
      </c>
      <c r="K18" s="30">
        <f ca="1">(AH76+AZ4+AX18+AK76+AO76+AP76+AY76-L18)</f>
        <v>47499.523700000005</v>
      </c>
      <c r="L18" s="30">
        <f ca="1">(AO4+AQ4+AS4+AW18)</f>
        <v>23685.814999999999</v>
      </c>
      <c r="M18" s="31">
        <f t="shared" ca="1" si="22"/>
        <v>71185.338700000008</v>
      </c>
      <c r="N18" s="50"/>
      <c r="O18" s="8"/>
      <c r="P18" s="51"/>
      <c r="Q18" s="18"/>
      <c r="R18" s="19"/>
      <c r="S18" s="20"/>
      <c r="T18" s="21"/>
      <c r="U18" s="71" t="s">
        <v>42</v>
      </c>
      <c r="V18" s="53">
        <f t="shared" ca="1" si="4"/>
        <v>97127.062508832561</v>
      </c>
      <c r="W18" s="53">
        <f ca="1">COUNTIF(N1,"Ocak")*M15
+COUNTIF(N1,"Şubat")*M16
+COUNTIF(N1,"Mart")*M17
+COUNTIF(N1,"Nisan")*M18
+COUNTIF(N1,"Mayıs")*M19
+COUNTIF(N1,"Haziran")*M20
+COUNTIF(N1,"Temmuz")*M21
+COUNTIF(N1,"Ağustos")*M22
+COUNTIF(N1,"Eylül")*M23
+COUNTIF(N1,"Ekim")*M24
+COUNTIF(N1,"Kasım")*M25
+COUNTIF(N1,"Aralık")*M26
+COUNTIF(N1,"Yıllık Toplam")*(M27)*-1
+COUNTIF(N1,"Yıllık Ortalama")*(M28)*-1</f>
        <v>-97127.062508832561</v>
      </c>
      <c r="X18" s="64"/>
      <c r="Y18" s="64"/>
      <c r="Z18" s="64"/>
      <c r="AA18" s="64"/>
      <c r="AB18" s="64"/>
      <c r="AC18" s="64"/>
      <c r="AD18" s="70">
        <f>(250)</f>
        <v>250</v>
      </c>
      <c r="AE18" s="52" t="s">
        <v>0</v>
      </c>
      <c r="AF18" s="53">
        <f>($AD$30*$AD$18*2)</f>
        <v>506.27800000000002</v>
      </c>
      <c r="AG18" s="53">
        <f>($AE$30*$AD$18*2)</f>
        <v>506.27800000000002</v>
      </c>
      <c r="AH18" s="66">
        <f t="shared" si="34"/>
        <v>45748</v>
      </c>
      <c r="AI18" s="66">
        <f t="shared" si="21"/>
        <v>45777</v>
      </c>
      <c r="AJ18" s="67">
        <f t="shared" si="23"/>
        <v>30</v>
      </c>
      <c r="AK18" s="67">
        <f t="shared" si="24"/>
        <v>26</v>
      </c>
      <c r="AL18" s="67">
        <f t="shared" si="25"/>
        <v>4</v>
      </c>
      <c r="AM18" s="68">
        <f ca="1">(AN18+AJ32*-1+AN32*-1+AO32*-1+AM46*-1)</f>
        <v>61051.71</v>
      </c>
      <c r="AN18" s="55">
        <f>(AI4*AJ18)</f>
        <v>43530.9</v>
      </c>
      <c r="AO18" s="55">
        <f ca="1">ROUND((AN18+AJ32*-1+AN32*-1+AO32*-1+AM46*-1),2)</f>
        <v>61051.71</v>
      </c>
      <c r="AP18" s="55">
        <f ca="1">IF(AT4-AU4&gt;=0,AT4-AU4,0)</f>
        <v>3752.2000000000007</v>
      </c>
      <c r="AQ18" s="55">
        <f t="shared" ca="1" si="26"/>
        <v>-28.48</v>
      </c>
      <c r="AR18" s="55">
        <f ca="1">(AT4)</f>
        <v>9992.2000000000007</v>
      </c>
      <c r="AS18" s="55">
        <f ca="1">IF($AF$14*F18&gt;=AR18,AR18,$AF$14*F18)</f>
        <v>4108</v>
      </c>
      <c r="AT18" s="55">
        <f t="shared" ca="1" si="27"/>
        <v>5884.2000000000007</v>
      </c>
      <c r="AU18" s="55">
        <f t="shared" ca="1" si="28"/>
        <v>-823.79</v>
      </c>
      <c r="AV18" s="69">
        <f ca="1">(AN76*J18+AW18)*-1</f>
        <v>0</v>
      </c>
      <c r="AW18" s="69">
        <f ca="1">(AN4+AP4+AR4-AS18)*(J18*-1)</f>
        <v>0</v>
      </c>
      <c r="AX18" s="69">
        <f t="shared" ca="1" si="29"/>
        <v>0</v>
      </c>
      <c r="AY18" s="55">
        <f ca="1">(AH76)</f>
        <v>102522.16</v>
      </c>
      <c r="AZ18" s="55">
        <f t="shared" ca="1" si="30"/>
        <v>21017.042799999999</v>
      </c>
      <c r="BA18" s="55">
        <f t="shared" ca="1" si="31"/>
        <v>1025.2216000000001</v>
      </c>
      <c r="BB18" s="55">
        <f t="shared" ca="1" si="32"/>
        <v>-5126.1080000000002</v>
      </c>
      <c r="BC18" s="55">
        <f t="shared" ca="1" si="33"/>
        <v>119438.31640000001</v>
      </c>
      <c r="BD18" s="58">
        <v>16</v>
      </c>
      <c r="BE18" s="60">
        <v>8</v>
      </c>
      <c r="BF18" s="61">
        <v>0.18</v>
      </c>
    </row>
    <row r="19" spans="1:58" ht="39.950000000000003" customHeight="1" x14ac:dyDescent="0.25">
      <c r="A19" s="28">
        <f ca="1">(AW77)</f>
        <v>0.27</v>
      </c>
      <c r="B19" s="29" t="s">
        <v>14</v>
      </c>
      <c r="C19" s="46">
        <v>0</v>
      </c>
      <c r="D19" s="47">
        <v>60</v>
      </c>
      <c r="E19" s="47">
        <v>0</v>
      </c>
      <c r="F19" s="46">
        <v>26</v>
      </c>
      <c r="G19" s="48" t="s">
        <v>1</v>
      </c>
      <c r="H19" s="48" t="s">
        <v>1</v>
      </c>
      <c r="I19" s="48" t="s">
        <v>1</v>
      </c>
      <c r="J19" s="49">
        <v>0</v>
      </c>
      <c r="K19" s="30">
        <f ca="1">(AH77+AZ5+AX19+AK77+AO77+AP77+AY77-L19)</f>
        <v>48732.542903225811</v>
      </c>
      <c r="L19" s="30">
        <f ca="1">(AO5+AQ5+AS5+AW19)</f>
        <v>23685.814999999999</v>
      </c>
      <c r="M19" s="31">
        <f t="shared" ca="1" si="22"/>
        <v>72418.357903225813</v>
      </c>
      <c r="N19" s="50"/>
      <c r="O19" s="8"/>
      <c r="P19" s="51"/>
      <c r="Q19" s="18"/>
      <c r="R19" s="19"/>
      <c r="S19" s="20"/>
      <c r="T19" s="21"/>
      <c r="U19" s="71" t="s">
        <v>43</v>
      </c>
      <c r="V19" s="53">
        <f t="shared" ca="1" si="4"/>
        <v>50889.854157834125</v>
      </c>
      <c r="W19" s="53">
        <f ca="1">COUNTIF(N1,"Ocak")*(AH73-M15)
+COUNTIF(N1,"Şubat")*(AH74-M16)
+COUNTIF(N1,"Mart")*(AH75-M17)
+COUNTIF(N1,"Nisan")*(AH76-M18)
+COUNTIF(N1,"Mayıs")*(AH77-M19)
+COUNTIF(N1,"Haziran")*(AH78-M20)
+COUNTIF(N1,"Temmuz")*(AH79-M21)
+COUNTIF(N1,"Ağustos")*(AH80-M22)
+COUNTIF(N1,"Eylül")*(AH81-M23)
+COUNTIF(N1,"Ekim")*(AH82-M24)
+COUNTIF(N1,"Kasım")*(AH83-M25)
+COUNTIF(N1,"Aralık")*(AH84-M26)
+COUNTIF(N1,"Yıllık Toplam")*(AH85-M27)*-1
+COUNTIF(N1,"Yıllık Ortalama")*(AH86-M28)*-1</f>
        <v>-50889.854157834125</v>
      </c>
      <c r="X19" s="64"/>
      <c r="Y19" s="64"/>
      <c r="Z19" s="64"/>
      <c r="AA19" s="64"/>
      <c r="AB19" s="64"/>
      <c r="AC19" s="64"/>
      <c r="AD19" s="70">
        <f>(AD18)</f>
        <v>250</v>
      </c>
      <c r="AE19" s="52" t="s">
        <v>0</v>
      </c>
      <c r="AF19" s="53">
        <f>($AD$30*$AD$19)</f>
        <v>253.13900000000001</v>
      </c>
      <c r="AG19" s="53">
        <f>($AE$30*$AD$19)</f>
        <v>253.13900000000001</v>
      </c>
      <c r="AH19" s="66">
        <f t="shared" si="34"/>
        <v>45778</v>
      </c>
      <c r="AI19" s="66">
        <f t="shared" si="21"/>
        <v>45808</v>
      </c>
      <c r="AJ19" s="67">
        <f t="shared" si="23"/>
        <v>31</v>
      </c>
      <c r="AK19" s="67">
        <f t="shared" si="24"/>
        <v>27</v>
      </c>
      <c r="AL19" s="67">
        <f t="shared" si="25"/>
        <v>4</v>
      </c>
      <c r="AM19" s="68">
        <f ca="1">(AN19+AJ33*-1+AN33*-1+AO33*-1+AM47*-1)</f>
        <v>67658.95</v>
      </c>
      <c r="AN19" s="55">
        <f>(AI5*AJ19)</f>
        <v>44981.93</v>
      </c>
      <c r="AO19" s="55">
        <f ca="1">ROUND((AN19+AJ33*-1+AN33*-1+AO33*-1+AM47*-1),2)</f>
        <v>67658.95</v>
      </c>
      <c r="AP19" s="55">
        <f ca="1">IF(AT5-AU5&gt;=0,AT5-AU5,0)</f>
        <v>3986.6499999999996</v>
      </c>
      <c r="AQ19" s="55">
        <f t="shared" ca="1" si="26"/>
        <v>-30.26</v>
      </c>
      <c r="AR19" s="55">
        <f ca="1">(AT5)</f>
        <v>10226.65</v>
      </c>
      <c r="AS19" s="55">
        <f ca="1">IF($AF$14*F19&gt;=AR19,AR19,$AF$14*F19)</f>
        <v>4108</v>
      </c>
      <c r="AT19" s="55">
        <f t="shared" ca="1" si="27"/>
        <v>6118.65</v>
      </c>
      <c r="AU19" s="55">
        <f t="shared" ca="1" si="28"/>
        <v>-856.61</v>
      </c>
      <c r="AV19" s="69">
        <f ca="1">(AN77*J19+AW19)*-1</f>
        <v>0</v>
      </c>
      <c r="AW19" s="69">
        <f ca="1">(AN5+AP5+AR5-AS19)*(J19*-1)</f>
        <v>0</v>
      </c>
      <c r="AX19" s="69">
        <f t="shared" ca="1" si="29"/>
        <v>0</v>
      </c>
      <c r="AY19" s="55">
        <f ca="1">(AH77)</f>
        <v>111202.66</v>
      </c>
      <c r="AZ19" s="55">
        <f t="shared" ca="1" si="30"/>
        <v>22796.545299999998</v>
      </c>
      <c r="BA19" s="55">
        <f t="shared" ca="1" si="31"/>
        <v>1112.0266000000001</v>
      </c>
      <c r="BB19" s="55">
        <f t="shared" ca="1" si="32"/>
        <v>-5560.1330000000007</v>
      </c>
      <c r="BC19" s="55">
        <f t="shared" ca="1" si="33"/>
        <v>129551.09890000001</v>
      </c>
      <c r="BD19" s="58">
        <v>17</v>
      </c>
      <c r="BE19" s="60">
        <v>8.5</v>
      </c>
      <c r="BF19" s="61">
        <v>0.19</v>
      </c>
    </row>
    <row r="20" spans="1:58" ht="39.950000000000003" customHeight="1" x14ac:dyDescent="0.25">
      <c r="A20" s="28">
        <f ca="1">(AW78)</f>
        <v>0.27</v>
      </c>
      <c r="B20" s="29" t="s">
        <v>15</v>
      </c>
      <c r="C20" s="46">
        <v>0</v>
      </c>
      <c r="D20" s="47">
        <v>60</v>
      </c>
      <c r="E20" s="47">
        <v>0</v>
      </c>
      <c r="F20" s="46">
        <v>26</v>
      </c>
      <c r="G20" s="48" t="s">
        <v>1</v>
      </c>
      <c r="H20" s="48" t="s">
        <v>1</v>
      </c>
      <c r="I20" s="48" t="s">
        <v>1</v>
      </c>
      <c r="J20" s="49">
        <v>0</v>
      </c>
      <c r="K20" s="30">
        <f ca="1">(AH78+AZ6+AX20+AK78+AO78+AP78+AY78-L20)</f>
        <v>90816.469699999943</v>
      </c>
      <c r="L20" s="30">
        <f ca="1">(AO6+AQ6+AS6+AW20)</f>
        <v>23685.814999999999</v>
      </c>
      <c r="M20" s="31">
        <f t="shared" ca="1" si="22"/>
        <v>114502.28469999995</v>
      </c>
      <c r="N20" s="50"/>
      <c r="O20" s="8"/>
      <c r="P20" s="51"/>
      <c r="Q20" s="18"/>
      <c r="R20" s="19"/>
      <c r="S20" s="20"/>
      <c r="T20" s="21"/>
      <c r="U20" s="72" t="s">
        <v>23</v>
      </c>
      <c r="V20" s="72" t="s">
        <v>70</v>
      </c>
      <c r="W20" s="64"/>
      <c r="X20" s="64"/>
      <c r="Y20" s="64"/>
      <c r="Z20" s="64"/>
      <c r="AA20" s="64"/>
      <c r="AB20" s="64"/>
      <c r="AC20" s="64"/>
      <c r="AD20" s="71">
        <f>(1.5)</f>
        <v>1.5</v>
      </c>
      <c r="AE20" s="52" t="s">
        <v>0</v>
      </c>
      <c r="AF20" s="53">
        <f>($AF$18*$AD$20)</f>
        <v>759.41700000000003</v>
      </c>
      <c r="AG20" s="53">
        <f>($AG$18*$AD$20)</f>
        <v>759.41700000000003</v>
      </c>
      <c r="AH20" s="66">
        <f t="shared" si="34"/>
        <v>45809</v>
      </c>
      <c r="AI20" s="66">
        <f t="shared" si="21"/>
        <v>45838</v>
      </c>
      <c r="AJ20" s="67">
        <f t="shared" si="23"/>
        <v>30</v>
      </c>
      <c r="AK20" s="67">
        <f t="shared" si="24"/>
        <v>25</v>
      </c>
      <c r="AL20" s="67">
        <f t="shared" si="25"/>
        <v>5</v>
      </c>
      <c r="AM20" s="68">
        <f ca="1">(AN20+AJ34*-1+AN34*-1+AO34*-1+AM48*-1)</f>
        <v>65291.509999999995</v>
      </c>
      <c r="AN20" s="55">
        <f>(AI6*AJ20)</f>
        <v>43530.9</v>
      </c>
      <c r="AO20" s="55">
        <f ca="1">ROUND((AN20+AJ34*-1+AN34*-1+AO34*-1+AM48*-1),2)</f>
        <v>65291.51</v>
      </c>
      <c r="AP20" s="55">
        <f ca="1">IF(AT6-AU6&gt;=0,AT6-AU6,0)</f>
        <v>3986.6499999999996</v>
      </c>
      <c r="AQ20" s="55">
        <f t="shared" ca="1" si="26"/>
        <v>-30.26</v>
      </c>
      <c r="AR20" s="55">
        <f ca="1">(AT6)</f>
        <v>10226.65</v>
      </c>
      <c r="AS20" s="55">
        <f ca="1">IF($AF$14*F20&gt;=AR20,AR20,$AF$14*F20)</f>
        <v>4108</v>
      </c>
      <c r="AT20" s="55">
        <f t="shared" ca="1" si="27"/>
        <v>6118.65</v>
      </c>
      <c r="AU20" s="55">
        <f t="shared" ca="1" si="28"/>
        <v>-856.61</v>
      </c>
      <c r="AV20" s="69">
        <f ca="1">(AN78*J20+AW20)*-1</f>
        <v>0</v>
      </c>
      <c r="AW20" s="69">
        <f ca="1">(AN6+AP6+AR6-AS20)*(J20*-1)</f>
        <v>0</v>
      </c>
      <c r="AX20" s="69">
        <f t="shared" ca="1" si="29"/>
        <v>0</v>
      </c>
      <c r="AY20" s="55">
        <f ca="1">(AH78)</f>
        <v>179858.55</v>
      </c>
      <c r="AZ20" s="55">
        <f t="shared" ca="1" si="30"/>
        <v>36871.002749999992</v>
      </c>
      <c r="BA20" s="55">
        <f t="shared" ca="1" si="31"/>
        <v>1798.5854999999999</v>
      </c>
      <c r="BB20" s="55">
        <f t="shared" ca="1" si="32"/>
        <v>-8992.9274999999998</v>
      </c>
      <c r="BC20" s="55">
        <f t="shared" ca="1" si="33"/>
        <v>209535.21074999997</v>
      </c>
      <c r="BD20" s="58">
        <v>18</v>
      </c>
      <c r="BE20" s="60">
        <v>9</v>
      </c>
      <c r="BF20" s="61">
        <v>0.2</v>
      </c>
    </row>
    <row r="21" spans="1:58" ht="39.950000000000003" customHeight="1" x14ac:dyDescent="0.25">
      <c r="A21" s="28">
        <f ca="1">(AW79)</f>
        <v>0.27</v>
      </c>
      <c r="B21" s="29" t="s">
        <v>16</v>
      </c>
      <c r="C21" s="46">
        <v>0</v>
      </c>
      <c r="D21" s="47">
        <v>60</v>
      </c>
      <c r="E21" s="47">
        <v>0</v>
      </c>
      <c r="F21" s="46">
        <v>26</v>
      </c>
      <c r="G21" s="48" t="s">
        <v>1</v>
      </c>
      <c r="H21" s="48" t="s">
        <v>1</v>
      </c>
      <c r="I21" s="48" t="s">
        <v>1</v>
      </c>
      <c r="J21" s="49">
        <v>0</v>
      </c>
      <c r="K21" s="30">
        <f ca="1">(AH79+AZ7+AX21+AK79+AO79+AP79+AY79-L21)</f>
        <v>57100.775032258069</v>
      </c>
      <c r="L21" s="30">
        <f ca="1">(AO7+AQ7+AS7+AW21)</f>
        <v>26428.205000000002</v>
      </c>
      <c r="M21" s="31">
        <f t="shared" ca="1" si="22"/>
        <v>83528.98003225807</v>
      </c>
      <c r="N21" s="50"/>
      <c r="O21" s="8"/>
      <c r="P21" s="51"/>
      <c r="Q21" s="18"/>
      <c r="R21" s="19"/>
      <c r="S21" s="20"/>
      <c r="T21" s="21"/>
      <c r="U21" s="73" t="s">
        <v>22</v>
      </c>
      <c r="V21" s="74" t="s">
        <v>86</v>
      </c>
      <c r="W21" s="64"/>
      <c r="X21" s="64"/>
      <c r="Y21" s="64"/>
      <c r="Z21" s="64"/>
      <c r="AA21" s="64"/>
      <c r="AB21" s="64"/>
      <c r="AC21" s="64"/>
      <c r="AD21" s="52" t="s">
        <v>0</v>
      </c>
      <c r="AE21" s="52" t="s">
        <v>0</v>
      </c>
      <c r="AF21" s="53">
        <f>($AF$20/2)</f>
        <v>379.70850000000002</v>
      </c>
      <c r="AG21" s="53">
        <f>($AG$20/2)</f>
        <v>379.70850000000002</v>
      </c>
      <c r="AH21" s="66">
        <f t="shared" si="34"/>
        <v>45839</v>
      </c>
      <c r="AI21" s="66">
        <f t="shared" si="21"/>
        <v>45869</v>
      </c>
      <c r="AJ21" s="67">
        <f t="shared" si="23"/>
        <v>31</v>
      </c>
      <c r="AK21" s="67">
        <f t="shared" si="24"/>
        <v>27</v>
      </c>
      <c r="AL21" s="67">
        <f t="shared" si="25"/>
        <v>4</v>
      </c>
      <c r="AM21" s="68">
        <f ca="1">(AN21+AJ35*-1+AN35*-1+AO35*-1+AM49*-1)</f>
        <v>80869.010000000009</v>
      </c>
      <c r="AN21" s="55">
        <f>(AI7*AJ21)</f>
        <v>53078.51</v>
      </c>
      <c r="AO21" s="55">
        <f ca="1">ROUND((AN21+AJ35*-1+AN35*-1+AO35*-1+AM49*-1),2)</f>
        <v>80869.009999999995</v>
      </c>
      <c r="AP21" s="55">
        <f ca="1">IF(AT7-AU7&gt;=0,AT7-AU7,0)</f>
        <v>3986.6499999999996</v>
      </c>
      <c r="AQ21" s="55">
        <f t="shared" ca="1" si="26"/>
        <v>-30.26</v>
      </c>
      <c r="AR21" s="55">
        <f ca="1">(AT7)</f>
        <v>10226.65</v>
      </c>
      <c r="AS21" s="55">
        <f ca="1">IF($AG$14*F21&gt;=AR21,AR21,$AG$14*F21)</f>
        <v>4108</v>
      </c>
      <c r="AT21" s="55">
        <f t="shared" ca="1" si="27"/>
        <v>6118.65</v>
      </c>
      <c r="AU21" s="55">
        <f t="shared" ca="1" si="28"/>
        <v>-856.61</v>
      </c>
      <c r="AV21" s="69">
        <f ca="1">(AN79*J21+AW21)*-1</f>
        <v>0</v>
      </c>
      <c r="AW21" s="69">
        <f ca="1">(AN7+AP7+AR7-AS21)*(J21*-1)</f>
        <v>0</v>
      </c>
      <c r="AX21" s="69">
        <f t="shared" ca="1" si="29"/>
        <v>0</v>
      </c>
      <c r="AY21" s="55">
        <f ca="1">(AH79)</f>
        <v>129787.11</v>
      </c>
      <c r="AZ21" s="55">
        <f t="shared" ca="1" si="30"/>
        <v>26606.357549999997</v>
      </c>
      <c r="BA21" s="55">
        <f t="shared" ca="1" si="31"/>
        <v>1297.8711000000001</v>
      </c>
      <c r="BB21" s="55">
        <f t="shared" ca="1" si="32"/>
        <v>-6489.3555000000006</v>
      </c>
      <c r="BC21" s="55">
        <f t="shared" ca="1" si="33"/>
        <v>151201.98314999999</v>
      </c>
      <c r="BD21" s="58">
        <v>19</v>
      </c>
      <c r="BE21" s="60">
        <v>9.5</v>
      </c>
      <c r="BF21" s="61">
        <v>0.21</v>
      </c>
    </row>
    <row r="22" spans="1:58" ht="39.950000000000003" customHeight="1" x14ac:dyDescent="0.25">
      <c r="A22" s="28">
        <f ca="1">(AW80)</f>
        <v>0.27</v>
      </c>
      <c r="B22" s="29" t="s">
        <v>17</v>
      </c>
      <c r="C22" s="46">
        <v>0</v>
      </c>
      <c r="D22" s="47">
        <v>60</v>
      </c>
      <c r="E22" s="47">
        <v>0</v>
      </c>
      <c r="F22" s="46">
        <v>26</v>
      </c>
      <c r="G22" s="48" t="s">
        <v>1</v>
      </c>
      <c r="H22" s="48" t="s">
        <v>1</v>
      </c>
      <c r="I22" s="48" t="s">
        <v>1</v>
      </c>
      <c r="J22" s="49">
        <v>0</v>
      </c>
      <c r="K22" s="30">
        <f ca="1">(AH80+AZ8+AX22+AK80+AO80+AP80+AY80-L22)</f>
        <v>57133.349483870959</v>
      </c>
      <c r="L22" s="30">
        <f ca="1">(AO8+AQ8+AS8+AW22)</f>
        <v>26428.205000000002</v>
      </c>
      <c r="M22" s="31">
        <f t="shared" ca="1" si="22"/>
        <v>83561.554483870961</v>
      </c>
      <c r="N22" s="50"/>
      <c r="O22" s="8"/>
      <c r="P22" s="51"/>
      <c r="Q22" s="18"/>
      <c r="R22" s="19"/>
      <c r="S22" s="20"/>
      <c r="T22" s="21"/>
      <c r="U22" s="73" t="s">
        <v>24</v>
      </c>
      <c r="V22" s="75" t="s">
        <v>48</v>
      </c>
      <c r="W22" s="64"/>
      <c r="X22" s="64"/>
      <c r="Y22" s="64"/>
      <c r="Z22" s="64"/>
      <c r="AA22" s="64"/>
      <c r="AB22" s="64"/>
      <c r="AC22" s="64"/>
      <c r="AH22" s="66">
        <f t="shared" si="34"/>
        <v>45870</v>
      </c>
      <c r="AI22" s="66">
        <f t="shared" si="21"/>
        <v>45900</v>
      </c>
      <c r="AJ22" s="67">
        <f t="shared" si="23"/>
        <v>31</v>
      </c>
      <c r="AK22" s="67">
        <f t="shared" si="24"/>
        <v>26</v>
      </c>
      <c r="AL22" s="67">
        <f t="shared" si="25"/>
        <v>5</v>
      </c>
      <c r="AM22" s="68">
        <f ca="1">(AN22+AJ36*-1+AN36*-1+AO36*-1+AM50*-1)</f>
        <v>79332.289999999994</v>
      </c>
      <c r="AN22" s="55">
        <f>(AI8*AJ22)</f>
        <v>53078.51</v>
      </c>
      <c r="AO22" s="55">
        <f ca="1">ROUND((AN22+AJ36*-1+AN36*-1+AO36*-1+AM50*-1),2)</f>
        <v>79332.289999999994</v>
      </c>
      <c r="AP22" s="55">
        <f ca="1">IF(AT8-AU8&gt;=0,AT8-AU8,0)</f>
        <v>3986.6499999999996</v>
      </c>
      <c r="AQ22" s="55">
        <f t="shared" ca="1" si="26"/>
        <v>-30.26</v>
      </c>
      <c r="AR22" s="55">
        <f ca="1">(AT8)</f>
        <v>10226.65</v>
      </c>
      <c r="AS22" s="55">
        <f ca="1">IF($AG$14*F22&gt;=AR22,AR22,$AG$14*F22)</f>
        <v>4108</v>
      </c>
      <c r="AT22" s="55">
        <f t="shared" ca="1" si="27"/>
        <v>6118.65</v>
      </c>
      <c r="AU22" s="55">
        <f t="shared" ca="1" si="28"/>
        <v>-856.61</v>
      </c>
      <c r="AV22" s="69">
        <f ca="1">(AN80*J22+AW22)*-1</f>
        <v>0</v>
      </c>
      <c r="AW22" s="69">
        <f ca="1">(AN8+AP8+AR8-AS22)*(J22*-1)</f>
        <v>0</v>
      </c>
      <c r="AX22" s="69">
        <f t="shared" ca="1" si="29"/>
        <v>0</v>
      </c>
      <c r="AY22" s="55">
        <f ca="1">(AH80)</f>
        <v>128250.4</v>
      </c>
      <c r="AZ22" s="55">
        <f t="shared" ca="1" si="30"/>
        <v>26291.331999999999</v>
      </c>
      <c r="BA22" s="55">
        <f t="shared" ca="1" si="31"/>
        <v>1282.5039999999999</v>
      </c>
      <c r="BB22" s="55">
        <f t="shared" ca="1" si="32"/>
        <v>-6412.52</v>
      </c>
      <c r="BC22" s="55">
        <f t="shared" ca="1" si="33"/>
        <v>149411.71599999999</v>
      </c>
      <c r="BD22" s="58">
        <v>20</v>
      </c>
      <c r="BE22" s="60">
        <v>10</v>
      </c>
      <c r="BF22" s="61">
        <v>0.22</v>
      </c>
    </row>
    <row r="23" spans="1:58" ht="39.950000000000003" customHeight="1" x14ac:dyDescent="0.25">
      <c r="A23" s="28">
        <f ca="1">(AW81)</f>
        <v>0.27</v>
      </c>
      <c r="B23" s="29" t="s">
        <v>18</v>
      </c>
      <c r="C23" s="46">
        <v>0</v>
      </c>
      <c r="D23" s="47">
        <v>60</v>
      </c>
      <c r="E23" s="47">
        <v>0</v>
      </c>
      <c r="F23" s="46">
        <v>26</v>
      </c>
      <c r="G23" s="48" t="s">
        <v>1</v>
      </c>
      <c r="H23" s="48" t="s">
        <v>1</v>
      </c>
      <c r="I23" s="48" t="s">
        <v>1</v>
      </c>
      <c r="J23" s="49">
        <v>0</v>
      </c>
      <c r="K23" s="30">
        <f ca="1">(AH81+AZ9+AX23+AK81+AO81+AP81+AY81-L23)</f>
        <v>121430.90369999998</v>
      </c>
      <c r="L23" s="30">
        <f ca="1">(AO9+AQ9+AS9+AW23)</f>
        <v>28945.264999999999</v>
      </c>
      <c r="M23" s="31">
        <f t="shared" ca="1" si="22"/>
        <v>150376.16869999998</v>
      </c>
      <c r="N23" s="50"/>
      <c r="O23" s="8"/>
      <c r="P23" s="51"/>
      <c r="Q23" s="18"/>
      <c r="R23" s="19"/>
      <c r="S23" s="20"/>
      <c r="T23" s="21"/>
      <c r="U23" s="73" t="s">
        <v>44</v>
      </c>
      <c r="V23" s="53" t="s">
        <v>53</v>
      </c>
      <c r="W23" s="64"/>
      <c r="X23" s="64"/>
      <c r="Y23" s="64"/>
      <c r="Z23" s="64"/>
      <c r="AA23" s="64"/>
      <c r="AB23" s="64"/>
      <c r="AC23" s="64"/>
      <c r="AD23" s="52">
        <f>(1500)</f>
        <v>1500</v>
      </c>
      <c r="AE23" s="52" t="s">
        <v>0</v>
      </c>
      <c r="AF23" s="53">
        <f>($AD$30*$AD$23)</f>
        <v>1518.8340000000001</v>
      </c>
      <c r="AG23" s="53">
        <f>($AE$30*$AD$23)</f>
        <v>1518.8340000000001</v>
      </c>
      <c r="AH23" s="66">
        <f t="shared" si="34"/>
        <v>45901</v>
      </c>
      <c r="AI23" s="66">
        <f t="shared" si="21"/>
        <v>45930</v>
      </c>
      <c r="AJ23" s="67">
        <f t="shared" si="23"/>
        <v>30</v>
      </c>
      <c r="AK23" s="67">
        <f t="shared" si="24"/>
        <v>26</v>
      </c>
      <c r="AL23" s="67">
        <f t="shared" si="25"/>
        <v>4</v>
      </c>
      <c r="AM23" s="68">
        <f ca="1">(AN23+AJ37*-1+AN37*-1+AO37*-1+AM51*-1)</f>
        <v>88005.709999999992</v>
      </c>
      <c r="AN23" s="55">
        <f>(AI9*AJ23)</f>
        <v>58557.9</v>
      </c>
      <c r="AO23" s="55">
        <f ca="1">ROUND((AN23+AJ37*-1+AN37*-1+AO37*-1+AM51*-1),2)</f>
        <v>88005.71</v>
      </c>
      <c r="AP23" s="55">
        <f ca="1">IF(AT9-AU9&gt;=0,AT9-AU9,0)</f>
        <v>3986.6499999999996</v>
      </c>
      <c r="AQ23" s="55">
        <f t="shared" ca="1" si="26"/>
        <v>-30.26</v>
      </c>
      <c r="AR23" s="55">
        <f ca="1">(AT9)</f>
        <v>10226.65</v>
      </c>
      <c r="AS23" s="55">
        <f ca="1">IF($AG$14*F23&gt;=AR23,AR23,$AG$14*F23)</f>
        <v>4108</v>
      </c>
      <c r="AT23" s="55">
        <f t="shared" ca="1" si="27"/>
        <v>6118.65</v>
      </c>
      <c r="AU23" s="55">
        <f t="shared" ca="1" si="28"/>
        <v>-856.61</v>
      </c>
      <c r="AV23" s="69">
        <f ca="1">(AN81*J23+AW23)*-1</f>
        <v>0</v>
      </c>
      <c r="AW23" s="69">
        <f ca="1">(AN9+AP9+AR9-AS23)*(J23*-1)</f>
        <v>0</v>
      </c>
      <c r="AX23" s="69">
        <f t="shared" ca="1" si="29"/>
        <v>0</v>
      </c>
      <c r="AY23" s="55">
        <f ca="1">(AH81)</f>
        <v>231599.83</v>
      </c>
      <c r="AZ23" s="55">
        <f t="shared" ca="1" si="30"/>
        <v>47477.965149999996</v>
      </c>
      <c r="BA23" s="55">
        <f t="shared" ca="1" si="31"/>
        <v>2315.9982999999997</v>
      </c>
      <c r="BB23" s="55">
        <f t="shared" ca="1" si="32"/>
        <v>-11579.9915</v>
      </c>
      <c r="BC23" s="55">
        <f t="shared" ca="1" si="33"/>
        <v>269813.80194999994</v>
      </c>
      <c r="BD23" s="58">
        <v>21</v>
      </c>
      <c r="BE23" s="60">
        <v>10.5</v>
      </c>
      <c r="BF23" s="61">
        <v>0.23</v>
      </c>
    </row>
    <row r="24" spans="1:58" ht="39.950000000000003" customHeight="1" x14ac:dyDescent="0.25">
      <c r="A24" s="28">
        <f ca="1">(AW82)</f>
        <v>0.27</v>
      </c>
      <c r="B24" s="29" t="s">
        <v>19</v>
      </c>
      <c r="C24" s="46">
        <v>0</v>
      </c>
      <c r="D24" s="47">
        <v>60</v>
      </c>
      <c r="E24" s="47">
        <v>0</v>
      </c>
      <c r="F24" s="46">
        <v>26</v>
      </c>
      <c r="G24" s="48" t="s">
        <v>1</v>
      </c>
      <c r="H24" s="48" t="s">
        <v>1</v>
      </c>
      <c r="I24" s="48" t="s">
        <v>1</v>
      </c>
      <c r="J24" s="49">
        <v>0</v>
      </c>
      <c r="K24" s="30">
        <f ca="1">(AH82+AZ10+AX24+AK82+AO82+AP82+AY82-L24)</f>
        <v>64819.61177419356</v>
      </c>
      <c r="L24" s="30">
        <f ca="1">(AO10+AQ10+AS10+AW24)</f>
        <v>28945.264999999999</v>
      </c>
      <c r="M24" s="31">
        <f t="shared" ca="1" si="22"/>
        <v>93764.876774193559</v>
      </c>
      <c r="N24" s="50"/>
      <c r="O24" s="8"/>
      <c r="P24" s="51"/>
      <c r="Q24" s="18"/>
      <c r="R24" s="19"/>
      <c r="S24" s="20"/>
      <c r="T24" s="21"/>
      <c r="U24" s="73" t="s">
        <v>28</v>
      </c>
      <c r="V24" s="75" t="s">
        <v>49</v>
      </c>
      <c r="W24" s="64"/>
      <c r="X24" s="64"/>
      <c r="Y24" s="64"/>
      <c r="Z24" s="64"/>
      <c r="AA24" s="64"/>
      <c r="AB24" s="64"/>
      <c r="AC24" s="64"/>
      <c r="AD24" s="52">
        <f>(8000)</f>
        <v>8000</v>
      </c>
      <c r="AE24" s="52" t="s">
        <v>0</v>
      </c>
      <c r="AF24" s="53">
        <f>($AD$30*$AD$24)</f>
        <v>8100.4480000000003</v>
      </c>
      <c r="AG24" s="53">
        <f>($AE$30*$AD$24)</f>
        <v>8100.4480000000003</v>
      </c>
      <c r="AH24" s="66">
        <f t="shared" si="34"/>
        <v>45931</v>
      </c>
      <c r="AI24" s="66">
        <f t="shared" si="21"/>
        <v>45961</v>
      </c>
      <c r="AJ24" s="67">
        <f t="shared" si="23"/>
        <v>31</v>
      </c>
      <c r="AK24" s="67">
        <f t="shared" si="24"/>
        <v>27</v>
      </c>
      <c r="AL24" s="67">
        <f t="shared" si="25"/>
        <v>4</v>
      </c>
      <c r="AM24" s="68">
        <f ca="1">(AN24+AJ38*-1+AN38*-1+AO38*-1+AM52*-1)</f>
        <v>91190.399999999994</v>
      </c>
      <c r="AN24" s="55">
        <f>(AI10*AJ24)</f>
        <v>60509.83</v>
      </c>
      <c r="AO24" s="55">
        <f ca="1">ROUND((AN24+AJ38*-1+AN38*-1+AO38*-1+AM52*-1),2)</f>
        <v>91190.399999999994</v>
      </c>
      <c r="AP24" s="55">
        <f ca="1">IF(AT10-AU10&gt;=0,AT10-AU10,0)</f>
        <v>3986.6499999999996</v>
      </c>
      <c r="AQ24" s="55">
        <f t="shared" ca="1" si="26"/>
        <v>-30.26</v>
      </c>
      <c r="AR24" s="55">
        <f ca="1">(AT10)</f>
        <v>10226.65</v>
      </c>
      <c r="AS24" s="55">
        <f ca="1">IF($AG$14*F24&gt;=AR24,AR24,$AG$14*F24)</f>
        <v>4108</v>
      </c>
      <c r="AT24" s="55">
        <f t="shared" ca="1" si="27"/>
        <v>6118.65</v>
      </c>
      <c r="AU24" s="55">
        <f t="shared" ca="1" si="28"/>
        <v>-856.61</v>
      </c>
      <c r="AV24" s="69">
        <f ca="1">(AN82*J24+AW24)*-1</f>
        <v>0</v>
      </c>
      <c r="AW24" s="69">
        <f ca="1">(AN10+AP10+AR10-AS24)*(J24*-1)</f>
        <v>0</v>
      </c>
      <c r="AX24" s="69">
        <f t="shared" ca="1" si="29"/>
        <v>0</v>
      </c>
      <c r="AY24" s="55">
        <f ca="1">(AH82)</f>
        <v>145041.22</v>
      </c>
      <c r="AZ24" s="55">
        <f t="shared" ca="1" si="30"/>
        <v>29733.450099999998</v>
      </c>
      <c r="BA24" s="55">
        <f t="shared" ca="1" si="31"/>
        <v>1450.4122</v>
      </c>
      <c r="BB24" s="55">
        <f t="shared" ca="1" si="32"/>
        <v>-7252.0610000000006</v>
      </c>
      <c r="BC24" s="55">
        <f t="shared" ca="1" si="33"/>
        <v>168973.02129999999</v>
      </c>
      <c r="BD24" s="58">
        <v>22</v>
      </c>
      <c r="BE24" s="60">
        <v>11</v>
      </c>
      <c r="BF24" s="61">
        <v>0.24</v>
      </c>
    </row>
    <row r="25" spans="1:58" ht="39.950000000000003" customHeight="1" x14ac:dyDescent="0.25">
      <c r="A25" s="28">
        <f ca="1">(AW83)</f>
        <v>0.27720644723609378</v>
      </c>
      <c r="B25" s="29" t="s">
        <v>20</v>
      </c>
      <c r="C25" s="46">
        <v>0</v>
      </c>
      <c r="D25" s="47">
        <v>60</v>
      </c>
      <c r="E25" s="47">
        <v>0</v>
      </c>
      <c r="F25" s="46">
        <v>26</v>
      </c>
      <c r="G25" s="48" t="s">
        <v>1</v>
      </c>
      <c r="H25" s="48" t="s">
        <v>1</v>
      </c>
      <c r="I25" s="48" t="s">
        <v>1</v>
      </c>
      <c r="J25" s="49">
        <v>0</v>
      </c>
      <c r="K25" s="30">
        <f ca="1">(AH83+AZ11+AX25+AK83+AO83+AP83+AY83-L25)</f>
        <v>62831.571399999986</v>
      </c>
      <c r="L25" s="30">
        <f ca="1">(AO11+AQ11+AS11+AW25)</f>
        <v>28945.264999999999</v>
      </c>
      <c r="M25" s="31">
        <f t="shared" ca="1" si="22"/>
        <v>91776.836399999986</v>
      </c>
      <c r="N25" s="50"/>
      <c r="O25" s="8"/>
      <c r="P25" s="51"/>
      <c r="Q25" s="18"/>
      <c r="R25" s="19"/>
      <c r="S25" s="20"/>
      <c r="T25" s="21"/>
      <c r="U25" s="73" t="s">
        <v>26</v>
      </c>
      <c r="V25" s="74" t="s">
        <v>87</v>
      </c>
      <c r="W25" s="64"/>
      <c r="X25" s="64"/>
      <c r="Y25" s="64"/>
      <c r="Z25" s="64"/>
      <c r="AA25" s="64"/>
      <c r="AB25" s="64"/>
      <c r="AC25" s="64"/>
      <c r="AD25" s="52">
        <f>(500)</f>
        <v>500</v>
      </c>
      <c r="AE25" s="52" t="s">
        <v>0</v>
      </c>
      <c r="AF25" s="53">
        <f>($AD$30*$AD$25)</f>
        <v>506.27800000000002</v>
      </c>
      <c r="AG25" s="53">
        <f>($AE$30*$AD$25)</f>
        <v>506.27800000000002</v>
      </c>
      <c r="AH25" s="66">
        <f t="shared" si="34"/>
        <v>45962</v>
      </c>
      <c r="AI25" s="66">
        <f t="shared" si="21"/>
        <v>45991</v>
      </c>
      <c r="AJ25" s="67">
        <f t="shared" si="23"/>
        <v>30</v>
      </c>
      <c r="AK25" s="67">
        <f t="shared" si="24"/>
        <v>25</v>
      </c>
      <c r="AL25" s="67">
        <f t="shared" si="25"/>
        <v>5</v>
      </c>
      <c r="AM25" s="68">
        <f ca="1">(AN25+AJ39*-1+AN39*-1+AO39*-1+AM53*-1)</f>
        <v>88894.12</v>
      </c>
      <c r="AN25" s="55">
        <f>(AI11*AJ25)</f>
        <v>58557.9</v>
      </c>
      <c r="AO25" s="55">
        <f ca="1">ROUND((AN25+AJ39*-1+AN39*-1+AO39*-1+AM53*-1),2)</f>
        <v>88894.12</v>
      </c>
      <c r="AP25" s="55">
        <f ca="1">IF(AT11-AU11&gt;=0,AT11-AU11,0)</f>
        <v>4023.1100000000006</v>
      </c>
      <c r="AQ25" s="55">
        <f t="shared" ca="1" si="26"/>
        <v>-30.54</v>
      </c>
      <c r="AR25" s="55">
        <f ca="1">(AT11)</f>
        <v>10263.11</v>
      </c>
      <c r="AS25" s="55">
        <f ca="1">IF($AG$14*F25&gt;=AR25,AR25,$AG$14*F25)</f>
        <v>4108</v>
      </c>
      <c r="AT25" s="55">
        <f t="shared" ca="1" si="27"/>
        <v>6155.1100000000006</v>
      </c>
      <c r="AU25" s="55">
        <f t="shared" ca="1" si="28"/>
        <v>-861.72</v>
      </c>
      <c r="AV25" s="69">
        <f ca="1">(AN83*J25+AW25)*-1</f>
        <v>0</v>
      </c>
      <c r="AW25" s="69">
        <f ca="1">(AN11+AP11+AR11-AS25)*(J25*-1)</f>
        <v>0</v>
      </c>
      <c r="AX25" s="69">
        <f t="shared" ca="1" si="29"/>
        <v>0</v>
      </c>
      <c r="AY25" s="55">
        <f ca="1">(AH83)</f>
        <v>143153.88</v>
      </c>
      <c r="AZ25" s="55">
        <f t="shared" ca="1" si="30"/>
        <v>29346.545399999999</v>
      </c>
      <c r="BA25" s="55">
        <f t="shared" ca="1" si="31"/>
        <v>1431.5388</v>
      </c>
      <c r="BB25" s="55">
        <f t="shared" ca="1" si="32"/>
        <v>-7157.6940000000004</v>
      </c>
      <c r="BC25" s="55">
        <f t="shared" ca="1" si="33"/>
        <v>166774.27020000003</v>
      </c>
      <c r="BD25" s="58">
        <v>23</v>
      </c>
      <c r="BE25" s="60">
        <v>11.5</v>
      </c>
      <c r="BF25" s="61">
        <v>0.25</v>
      </c>
    </row>
    <row r="26" spans="1:58" ht="39.950000000000003" customHeight="1" x14ac:dyDescent="0.25">
      <c r="A26" s="28">
        <f ca="1">(AW84)</f>
        <v>0.35</v>
      </c>
      <c r="B26" s="29" t="s">
        <v>21</v>
      </c>
      <c r="C26" s="46">
        <v>0</v>
      </c>
      <c r="D26" s="47">
        <v>60</v>
      </c>
      <c r="E26" s="47">
        <v>0</v>
      </c>
      <c r="F26" s="46">
        <v>26</v>
      </c>
      <c r="G26" s="48" t="s">
        <v>1</v>
      </c>
      <c r="H26" s="48" t="s">
        <v>1</v>
      </c>
      <c r="I26" s="48" t="s">
        <v>1</v>
      </c>
      <c r="J26" s="49">
        <v>0</v>
      </c>
      <c r="K26" s="30">
        <f ca="1">(AH84+AZ12+AX26+AK84+AO84+AP84+AY84-L26)</f>
        <v>122917.20106451616</v>
      </c>
      <c r="L26" s="30">
        <f ca="1">(AO12+AQ12+AS12+AW26)</f>
        <v>28945.264999999999</v>
      </c>
      <c r="M26" s="31">
        <f t="shared" ca="1" si="22"/>
        <v>151862.46606451616</v>
      </c>
      <c r="N26" s="50"/>
      <c r="O26" s="8"/>
      <c r="P26" s="51"/>
      <c r="Q26" s="18"/>
      <c r="R26" s="19"/>
      <c r="S26" s="20"/>
      <c r="T26" s="21"/>
      <c r="U26" s="73" t="s">
        <v>27</v>
      </c>
      <c r="V26" s="74" t="s">
        <v>88</v>
      </c>
      <c r="W26" s="64"/>
      <c r="X26" s="64"/>
      <c r="Y26" s="64"/>
      <c r="Z26" s="64"/>
      <c r="AA26" s="64"/>
      <c r="AB26" s="64"/>
      <c r="AC26" s="64"/>
      <c r="AD26" s="52">
        <f>(1000)</f>
        <v>1000</v>
      </c>
      <c r="AE26" s="52" t="s">
        <v>0</v>
      </c>
      <c r="AF26" s="53">
        <f>($AD$31*$AD$26)</f>
        <v>15848.414999999999</v>
      </c>
      <c r="AG26" s="53">
        <f>($AE$31*$AD$26)</f>
        <v>15848.414999999999</v>
      </c>
      <c r="AH26" s="66">
        <f t="shared" si="34"/>
        <v>45992</v>
      </c>
      <c r="AI26" s="66">
        <f t="shared" si="21"/>
        <v>46022</v>
      </c>
      <c r="AJ26" s="67">
        <f t="shared" si="23"/>
        <v>31</v>
      </c>
      <c r="AK26" s="67">
        <f t="shared" si="24"/>
        <v>27</v>
      </c>
      <c r="AL26" s="67">
        <f t="shared" si="25"/>
        <v>4</v>
      </c>
      <c r="AM26" s="68">
        <f ca="1">(AN26+AJ40*-1+AN40*-1+AO40*-1+AM54*-1)</f>
        <v>102570.18</v>
      </c>
      <c r="AN26" s="55">
        <f>(AI12*AJ26)</f>
        <v>60509.83</v>
      </c>
      <c r="AO26" s="55">
        <f ca="1">ROUND((AN26+AJ40*-1+AN40*-1+AO40*-1+AM54*-1),2)</f>
        <v>102570.18</v>
      </c>
      <c r="AP26" s="55">
        <f ca="1">IF(AT12-AU12&gt;=0,AT12-AU12,0)</f>
        <v>4437.1900000000005</v>
      </c>
      <c r="AQ26" s="55">
        <f t="shared" ca="1" si="26"/>
        <v>-33.68</v>
      </c>
      <c r="AR26" s="55">
        <f ca="1">(AT12)</f>
        <v>10677.19</v>
      </c>
      <c r="AS26" s="55">
        <f ca="1">IF($AG$14*F26&gt;=AR26,AR26,$AG$14*F26)</f>
        <v>4108</v>
      </c>
      <c r="AT26" s="55">
        <f t="shared" ca="1" si="27"/>
        <v>6569.1900000000005</v>
      </c>
      <c r="AU26" s="55">
        <f t="shared" ca="1" si="28"/>
        <v>-919.69</v>
      </c>
      <c r="AV26" s="69">
        <f ca="1">(AN84*J26+AW26)*-1</f>
        <v>0</v>
      </c>
      <c r="AW26" s="69">
        <f ca="1">(AN12+AP12+AR12-AS26)*(J26*-1)</f>
        <v>0</v>
      </c>
      <c r="AX26" s="69">
        <f t="shared" ca="1" si="29"/>
        <v>0</v>
      </c>
      <c r="AY26" s="55">
        <f ca="1">(AH84)</f>
        <v>258347.32</v>
      </c>
      <c r="AZ26" s="55">
        <f t="shared" ca="1" si="30"/>
        <v>52961.200599999996</v>
      </c>
      <c r="BA26" s="55">
        <f t="shared" ca="1" si="31"/>
        <v>2583.4731999999999</v>
      </c>
      <c r="BB26" s="55">
        <f t="shared" ca="1" si="32"/>
        <v>-12917.366000000002</v>
      </c>
      <c r="BC26" s="55">
        <f t="shared" ca="1" si="33"/>
        <v>300974.62780000002</v>
      </c>
      <c r="BD26" s="58">
        <v>24</v>
      </c>
      <c r="BE26" s="60">
        <v>12</v>
      </c>
      <c r="BF26" s="61">
        <v>0.26</v>
      </c>
    </row>
    <row r="27" spans="1:58" ht="39.950000000000003" customHeight="1" x14ac:dyDescent="0.25">
      <c r="A27" s="32" t="s">
        <v>0</v>
      </c>
      <c r="B27" s="33" t="s">
        <v>75</v>
      </c>
      <c r="C27" s="23" t="s">
        <v>0</v>
      </c>
      <c r="D27" s="34">
        <f>(D15+D16+D17+D18+D19+D20+D21+D22+D23+D24+D25+D26)</f>
        <v>720</v>
      </c>
      <c r="E27" s="34">
        <f>(E15+E16+E17+E18+E19+E20+E21+E22+E23+E24+E25+E26)</f>
        <v>0</v>
      </c>
      <c r="F27" s="35">
        <f>(F15+F16+F17+F18+F19+F20+F21+F22+F23+F24+F25+F26)</f>
        <v>312</v>
      </c>
      <c r="G27" s="36" t="s">
        <v>0</v>
      </c>
      <c r="H27" s="36" t="s">
        <v>0</v>
      </c>
      <c r="I27" s="36" t="s">
        <v>0</v>
      </c>
      <c r="J27" s="22" t="s">
        <v>0</v>
      </c>
      <c r="K27" s="37">
        <f t="shared" ref="K27" ca="1" si="35">(K15+K16+K17+K18+K19+K20+K21+K22+K23+K24+K25+K26)</f>
        <v>859712.39010599081</v>
      </c>
      <c r="L27" s="37">
        <f t="shared" ref="L27" ca="1" si="36">(L15+L16+L17+L18+L19+L20+L21+L22+L23+L24+L25+L26)</f>
        <v>305812.36000000004</v>
      </c>
      <c r="M27" s="38">
        <f t="shared" ref="M27" ca="1" si="37">(M15+M16+M17+M18+M19+M20+M21+M22+M23+M24+M25+M26)</f>
        <v>1165524.7501059908</v>
      </c>
      <c r="N27" s="50"/>
      <c r="O27" s="8"/>
      <c r="P27" s="51"/>
      <c r="Q27" s="18"/>
      <c r="R27" s="19"/>
      <c r="S27" s="20"/>
      <c r="T27" s="21"/>
      <c r="U27" s="73" t="s">
        <v>45</v>
      </c>
      <c r="V27" s="75" t="s">
        <v>50</v>
      </c>
      <c r="W27" s="76"/>
      <c r="X27" s="76"/>
      <c r="Y27" s="76"/>
      <c r="Z27" s="76"/>
      <c r="AA27" s="76"/>
      <c r="AB27" s="76"/>
      <c r="AC27" s="76"/>
      <c r="AD27" s="52">
        <f>($AD$23+$AD$24)</f>
        <v>9500</v>
      </c>
      <c r="AE27" s="52">
        <f>(2.15)</f>
        <v>2.15</v>
      </c>
      <c r="AF27" s="53">
        <f>($AD$30*$AD$27*$AE$27)</f>
        <v>20681.456299999998</v>
      </c>
      <c r="AG27" s="53">
        <f>($AE$30*$AD$27*$AE$27)</f>
        <v>20681.456299999998</v>
      </c>
      <c r="AH27" s="63" t="s">
        <v>0</v>
      </c>
      <c r="AI27" s="63" t="s">
        <v>0</v>
      </c>
      <c r="AJ27" s="77">
        <f>(AJ15+AJ16+AJ17+AJ18+AJ19+AJ20+AJ21+AJ22+AJ23+AJ24+AJ25+AJ26)</f>
        <v>365</v>
      </c>
      <c r="AK27" s="77">
        <f>(AK15+AK16+AK17+AK18+AK19+AK20+AK21+AK22+AK23+AK24+AK25+AK26)</f>
        <v>313</v>
      </c>
      <c r="AL27" s="77">
        <f>(AL15+AL16+AL17+AL18+AL19+AL20+AL21+AL22+AL23+AL24+AL25+AL26)</f>
        <v>52</v>
      </c>
      <c r="AM27" s="55">
        <f t="shared" ref="AM27:AN27" ca="1" si="38">(AM15+AM16+AM17+AM18+AM19+AM20+AM21+AM22+AM23+AM24+AM25+AM26)</f>
        <v>895922.28</v>
      </c>
      <c r="AN27" s="55">
        <f t="shared" si="38"/>
        <v>606928.91</v>
      </c>
      <c r="AO27" s="55">
        <f t="shared" ref="AO27" ca="1" si="39">(AO15+AO16+AO17+AO18+AO19+AO20+AO21+AO22+AO23+AO24+AO25+AO26)</f>
        <v>895922.28</v>
      </c>
      <c r="AP27" s="55">
        <f ca="1">(AP15+AP16+AP17+AP18+AP19+AP20+AP21+AP22+AP23+AP24+AP25+AP26)</f>
        <v>39912.960000000006</v>
      </c>
      <c r="AQ27" s="55">
        <f ca="1">(AQ15+AQ16+AQ17+AQ18+AQ19+AQ20+AQ21+AQ22+AQ23+AQ24+AQ25+AQ26)</f>
        <v>-302.95999999999998</v>
      </c>
      <c r="AR27" s="55">
        <f ca="1">(AR15+AR16+AR17+AR18+AR19+AR20+AR21+AR22+AR23+AR24+AR25+AR26)</f>
        <v>114792.95999999999</v>
      </c>
      <c r="AS27" s="55">
        <f ca="1">(AS15+AS16+AS17+AS18+AS19+AS20+AS21+AS22+AS23+AS24+AS25+AS26)</f>
        <v>49296</v>
      </c>
      <c r="AT27" s="55">
        <f ca="1">(AT15+AT16+AT17+AT18+AT19+AT20+AT21+AT22+AT23+AT24+AT25+AT26)</f>
        <v>65496.960000000006</v>
      </c>
      <c r="AU27" s="55">
        <f ca="1">(AU15+AU16+AU17+AU18+AU19+AU20+AU21+AU22+AU23+AU24+AU25+AU26)</f>
        <v>-9169.58</v>
      </c>
      <c r="AV27" s="55">
        <f t="shared" ref="AV27:AX27" ca="1" si="40">(AV15+AV16+AV17+AV18+AV19+AV20+AV21+AV22+AV23+AV24+AV25+AV26)</f>
        <v>0</v>
      </c>
      <c r="AW27" s="55">
        <f t="shared" ca="1" si="40"/>
        <v>0</v>
      </c>
      <c r="AX27" s="55">
        <f t="shared" ca="1" si="40"/>
        <v>0</v>
      </c>
      <c r="AY27" s="55">
        <f t="shared" ref="AY27" ca="1" si="41">(AY15+AY16+AY17+AY18+AY19+AY20+AY21+AY22+AY23+AY24+AY25+AY26)</f>
        <v>1776203.0000000002</v>
      </c>
      <c r="AZ27" s="55">
        <f t="shared" ref="AZ27" ca="1" si="42">(AZ15+AZ16+AZ17+AZ18+AZ19+AZ20+AZ21+AZ22+AZ23+AZ24+AZ25+AZ26)</f>
        <v>364121.61499999993</v>
      </c>
      <c r="BA27" s="55">
        <f t="shared" ref="BA27" ca="1" si="43">(BA15+BA16+BA17+BA18+BA19+BA20+BA21+BA22+BA23+BA24+BA25+BA26)</f>
        <v>17762.03</v>
      </c>
      <c r="BB27" s="55">
        <f t="shared" ref="BB27" ca="1" si="44">(BB15+BB16+BB17+BB18+BB19+BB20+BB21+BB22+BB23+BB24+BB25+BB26)</f>
        <v>-88810.150000000023</v>
      </c>
      <c r="BC27" s="55">
        <f t="shared" ref="BC27" ca="1" si="45">(BC15+BC16+BC17+BC18+BC19+BC20+BC21+BC22+BC23+BC24+BC25+BC26)</f>
        <v>2069276.4949999996</v>
      </c>
      <c r="BD27" s="58">
        <v>25</v>
      </c>
      <c r="BE27" s="60">
        <v>12.5</v>
      </c>
      <c r="BF27" s="61">
        <v>0.27</v>
      </c>
    </row>
    <row r="28" spans="1:58" ht="39.950000000000003" customHeight="1" x14ac:dyDescent="0.25">
      <c r="A28" s="28">
        <f ca="1">(AW86)</f>
        <v>0.24668298147348119</v>
      </c>
      <c r="B28" s="33" t="s">
        <v>76</v>
      </c>
      <c r="C28" s="23" t="s">
        <v>0</v>
      </c>
      <c r="D28" s="35" t="s">
        <v>0</v>
      </c>
      <c r="E28" s="23" t="s">
        <v>0</v>
      </c>
      <c r="F28" s="23" t="s">
        <v>0</v>
      </c>
      <c r="G28" s="23" t="s">
        <v>0</v>
      </c>
      <c r="H28" s="23" t="s">
        <v>0</v>
      </c>
      <c r="I28" s="23" t="s">
        <v>0</v>
      </c>
      <c r="J28" s="23" t="s">
        <v>0</v>
      </c>
      <c r="K28" s="37">
        <f ca="1">(K27/12)</f>
        <v>71642.699175499234</v>
      </c>
      <c r="L28" s="37">
        <f ca="1">(L27/12)</f>
        <v>25484.363333333338</v>
      </c>
      <c r="M28" s="38">
        <f ca="1">(M27/12)</f>
        <v>97127.062508832561</v>
      </c>
      <c r="N28" s="50"/>
      <c r="O28" s="8"/>
      <c r="P28" s="51"/>
      <c r="Q28" s="39"/>
      <c r="R28" s="40"/>
      <c r="S28" s="41"/>
      <c r="T28" s="42"/>
      <c r="U28" s="73" t="s">
        <v>40</v>
      </c>
      <c r="V28" s="74" t="s">
        <v>89</v>
      </c>
      <c r="W28" s="76"/>
      <c r="X28" s="76"/>
      <c r="Y28" s="76"/>
      <c r="Z28" s="76"/>
      <c r="AA28" s="76"/>
      <c r="AB28" s="76"/>
      <c r="AC28" s="76"/>
      <c r="AD28" s="52" t="s">
        <v>0</v>
      </c>
      <c r="AE28" s="52" t="s">
        <v>0</v>
      </c>
      <c r="AF28" s="53">
        <f>($AF$23+$AF$24+$AF$25+$AF$26+$AF$27)</f>
        <v>46655.431299999997</v>
      </c>
      <c r="AG28" s="53">
        <f>($AG$23+$AG$24+$AG$25+$AG$26+$AG$27)</f>
        <v>46655.431299999997</v>
      </c>
      <c r="AH28" s="63" t="s">
        <v>0</v>
      </c>
      <c r="AI28" s="63" t="s">
        <v>0</v>
      </c>
      <c r="AJ28" s="63" t="s">
        <v>0</v>
      </c>
      <c r="AK28" s="63" t="s">
        <v>0</v>
      </c>
      <c r="AL28" s="63" t="s">
        <v>0</v>
      </c>
      <c r="AM28" s="55">
        <f t="shared" ref="AM28:AN28" ca="1" si="46">(AM27/12)</f>
        <v>74660.19</v>
      </c>
      <c r="AN28" s="55">
        <f t="shared" si="46"/>
        <v>50577.409166666672</v>
      </c>
      <c r="AO28" s="55">
        <f t="shared" ref="AO28" ca="1" si="47">(AO27/12)</f>
        <v>74660.19</v>
      </c>
      <c r="AP28" s="55">
        <f ca="1">(AP27/12)</f>
        <v>3326.0800000000004</v>
      </c>
      <c r="AQ28" s="55">
        <f ca="1">(AQ27/12)</f>
        <v>-25.246666666666666</v>
      </c>
      <c r="AR28" s="55">
        <f ca="1">(AR27/12)</f>
        <v>9566.08</v>
      </c>
      <c r="AS28" s="55">
        <f ca="1">(AS27/12)</f>
        <v>4108</v>
      </c>
      <c r="AT28" s="55">
        <f ca="1">(AT27/12)</f>
        <v>5458.0800000000008</v>
      </c>
      <c r="AU28" s="55">
        <f ca="1">(AU27/12)</f>
        <v>-764.13166666666666</v>
      </c>
      <c r="AV28" s="55">
        <f t="shared" ref="AV28:AX28" ca="1" si="48">(AV27/12)</f>
        <v>0</v>
      </c>
      <c r="AW28" s="55">
        <f t="shared" ca="1" si="48"/>
        <v>0</v>
      </c>
      <c r="AX28" s="55">
        <f t="shared" ca="1" si="48"/>
        <v>0</v>
      </c>
      <c r="AY28" s="55">
        <f t="shared" ref="AY28" ca="1" si="49">(AY27/12)</f>
        <v>148016.91666666669</v>
      </c>
      <c r="AZ28" s="55">
        <f t="shared" ref="AZ28" ca="1" si="50">(AZ27/12)</f>
        <v>30343.467916666661</v>
      </c>
      <c r="BA28" s="55">
        <f t="shared" ref="BA28" ca="1" si="51">(BA27/12)</f>
        <v>1480.1691666666666</v>
      </c>
      <c r="BB28" s="55">
        <f t="shared" ref="BB28" ca="1" si="52">(BB27/12)</f>
        <v>-7400.8458333333356</v>
      </c>
      <c r="BC28" s="55">
        <f t="shared" ref="BC28" ca="1" si="53">(BC27/12)</f>
        <v>172439.70791666664</v>
      </c>
      <c r="BD28" s="58">
        <v>26</v>
      </c>
      <c r="BE28" s="60">
        <v>13</v>
      </c>
      <c r="BF28" s="61">
        <v>0.28000000000000003</v>
      </c>
    </row>
    <row r="29" spans="1:58" ht="39.950000000000003" hidden="1" customHeight="1" x14ac:dyDescent="0.25">
      <c r="U29" s="73" t="s">
        <v>46</v>
      </c>
      <c r="V29" s="75" t="s">
        <v>51</v>
      </c>
      <c r="AH29" s="55">
        <f>(AW29)</f>
        <v>26005.5</v>
      </c>
      <c r="AI29" s="55">
        <f ca="1">IF(AO15-AH29&gt;=0,AO15-AH29,0)</f>
        <v>32000.199999999997</v>
      </c>
      <c r="AJ29" s="55">
        <f ca="1">(ROUND(AI29*0.00759*-1,2))</f>
        <v>-242.88</v>
      </c>
      <c r="AK29" s="55">
        <f ca="1">(AO15)</f>
        <v>58005.7</v>
      </c>
      <c r="AL29" s="55">
        <f>(0)</f>
        <v>0</v>
      </c>
      <c r="AM29" s="55">
        <f ca="1">(AK29-AL29)</f>
        <v>58005.7</v>
      </c>
      <c r="AN29" s="55">
        <f ca="1">(ROUND(AM29*0.14*-1,2))</f>
        <v>-8120.8</v>
      </c>
      <c r="AO29" s="55">
        <f ca="1">(ROUND(AM29*0.01*-1,2))</f>
        <v>-580.05999999999995</v>
      </c>
      <c r="AP29" s="55">
        <f ca="1">(ROUND(AT15*0.01*-1,2))</f>
        <v>-22.03</v>
      </c>
      <c r="AQ29" s="55">
        <f ca="1">(AT1+AU15+AP29)</f>
        <v>5980.54</v>
      </c>
      <c r="AR29" s="55">
        <f ca="1">IF($AF$15*F15&gt;=AQ29,AQ29,$AF$15*F15)</f>
        <v>5980.54</v>
      </c>
      <c r="AS29" s="55">
        <f ca="1">IF(AQ29-AR29&gt;=0,AQ29-AR29,0)</f>
        <v>0</v>
      </c>
      <c r="AT29" s="55">
        <f ca="1">(ROUND(AS29*AW73*-1,2))</f>
        <v>0</v>
      </c>
      <c r="AU29" s="77">
        <v>30</v>
      </c>
      <c r="AV29" s="55">
        <f>($AF$9)</f>
        <v>26005.5</v>
      </c>
      <c r="AW29" s="55">
        <f>(AV29)</f>
        <v>26005.5</v>
      </c>
      <c r="AX29" s="55">
        <f>(AV29-AW29)</f>
        <v>0</v>
      </c>
      <c r="AY29" s="55">
        <f>(AX29*0.00759*-1)</f>
        <v>0</v>
      </c>
      <c r="AZ29" s="55">
        <f>(AV29*0.00759)</f>
        <v>197.38174500000002</v>
      </c>
      <c r="BA29" s="55">
        <f>(AV29)</f>
        <v>26005.5</v>
      </c>
      <c r="BD29" s="58">
        <v>27</v>
      </c>
      <c r="BE29" s="60">
        <v>13.5</v>
      </c>
      <c r="BF29" s="61">
        <v>0.28999999999999998</v>
      </c>
    </row>
    <row r="30" spans="1:58" ht="39.950000000000003" hidden="1" customHeight="1" x14ac:dyDescent="0.25">
      <c r="U30" s="73" t="s">
        <v>25</v>
      </c>
      <c r="V30" s="74" t="s">
        <v>90</v>
      </c>
      <c r="AD30" s="78">
        <v>1.012556</v>
      </c>
      <c r="AE30" s="78">
        <v>1.012556</v>
      </c>
      <c r="AF30" s="52" t="s">
        <v>0</v>
      </c>
      <c r="AG30" s="71" t="s">
        <v>0</v>
      </c>
      <c r="AH30" s="55">
        <f>(AW30)</f>
        <v>26005.5</v>
      </c>
      <c r="AI30" s="55">
        <f ca="1">IF(AO16-AH30&gt;=0,AO16-AH30,0)</f>
        <v>25911.199999999997</v>
      </c>
      <c r="AJ30" s="55">
        <f t="shared" ref="AJ30:AJ40" ca="1" si="54">(ROUND(AI30*0.00759*-1,2))</f>
        <v>-196.67</v>
      </c>
      <c r="AK30" s="55">
        <f ca="1">(AO16)</f>
        <v>51916.7</v>
      </c>
      <c r="AL30" s="55">
        <f>(0)</f>
        <v>0</v>
      </c>
      <c r="AM30" s="55">
        <f t="shared" ref="AM30:AM40" ca="1" si="55">(AK30-AL30)</f>
        <v>51916.7</v>
      </c>
      <c r="AN30" s="55">
        <f t="shared" ref="AN30:AN40" ca="1" si="56">(ROUND(AM30*0.14*-1,2))</f>
        <v>-7268.34</v>
      </c>
      <c r="AO30" s="55">
        <f t="shared" ref="AO30:AO40" ca="1" si="57">(ROUND(AM30*0.01*-1,2))</f>
        <v>-519.16999999999996</v>
      </c>
      <c r="AP30" s="55">
        <f ca="1">(ROUND(AT16*0.01*-1,2))</f>
        <v>-22.03</v>
      </c>
      <c r="AQ30" s="55">
        <f ca="1">(AT2+AU16+AP30)</f>
        <v>5980.54</v>
      </c>
      <c r="AR30" s="55">
        <f ca="1">IF($AF$15*F16&gt;=AQ30,AQ30,$AF$15*F16)</f>
        <v>5980.54</v>
      </c>
      <c r="AS30" s="55">
        <f t="shared" ref="AS30:AS40" ca="1" si="58">IF(AQ30-AR30&gt;=0,AQ30-AR30,0)</f>
        <v>0</v>
      </c>
      <c r="AT30" s="55">
        <f ca="1">(ROUND(AS30*AW74*-1,2))</f>
        <v>0</v>
      </c>
      <c r="AU30" s="77">
        <v>30</v>
      </c>
      <c r="AV30" s="55">
        <f>($AF$9)</f>
        <v>26005.5</v>
      </c>
      <c r="AW30" s="55">
        <f t="shared" ref="AW30:AW40" si="59">(AV30)</f>
        <v>26005.5</v>
      </c>
      <c r="AX30" s="55">
        <f t="shared" ref="AX30:AX40" si="60">(AV30-AW30)</f>
        <v>0</v>
      </c>
      <c r="AY30" s="55">
        <f t="shared" ref="AY30:AY40" si="61">(AX30*0.00759*-1)</f>
        <v>0</v>
      </c>
      <c r="AZ30" s="55">
        <f t="shared" ref="AZ30:AZ40" si="62">(AV30*0.00759)</f>
        <v>197.38174500000002</v>
      </c>
      <c r="BA30" s="55">
        <f t="shared" ref="BA30:BA40" si="63">(AV30)</f>
        <v>26005.5</v>
      </c>
      <c r="BD30" s="58">
        <v>28</v>
      </c>
      <c r="BE30" s="60">
        <v>14</v>
      </c>
      <c r="BF30" s="61">
        <v>0.3</v>
      </c>
    </row>
    <row r="31" spans="1:58" ht="39.950000000000003" hidden="1" customHeight="1" x14ac:dyDescent="0.25">
      <c r="U31" s="73" t="s">
        <v>39</v>
      </c>
      <c r="V31" s="74" t="s">
        <v>91</v>
      </c>
      <c r="AD31" s="78">
        <v>15.848414999999999</v>
      </c>
      <c r="AE31" s="78">
        <v>15.848414999999999</v>
      </c>
      <c r="AF31" s="52" t="s">
        <v>0</v>
      </c>
      <c r="AG31" s="71" t="s">
        <v>0</v>
      </c>
      <c r="AH31" s="55">
        <f>(AW31)</f>
        <v>26005.5</v>
      </c>
      <c r="AI31" s="55">
        <f ca="1">IF(AO17-AH31&gt;=0,AO17-AH31,0)</f>
        <v>35130.5</v>
      </c>
      <c r="AJ31" s="55">
        <f t="shared" ca="1" si="54"/>
        <v>-266.64</v>
      </c>
      <c r="AK31" s="55">
        <f ca="1">(AO17)</f>
        <v>61136</v>
      </c>
      <c r="AL31" s="55">
        <f>(0)</f>
        <v>0</v>
      </c>
      <c r="AM31" s="55">
        <f t="shared" ca="1" si="55"/>
        <v>61136</v>
      </c>
      <c r="AN31" s="55">
        <f t="shared" ca="1" si="56"/>
        <v>-8559.0400000000009</v>
      </c>
      <c r="AO31" s="55">
        <f t="shared" ca="1" si="57"/>
        <v>-611.36</v>
      </c>
      <c r="AP31" s="55">
        <f ca="1">(ROUND(AT17*0.01*-1,2))</f>
        <v>-57.71</v>
      </c>
      <c r="AQ31" s="55">
        <f ca="1">(AT3+AU17+AP31)</f>
        <v>9012.9900000000016</v>
      </c>
      <c r="AR31" s="55">
        <f ca="1">IF($AF$15*F17&gt;=AQ31,AQ31,$AF$15*F17)</f>
        <v>6240</v>
      </c>
      <c r="AS31" s="55">
        <f t="shared" ca="1" si="58"/>
        <v>2772.9900000000016</v>
      </c>
      <c r="AT31" s="55">
        <f ca="1">(ROUND(AS31*AW75*-1,2))</f>
        <v>-535.37</v>
      </c>
      <c r="AU31" s="77">
        <v>30</v>
      </c>
      <c r="AV31" s="55">
        <f>($AF$9)</f>
        <v>26005.5</v>
      </c>
      <c r="AW31" s="55">
        <f t="shared" si="59"/>
        <v>26005.5</v>
      </c>
      <c r="AX31" s="55">
        <f t="shared" si="60"/>
        <v>0</v>
      </c>
      <c r="AY31" s="55">
        <f t="shared" si="61"/>
        <v>0</v>
      </c>
      <c r="AZ31" s="55">
        <f t="shared" si="62"/>
        <v>197.38174500000002</v>
      </c>
      <c r="BA31" s="55">
        <f t="shared" si="63"/>
        <v>26005.5</v>
      </c>
      <c r="BD31" s="58">
        <v>29</v>
      </c>
      <c r="BE31" s="60">
        <v>14.5</v>
      </c>
      <c r="BF31" s="61">
        <v>0.31</v>
      </c>
    </row>
    <row r="32" spans="1:58" ht="39.950000000000003" hidden="1" customHeight="1" x14ac:dyDescent="0.25">
      <c r="U32" s="79" t="s">
        <v>41</v>
      </c>
      <c r="V32" s="75" t="s">
        <v>72</v>
      </c>
      <c r="AD32" s="78">
        <v>0.32111499999999998</v>
      </c>
      <c r="AE32" s="78">
        <v>0.32111499999999998</v>
      </c>
      <c r="AF32" s="52" t="s">
        <v>0</v>
      </c>
      <c r="AG32" s="71" t="s">
        <v>0</v>
      </c>
      <c r="AH32" s="55">
        <f>(AW32)</f>
        <v>26005.5</v>
      </c>
      <c r="AI32" s="55">
        <f ca="1">IF(AO18-AH32&gt;=0,AO18-AH32,0)</f>
        <v>35046.21</v>
      </c>
      <c r="AJ32" s="55">
        <f t="shared" ca="1" si="54"/>
        <v>-266</v>
      </c>
      <c r="AK32" s="55">
        <f ca="1">(AO18)</f>
        <v>61051.71</v>
      </c>
      <c r="AL32" s="55">
        <f>(0)</f>
        <v>0</v>
      </c>
      <c r="AM32" s="55">
        <f t="shared" ca="1" si="55"/>
        <v>61051.71</v>
      </c>
      <c r="AN32" s="55">
        <f t="shared" ca="1" si="56"/>
        <v>-8547.24</v>
      </c>
      <c r="AO32" s="55">
        <f t="shared" ca="1" si="57"/>
        <v>-610.52</v>
      </c>
      <c r="AP32" s="55">
        <f ca="1">(ROUND(AT18*0.01*-1,2))</f>
        <v>-58.84</v>
      </c>
      <c r="AQ32" s="55">
        <f ca="1">(AT4+AU18+AP32)</f>
        <v>9109.57</v>
      </c>
      <c r="AR32" s="55">
        <f ca="1">IF($AF$15*F18&gt;=AQ32,AQ32,$AF$15*F18)</f>
        <v>6240</v>
      </c>
      <c r="AS32" s="55">
        <f t="shared" ca="1" si="58"/>
        <v>2869.5699999999997</v>
      </c>
      <c r="AT32" s="55">
        <f ca="1">(ROUND(AS32*AW76*-1,2))</f>
        <v>-631.09</v>
      </c>
      <c r="AU32" s="77">
        <v>30</v>
      </c>
      <c r="AV32" s="55">
        <f>($AF$9)</f>
        <v>26005.5</v>
      </c>
      <c r="AW32" s="55">
        <f t="shared" si="59"/>
        <v>26005.5</v>
      </c>
      <c r="AX32" s="55">
        <f t="shared" si="60"/>
        <v>0</v>
      </c>
      <c r="AY32" s="55">
        <f t="shared" si="61"/>
        <v>0</v>
      </c>
      <c r="AZ32" s="55">
        <f t="shared" si="62"/>
        <v>197.38174500000002</v>
      </c>
      <c r="BA32" s="55">
        <f t="shared" si="63"/>
        <v>26005.5</v>
      </c>
      <c r="BD32" s="58">
        <v>30</v>
      </c>
      <c r="BE32" s="60">
        <v>15</v>
      </c>
      <c r="BF32" s="61">
        <v>0.32</v>
      </c>
    </row>
    <row r="33" spans="2:58" ht="39.950000000000003" hidden="1" customHeight="1" x14ac:dyDescent="0.25">
      <c r="U33" s="73" t="s">
        <v>47</v>
      </c>
      <c r="V33" s="74" t="s">
        <v>73</v>
      </c>
      <c r="AH33" s="55">
        <f>(AW33)</f>
        <v>26005.5</v>
      </c>
      <c r="AI33" s="55">
        <f ca="1">IF(AO19-AH33&gt;=0,AO19-AH33,0)</f>
        <v>41653.449999999997</v>
      </c>
      <c r="AJ33" s="55">
        <f t="shared" ca="1" si="54"/>
        <v>-316.14999999999998</v>
      </c>
      <c r="AK33" s="55">
        <f ca="1">(AO19)</f>
        <v>67658.95</v>
      </c>
      <c r="AL33" s="55">
        <f>(0)</f>
        <v>0</v>
      </c>
      <c r="AM33" s="55">
        <f t="shared" ca="1" si="55"/>
        <v>67658.95</v>
      </c>
      <c r="AN33" s="55">
        <f t="shared" ca="1" si="56"/>
        <v>-9472.25</v>
      </c>
      <c r="AO33" s="55">
        <f t="shared" ca="1" si="57"/>
        <v>-676.59</v>
      </c>
      <c r="AP33" s="55">
        <f ca="1">(ROUND(AT19*0.01*-1,2))</f>
        <v>-61.19</v>
      </c>
      <c r="AQ33" s="55">
        <f ca="1">(AT5+AU19+AP33)</f>
        <v>9308.8499999999985</v>
      </c>
      <c r="AR33" s="55">
        <f ca="1">IF($AF$15*F19&gt;=AQ33,AQ33,$AF$15*F19)</f>
        <v>6240</v>
      </c>
      <c r="AS33" s="55">
        <f t="shared" ca="1" si="58"/>
        <v>3068.8499999999985</v>
      </c>
      <c r="AT33" s="55">
        <f ca="1">(ROUND(AS33*AW77*-1,2))</f>
        <v>-828.59</v>
      </c>
      <c r="AU33" s="77">
        <v>30</v>
      </c>
      <c r="AV33" s="55">
        <f>($AF$9)</f>
        <v>26005.5</v>
      </c>
      <c r="AW33" s="55">
        <f t="shared" si="59"/>
        <v>26005.5</v>
      </c>
      <c r="AX33" s="55">
        <f t="shared" si="60"/>
        <v>0</v>
      </c>
      <c r="AY33" s="55">
        <f t="shared" si="61"/>
        <v>0</v>
      </c>
      <c r="AZ33" s="55">
        <f t="shared" si="62"/>
        <v>197.38174500000002</v>
      </c>
      <c r="BA33" s="55">
        <f t="shared" si="63"/>
        <v>26005.5</v>
      </c>
      <c r="BD33" s="58">
        <v>31</v>
      </c>
      <c r="BE33" s="60">
        <v>15.5</v>
      </c>
      <c r="BF33" s="61">
        <v>0.33</v>
      </c>
    </row>
    <row r="34" spans="2:58" ht="39.950000000000003" hidden="1" customHeight="1" x14ac:dyDescent="0.25">
      <c r="AD34" s="80">
        <f>($AD$35*2)</f>
        <v>19000</v>
      </c>
      <c r="AE34" s="52" t="s">
        <v>0</v>
      </c>
      <c r="AF34" s="53">
        <f>($AD$30*$AD$34)</f>
        <v>19238.563999999998</v>
      </c>
      <c r="AG34" s="53">
        <f>($AE$30*$AD$34)</f>
        <v>19238.563999999998</v>
      </c>
      <c r="AH34" s="55">
        <f>(AW34)</f>
        <v>26005.5</v>
      </c>
      <c r="AI34" s="55">
        <f ca="1">IF(AO20-AH34&gt;=0,AO20-AH34,0)</f>
        <v>39286.01</v>
      </c>
      <c r="AJ34" s="55">
        <f t="shared" ca="1" si="54"/>
        <v>-298.18</v>
      </c>
      <c r="AK34" s="55">
        <f ca="1">(AO20)</f>
        <v>65291.51</v>
      </c>
      <c r="AL34" s="55">
        <f>(0)</f>
        <v>0</v>
      </c>
      <c r="AM34" s="55">
        <f t="shared" ca="1" si="55"/>
        <v>65291.51</v>
      </c>
      <c r="AN34" s="55">
        <f t="shared" ca="1" si="56"/>
        <v>-9140.81</v>
      </c>
      <c r="AO34" s="55">
        <f t="shared" ca="1" si="57"/>
        <v>-652.91999999999996</v>
      </c>
      <c r="AP34" s="55">
        <f ca="1">(ROUND(AT20*0.01*-1,2))</f>
        <v>-61.19</v>
      </c>
      <c r="AQ34" s="55">
        <f ca="1">(AT6+AU20+AP34)</f>
        <v>9308.8499999999985</v>
      </c>
      <c r="AR34" s="55">
        <f ca="1">IF($AF$15*F20&gt;=AQ34,AQ34,$AF$15*F20)</f>
        <v>6240</v>
      </c>
      <c r="AS34" s="55">
        <f t="shared" ca="1" si="58"/>
        <v>3068.8499999999985</v>
      </c>
      <c r="AT34" s="55">
        <f ca="1">(ROUND(AS34*AW78*-1,2))</f>
        <v>-828.59</v>
      </c>
      <c r="AU34" s="77">
        <v>30</v>
      </c>
      <c r="AV34" s="55">
        <f>($AF$9)</f>
        <v>26005.5</v>
      </c>
      <c r="AW34" s="55">
        <f t="shared" si="59"/>
        <v>26005.5</v>
      </c>
      <c r="AX34" s="55">
        <f t="shared" si="60"/>
        <v>0</v>
      </c>
      <c r="AY34" s="55">
        <f t="shared" si="61"/>
        <v>0</v>
      </c>
      <c r="AZ34" s="55">
        <f t="shared" si="62"/>
        <v>197.38174500000002</v>
      </c>
      <c r="BA34" s="55">
        <f t="shared" si="63"/>
        <v>26005.5</v>
      </c>
      <c r="BD34" s="58">
        <v>32</v>
      </c>
      <c r="BE34" s="60">
        <v>16</v>
      </c>
      <c r="BF34" s="61">
        <v>0.34</v>
      </c>
    </row>
    <row r="35" spans="2:58" ht="39.950000000000003" hidden="1" customHeight="1" x14ac:dyDescent="0.25">
      <c r="AD35" s="80">
        <f>(9500)</f>
        <v>9500</v>
      </c>
      <c r="AE35" s="52" t="s">
        <v>0</v>
      </c>
      <c r="AF35" s="53">
        <f>($AD$30*$AD$35)</f>
        <v>9619.2819999999992</v>
      </c>
      <c r="AG35" s="53">
        <f>($AE$30*$AD$35)</f>
        <v>9619.2819999999992</v>
      </c>
      <c r="AH35" s="55">
        <f>(AW35)</f>
        <v>26005.5</v>
      </c>
      <c r="AI35" s="55">
        <f ca="1">IF(AO21-AH35&gt;=0,AO21-AH35,0)</f>
        <v>54863.509999999995</v>
      </c>
      <c r="AJ35" s="55">
        <f t="shared" ca="1" si="54"/>
        <v>-416.41</v>
      </c>
      <c r="AK35" s="55">
        <f ca="1">(AO21)</f>
        <v>80869.009999999995</v>
      </c>
      <c r="AL35" s="55">
        <f>(0)</f>
        <v>0</v>
      </c>
      <c r="AM35" s="55">
        <f t="shared" ca="1" si="55"/>
        <v>80869.009999999995</v>
      </c>
      <c r="AN35" s="55">
        <f t="shared" ca="1" si="56"/>
        <v>-11321.66</v>
      </c>
      <c r="AO35" s="55">
        <f t="shared" ca="1" si="57"/>
        <v>-808.69</v>
      </c>
      <c r="AP35" s="55">
        <f ca="1">(ROUND(AT21*0.01*-1,2))</f>
        <v>-61.19</v>
      </c>
      <c r="AQ35" s="55">
        <f ca="1">(AT7+AU21+AP35)</f>
        <v>9308.8499999999985</v>
      </c>
      <c r="AR35" s="55">
        <f ca="1">IF($AG$15*F21&gt;=AQ35,AQ35,$AG$15*F21)</f>
        <v>6240</v>
      </c>
      <c r="AS35" s="55">
        <f t="shared" ca="1" si="58"/>
        <v>3068.8499999999985</v>
      </c>
      <c r="AT35" s="55">
        <f ca="1">(ROUND(AS35*AW79*-1,2))</f>
        <v>-828.59</v>
      </c>
      <c r="AU35" s="77">
        <v>30</v>
      </c>
      <c r="AV35" s="55">
        <f>($AG$9)</f>
        <v>26005.5</v>
      </c>
      <c r="AW35" s="55">
        <f t="shared" si="59"/>
        <v>26005.5</v>
      </c>
      <c r="AX35" s="55">
        <f t="shared" si="60"/>
        <v>0</v>
      </c>
      <c r="AY35" s="55">
        <f t="shared" si="61"/>
        <v>0</v>
      </c>
      <c r="AZ35" s="55">
        <f t="shared" si="62"/>
        <v>197.38174500000002</v>
      </c>
      <c r="BA35" s="55">
        <f t="shared" si="63"/>
        <v>26005.5</v>
      </c>
      <c r="BD35" s="58">
        <v>33</v>
      </c>
      <c r="BE35" s="60">
        <v>16.5</v>
      </c>
      <c r="BF35" s="61">
        <v>0.35</v>
      </c>
    </row>
    <row r="36" spans="2:58" ht="39.950000000000003" hidden="1" customHeight="1" x14ac:dyDescent="0.25">
      <c r="AH36" s="55">
        <f>(AW36)</f>
        <v>26005.5</v>
      </c>
      <c r="AI36" s="55">
        <f ca="1">IF(AO22-AH36&gt;=0,AO22-AH36,0)</f>
        <v>53326.789999999994</v>
      </c>
      <c r="AJ36" s="55">
        <f t="shared" ca="1" si="54"/>
        <v>-404.75</v>
      </c>
      <c r="AK36" s="55">
        <f ca="1">(AO22)</f>
        <v>79332.289999999994</v>
      </c>
      <c r="AL36" s="55">
        <f>(0)</f>
        <v>0</v>
      </c>
      <c r="AM36" s="55">
        <f t="shared" ca="1" si="55"/>
        <v>79332.289999999994</v>
      </c>
      <c r="AN36" s="55">
        <f t="shared" ca="1" si="56"/>
        <v>-11106.52</v>
      </c>
      <c r="AO36" s="55">
        <f t="shared" ca="1" si="57"/>
        <v>-793.32</v>
      </c>
      <c r="AP36" s="55">
        <f ca="1">(ROUND(AT22*0.01*-1,2))</f>
        <v>-61.19</v>
      </c>
      <c r="AQ36" s="55">
        <f ca="1">(AT8+AU22+AP36)</f>
        <v>9308.8499999999985</v>
      </c>
      <c r="AR36" s="55">
        <f ca="1">IF($AG$15*F22&gt;=AQ36,AQ36,$AG$15*F22)</f>
        <v>6240</v>
      </c>
      <c r="AS36" s="55">
        <f t="shared" ca="1" si="58"/>
        <v>3068.8499999999985</v>
      </c>
      <c r="AT36" s="55">
        <f ca="1">(ROUND(AS36*AW80*-1,2))</f>
        <v>-828.59</v>
      </c>
      <c r="AU36" s="77">
        <v>30</v>
      </c>
      <c r="AV36" s="55">
        <f>($AG$9)</f>
        <v>26005.5</v>
      </c>
      <c r="AW36" s="55">
        <f t="shared" si="59"/>
        <v>26005.5</v>
      </c>
      <c r="AX36" s="55">
        <f t="shared" si="60"/>
        <v>0</v>
      </c>
      <c r="AY36" s="55">
        <f t="shared" si="61"/>
        <v>0</v>
      </c>
      <c r="AZ36" s="55">
        <f t="shared" si="62"/>
        <v>197.38174500000002</v>
      </c>
      <c r="BA36" s="55">
        <f t="shared" si="63"/>
        <v>26005.5</v>
      </c>
      <c r="BD36" s="58">
        <v>34</v>
      </c>
      <c r="BE36" s="60">
        <v>17</v>
      </c>
      <c r="BF36" s="61">
        <v>0.36</v>
      </c>
    </row>
    <row r="37" spans="2:58" ht="39.950000000000003" hidden="1" customHeight="1" x14ac:dyDescent="0.25">
      <c r="AD37" s="53">
        <v>9900</v>
      </c>
      <c r="AE37" s="52" t="s">
        <v>0</v>
      </c>
      <c r="AF37" s="52" t="s">
        <v>0</v>
      </c>
      <c r="AG37" s="52" t="s">
        <v>0</v>
      </c>
      <c r="AH37" s="55">
        <f>(AW37)</f>
        <v>26005.5</v>
      </c>
      <c r="AI37" s="55">
        <f ca="1">IF(AO23-AH37&gt;=0,AO23-AH37,0)</f>
        <v>62000.210000000006</v>
      </c>
      <c r="AJ37" s="55">
        <f t="shared" ca="1" si="54"/>
        <v>-470.58</v>
      </c>
      <c r="AK37" s="55">
        <f ca="1">(AO23)</f>
        <v>88005.71</v>
      </c>
      <c r="AL37" s="55">
        <f>(0)</f>
        <v>0</v>
      </c>
      <c r="AM37" s="55">
        <f t="shared" ca="1" si="55"/>
        <v>88005.71</v>
      </c>
      <c r="AN37" s="55">
        <f t="shared" ca="1" si="56"/>
        <v>-12320.8</v>
      </c>
      <c r="AO37" s="55">
        <f t="shared" ca="1" si="57"/>
        <v>-880.06</v>
      </c>
      <c r="AP37" s="55">
        <f ca="1">(ROUND(AT23*0.01*-1,2))</f>
        <v>-61.19</v>
      </c>
      <c r="AQ37" s="55">
        <f ca="1">(AT9+AU23+AP37)</f>
        <v>9308.8499999999985</v>
      </c>
      <c r="AR37" s="55">
        <f ca="1">IF($AG$15*F23&gt;=AQ37,AQ37,$AG$15*F23)</f>
        <v>6240</v>
      </c>
      <c r="AS37" s="55">
        <f t="shared" ca="1" si="58"/>
        <v>3068.8499999999985</v>
      </c>
      <c r="AT37" s="55">
        <f ca="1">(ROUND(AS37*AW81*-1,2))</f>
        <v>-828.59</v>
      </c>
      <c r="AU37" s="77">
        <v>30</v>
      </c>
      <c r="AV37" s="55">
        <f>($AG$9)</f>
        <v>26005.5</v>
      </c>
      <c r="AW37" s="55">
        <f t="shared" si="59"/>
        <v>26005.5</v>
      </c>
      <c r="AX37" s="55">
        <f t="shared" si="60"/>
        <v>0</v>
      </c>
      <c r="AY37" s="55">
        <f t="shared" si="61"/>
        <v>0</v>
      </c>
      <c r="AZ37" s="55">
        <f t="shared" si="62"/>
        <v>197.38174500000002</v>
      </c>
      <c r="BA37" s="55">
        <f t="shared" si="63"/>
        <v>26005.5</v>
      </c>
      <c r="BD37" s="58">
        <v>35</v>
      </c>
      <c r="BE37" s="60">
        <v>17.5</v>
      </c>
      <c r="BF37" s="61">
        <v>0.37</v>
      </c>
    </row>
    <row r="38" spans="2:58" ht="39.950000000000003" hidden="1" customHeight="1" x14ac:dyDescent="0.25">
      <c r="AD38" s="53">
        <v>5700</v>
      </c>
      <c r="AE38" s="52" t="s">
        <v>0</v>
      </c>
      <c r="AF38" s="52" t="s">
        <v>0</v>
      </c>
      <c r="AG38" s="52" t="s">
        <v>0</v>
      </c>
      <c r="AH38" s="55">
        <f>(AW38)</f>
        <v>26005.5</v>
      </c>
      <c r="AI38" s="55">
        <f ca="1">IF(AO24-AH38&gt;=0,AO24-AH38,0)</f>
        <v>65184.899999999994</v>
      </c>
      <c r="AJ38" s="55">
        <f t="shared" ca="1" si="54"/>
        <v>-494.75</v>
      </c>
      <c r="AK38" s="55">
        <f ca="1">(AO24)</f>
        <v>91190.399999999994</v>
      </c>
      <c r="AL38" s="55">
        <f>(0)</f>
        <v>0</v>
      </c>
      <c r="AM38" s="55">
        <f t="shared" ca="1" si="55"/>
        <v>91190.399999999994</v>
      </c>
      <c r="AN38" s="55">
        <f t="shared" ca="1" si="56"/>
        <v>-12766.66</v>
      </c>
      <c r="AO38" s="55">
        <f t="shared" ca="1" si="57"/>
        <v>-911.9</v>
      </c>
      <c r="AP38" s="55">
        <f ca="1">(ROUND(AT24*0.01*-1,2))</f>
        <v>-61.19</v>
      </c>
      <c r="AQ38" s="55">
        <f ca="1">(AT10+AU24+AP38)</f>
        <v>9308.8499999999985</v>
      </c>
      <c r="AR38" s="55">
        <f ca="1">IF($AG$15*F24&gt;=AQ38,AQ38,$AG$15*F24)</f>
        <v>6240</v>
      </c>
      <c r="AS38" s="55">
        <f t="shared" ca="1" si="58"/>
        <v>3068.8499999999985</v>
      </c>
      <c r="AT38" s="55">
        <f ca="1">(ROUND(AS38*AW82*-1,2))</f>
        <v>-828.59</v>
      </c>
      <c r="AU38" s="77">
        <v>30</v>
      </c>
      <c r="AV38" s="55">
        <f>($AG$9)</f>
        <v>26005.5</v>
      </c>
      <c r="AW38" s="55">
        <f t="shared" si="59"/>
        <v>26005.5</v>
      </c>
      <c r="AX38" s="55">
        <f t="shared" si="60"/>
        <v>0</v>
      </c>
      <c r="AY38" s="55">
        <f t="shared" si="61"/>
        <v>0</v>
      </c>
      <c r="AZ38" s="55">
        <f t="shared" si="62"/>
        <v>197.38174500000002</v>
      </c>
      <c r="BA38" s="55">
        <f t="shared" si="63"/>
        <v>26005.5</v>
      </c>
      <c r="BD38" s="58">
        <v>36</v>
      </c>
      <c r="BE38" s="60">
        <v>18</v>
      </c>
      <c r="BF38" s="61">
        <v>0.38</v>
      </c>
    </row>
    <row r="39" spans="2:58" ht="39.950000000000003" hidden="1" customHeight="1" x14ac:dyDescent="0.25">
      <c r="AD39" s="53">
        <v>2400</v>
      </c>
      <c r="AE39" s="52" t="s">
        <v>0</v>
      </c>
      <c r="AF39" s="52" t="s">
        <v>0</v>
      </c>
      <c r="AG39" s="52" t="s">
        <v>0</v>
      </c>
      <c r="AH39" s="55">
        <f>(AW39)</f>
        <v>26005.5</v>
      </c>
      <c r="AI39" s="55">
        <f ca="1">IF(AO25-AH39&gt;=0,AO25-AH39,0)</f>
        <v>62888.619999999995</v>
      </c>
      <c r="AJ39" s="55">
        <f t="shared" ca="1" si="54"/>
        <v>-477.32</v>
      </c>
      <c r="AK39" s="55">
        <f ca="1">(AO25)</f>
        <v>88894.12</v>
      </c>
      <c r="AL39" s="55">
        <f>(0)</f>
        <v>0</v>
      </c>
      <c r="AM39" s="55">
        <f t="shared" ca="1" si="55"/>
        <v>88894.12</v>
      </c>
      <c r="AN39" s="55">
        <f t="shared" ca="1" si="56"/>
        <v>-12445.18</v>
      </c>
      <c r="AO39" s="55">
        <f t="shared" ca="1" si="57"/>
        <v>-888.94</v>
      </c>
      <c r="AP39" s="55">
        <f ca="1">(ROUND(AT25*0.01*-1,2))</f>
        <v>-61.55</v>
      </c>
      <c r="AQ39" s="55">
        <f ca="1">(AT11+AU25+AP39)</f>
        <v>9339.840000000002</v>
      </c>
      <c r="AR39" s="55">
        <f ca="1">IF($AG$15*F25&gt;=AQ39,AQ39,$AG$15*F25)</f>
        <v>6240</v>
      </c>
      <c r="AS39" s="55">
        <f t="shared" ca="1" si="58"/>
        <v>3099.840000000002</v>
      </c>
      <c r="AT39" s="55">
        <f ca="1">(ROUND(AS39*AW83*-1,2))</f>
        <v>-859.3</v>
      </c>
      <c r="AU39" s="77">
        <v>30</v>
      </c>
      <c r="AV39" s="55">
        <f>($AG$9)</f>
        <v>26005.5</v>
      </c>
      <c r="AW39" s="55">
        <f t="shared" si="59"/>
        <v>26005.5</v>
      </c>
      <c r="AX39" s="55">
        <f t="shared" si="60"/>
        <v>0</v>
      </c>
      <c r="AY39" s="55">
        <f t="shared" si="61"/>
        <v>0</v>
      </c>
      <c r="AZ39" s="55">
        <f t="shared" si="62"/>
        <v>197.38174500000002</v>
      </c>
      <c r="BA39" s="55">
        <f t="shared" si="63"/>
        <v>26005.5</v>
      </c>
      <c r="BD39" s="58">
        <v>37</v>
      </c>
      <c r="BE39" s="60">
        <v>18.5</v>
      </c>
      <c r="BF39" s="61">
        <v>0.39</v>
      </c>
    </row>
    <row r="40" spans="2:58" ht="39.950000000000003" hidden="1" customHeight="1" x14ac:dyDescent="0.25">
      <c r="AF40" s="52" t="s">
        <v>1</v>
      </c>
      <c r="AG40" s="52" t="s">
        <v>71</v>
      </c>
      <c r="AH40" s="55">
        <f>(AW40)</f>
        <v>26005.5</v>
      </c>
      <c r="AI40" s="55">
        <f ca="1">IF(AO26-AH40&gt;=0,AO26-AH40,0)</f>
        <v>76564.679999999993</v>
      </c>
      <c r="AJ40" s="55">
        <f t="shared" ca="1" si="54"/>
        <v>-581.13</v>
      </c>
      <c r="AK40" s="55">
        <f ca="1">(AO26)</f>
        <v>102570.18</v>
      </c>
      <c r="AL40" s="55">
        <f>(0)</f>
        <v>0</v>
      </c>
      <c r="AM40" s="55">
        <f t="shared" ca="1" si="55"/>
        <v>102570.18</v>
      </c>
      <c r="AN40" s="55">
        <f t="shared" ca="1" si="56"/>
        <v>-14359.83</v>
      </c>
      <c r="AO40" s="55">
        <f t="shared" ca="1" si="57"/>
        <v>-1025.7</v>
      </c>
      <c r="AP40" s="55">
        <f ca="1">(ROUND(AT26*0.01*-1,2))</f>
        <v>-65.69</v>
      </c>
      <c r="AQ40" s="55">
        <f ca="1">(AT12+AU26+AP40)</f>
        <v>9691.81</v>
      </c>
      <c r="AR40" s="55">
        <f ca="1">IF($AG$15*F26&gt;=AQ40,AQ40,$AG$15*F26)</f>
        <v>6240</v>
      </c>
      <c r="AS40" s="55">
        <f t="shared" ca="1" si="58"/>
        <v>3451.8099999999995</v>
      </c>
      <c r="AT40" s="55">
        <f ca="1">(ROUND(AS40*AW84*-1,2))</f>
        <v>-1208.1300000000001</v>
      </c>
      <c r="AU40" s="77">
        <v>30</v>
      </c>
      <c r="AV40" s="55">
        <f>($AG$9)</f>
        <v>26005.5</v>
      </c>
      <c r="AW40" s="55">
        <f t="shared" si="59"/>
        <v>26005.5</v>
      </c>
      <c r="AX40" s="55">
        <f t="shared" si="60"/>
        <v>0</v>
      </c>
      <c r="AY40" s="55">
        <f t="shared" si="61"/>
        <v>0</v>
      </c>
      <c r="AZ40" s="55">
        <f t="shared" si="62"/>
        <v>197.38174500000002</v>
      </c>
      <c r="BA40" s="55">
        <f t="shared" si="63"/>
        <v>26005.5</v>
      </c>
      <c r="BD40" s="58">
        <v>38</v>
      </c>
      <c r="BE40" s="60">
        <v>19</v>
      </c>
      <c r="BF40" s="61">
        <v>0.4</v>
      </c>
    </row>
    <row r="41" spans="2:58" ht="39.950000000000003" hidden="1" customHeight="1" x14ac:dyDescent="0.25">
      <c r="AF41" s="71" t="s">
        <v>52</v>
      </c>
      <c r="AG41" s="69">
        <v>953.94</v>
      </c>
      <c r="AH41" s="55">
        <f>(AH29+AH30+AH31+AH32+AH33+AH34+AH35+AH36+AH37+AH38+AH39+AH40)</f>
        <v>312066</v>
      </c>
      <c r="AI41" s="55">
        <f ca="1">(AI29+AI30+AI31+AI32+AI33+AI34+AI35+AI36+AI37+AI38+AI39+AI40)</f>
        <v>583856.28</v>
      </c>
      <c r="AJ41" s="55">
        <f ca="1">(AJ29+AJ30+AJ31+AJ32+AJ33+AJ34+AJ35+AJ36+AJ37+AJ38+AJ39+AJ40)</f>
        <v>-4431.46</v>
      </c>
      <c r="AK41" s="55">
        <f ca="1">(AK29+AK30+AK31+AK32+AK33+AK34+AK35+AK36+AK37+AK38+AK39+AK40)</f>
        <v>895922.28</v>
      </c>
      <c r="AL41" s="55">
        <f>(AL29+AL30+AL31+AL32+AL33+AL34+AL35+AL36+AL37+AL38+AL39+AL40)</f>
        <v>0</v>
      </c>
      <c r="AM41" s="55">
        <f ca="1">(AM29+AM30+AM31+AM32+AM33+AM34+AM35+AM36+AM37+AM38+AM39+AM40)</f>
        <v>895922.28</v>
      </c>
      <c r="AN41" s="55">
        <f ca="1">(AN29+AN30+AN31+AN32+AN33+AN34+AN35+AN36+AN37+AN38+AN39+AN40)</f>
        <v>-125429.13000000002</v>
      </c>
      <c r="AO41" s="55">
        <f ca="1">(AO29+AO30+AO31+AO32+AO33+AO34+AO35+AO36+AO37+AO38+AO39+AO40)</f>
        <v>-8959.2300000000014</v>
      </c>
      <c r="AP41" s="55">
        <f t="shared" ref="AP41:AT41" ca="1" si="64">(AP29+AP30+AP31+AP32+AP33+AP34+AP35+AP36+AP37+AP38+AP39+AP40)</f>
        <v>-654.99</v>
      </c>
      <c r="AQ41" s="55">
        <f t="shared" ca="1" si="64"/>
        <v>104968.38999999998</v>
      </c>
      <c r="AR41" s="55">
        <f t="shared" ca="1" si="64"/>
        <v>74361.08</v>
      </c>
      <c r="AS41" s="55">
        <f t="shared" ca="1" si="64"/>
        <v>30607.30999999999</v>
      </c>
      <c r="AT41" s="55">
        <f t="shared" ca="1" si="64"/>
        <v>-8205.43</v>
      </c>
      <c r="AU41" s="77">
        <f>(AU29+AU30+AU31+AU32+AU33+AU34+AU35+AU36+AU37+AU38+AU39+AU40)</f>
        <v>360</v>
      </c>
      <c r="AV41" s="55">
        <f t="shared" ref="AV41" si="65">(AV29+AV30+AV31+AV32+AV33+AV34+AV35+AV36+AV37+AV38+AV39+AV40)</f>
        <v>312066</v>
      </c>
      <c r="AW41" s="55">
        <f t="shared" ref="AW41" si="66">(AW29+AW30+AW31+AW32+AW33+AW34+AW35+AW36+AW37+AW38+AW39+AW40)</f>
        <v>312066</v>
      </c>
      <c r="AX41" s="55">
        <f t="shared" ref="AX41" si="67">(AX29+AX30+AX31+AX32+AX33+AX34+AX35+AX36+AX37+AX38+AX39+AX40)</f>
        <v>0</v>
      </c>
      <c r="AY41" s="55">
        <f t="shared" ref="AY41:BA41" si="68">(AY29+AY30+AY31+AY32+AY33+AY34+AY35+AY36+AY37+AY38+AY39+AY40)</f>
        <v>0</v>
      </c>
      <c r="AZ41" s="55">
        <f t="shared" si="68"/>
        <v>2368.5809400000007</v>
      </c>
      <c r="BA41" s="55">
        <f t="shared" si="68"/>
        <v>312066</v>
      </c>
      <c r="BD41" s="58">
        <v>39</v>
      </c>
      <c r="BE41" s="60">
        <v>19.5</v>
      </c>
      <c r="BF41" s="61">
        <v>0.41</v>
      </c>
    </row>
    <row r="42" spans="2:58" ht="39.950000000000003" hidden="1" customHeight="1" x14ac:dyDescent="0.25">
      <c r="AF42" s="71" t="s">
        <v>57</v>
      </c>
      <c r="AG42" s="69">
        <v>2535.38</v>
      </c>
      <c r="AH42" s="55">
        <f>(AH41/12)</f>
        <v>26005.5</v>
      </c>
      <c r="AI42" s="55">
        <f ca="1">(AI41/12)</f>
        <v>48654.69</v>
      </c>
      <c r="AJ42" s="55">
        <f ca="1">(AJ41/12)</f>
        <v>-369.28833333333336</v>
      </c>
      <c r="AK42" s="55">
        <f ca="1">(AK41/12)</f>
        <v>74660.19</v>
      </c>
      <c r="AL42" s="55">
        <f>(AL41/12)</f>
        <v>0</v>
      </c>
      <c r="AM42" s="55">
        <f ca="1">(AM41/12)</f>
        <v>74660.19</v>
      </c>
      <c r="AN42" s="55">
        <f ca="1">(AN41/12)</f>
        <v>-10452.427500000002</v>
      </c>
      <c r="AO42" s="55">
        <f ca="1">(AO41/12)</f>
        <v>-746.60250000000008</v>
      </c>
      <c r="AP42" s="55">
        <f t="shared" ref="AP42:AT42" ca="1" si="69">(AP41/12)</f>
        <v>-54.582500000000003</v>
      </c>
      <c r="AQ42" s="55">
        <f t="shared" ca="1" si="69"/>
        <v>8747.3658333333315</v>
      </c>
      <c r="AR42" s="55">
        <f t="shared" ca="1" si="69"/>
        <v>6196.7566666666671</v>
      </c>
      <c r="AS42" s="55">
        <f t="shared" ca="1" si="69"/>
        <v>2550.6091666666657</v>
      </c>
      <c r="AT42" s="55">
        <f t="shared" ca="1" si="69"/>
        <v>-683.78583333333336</v>
      </c>
      <c r="AU42" s="63" t="s">
        <v>0</v>
      </c>
      <c r="AV42" s="55">
        <f t="shared" ref="AV42" si="70">(AV41/12)</f>
        <v>26005.5</v>
      </c>
      <c r="AW42" s="55">
        <f t="shared" ref="AW42" si="71">(AW41/12)</f>
        <v>26005.5</v>
      </c>
      <c r="AX42" s="55">
        <f t="shared" ref="AX42" si="72">(AX41/12)</f>
        <v>0</v>
      </c>
      <c r="AY42" s="55">
        <f t="shared" ref="AY42:BA42" si="73">(AY41/12)</f>
        <v>0</v>
      </c>
      <c r="AZ42" s="55">
        <f t="shared" si="73"/>
        <v>197.38174500000005</v>
      </c>
      <c r="BA42" s="55">
        <f t="shared" si="73"/>
        <v>26005.5</v>
      </c>
      <c r="BD42" s="58">
        <v>40</v>
      </c>
      <c r="BE42" s="60">
        <v>20</v>
      </c>
      <c r="BF42" s="61">
        <v>0.42</v>
      </c>
    </row>
    <row r="43" spans="2:58" ht="39.950000000000003" hidden="1" customHeight="1" x14ac:dyDescent="0.25">
      <c r="AF43" s="71" t="s">
        <v>58</v>
      </c>
      <c r="AG43" s="69">
        <v>2535.38</v>
      </c>
      <c r="AH43" s="55">
        <f ca="1">(AO15+AN29+AO29)</f>
        <v>49304.84</v>
      </c>
      <c r="AI43" s="55">
        <f>(0)</f>
        <v>0</v>
      </c>
      <c r="AJ43" s="55">
        <f ca="1">(AH43-AI43)</f>
        <v>49304.84</v>
      </c>
      <c r="AK43" s="55">
        <f ca="1">(ROUND(AJ43*AW73*-1,2))</f>
        <v>-7395.73</v>
      </c>
      <c r="AL43" s="55">
        <f>(AV58)</f>
        <v>3315.7</v>
      </c>
      <c r="AM43" s="55">
        <f ca="1">(AK43+AL43)</f>
        <v>-4080.0299999999997</v>
      </c>
      <c r="AN43" s="55">
        <f ca="1">(AO43/BB73)</f>
        <v>2529.45125959911</v>
      </c>
      <c r="AO43" s="55">
        <f>(1808.33)</f>
        <v>1808.33</v>
      </c>
      <c r="AP43" s="77">
        <v>0</v>
      </c>
      <c r="AQ43" s="55">
        <f ca="1">(AR43/BB73)</f>
        <v>0</v>
      </c>
      <c r="AR43" s="55">
        <f>(AI1*AP43)</f>
        <v>0</v>
      </c>
      <c r="AS43" s="77">
        <v>30</v>
      </c>
      <c r="AT43" s="55">
        <f>(5000/30*AS43)</f>
        <v>5000</v>
      </c>
      <c r="AU43" s="55">
        <f ca="1">(AT43*BB73)</f>
        <v>3574.55</v>
      </c>
      <c r="AV43" s="77">
        <v>30</v>
      </c>
      <c r="AW43" s="55">
        <f ca="1">(AX43/BB73)</f>
        <v>0</v>
      </c>
      <c r="AX43" s="55">
        <f>COUNTIF($A$1,"Deniz Taksi / Kaptan")*(2000/30*AV43)</f>
        <v>0</v>
      </c>
      <c r="BD43" s="58">
        <v>41</v>
      </c>
      <c r="BE43" s="60">
        <v>20.5</v>
      </c>
      <c r="BF43" s="61">
        <v>0.43</v>
      </c>
    </row>
    <row r="44" spans="2:58" ht="39.950000000000003" hidden="1" customHeight="1" x14ac:dyDescent="0.25">
      <c r="AF44" s="71" t="s">
        <v>59</v>
      </c>
      <c r="AG44" s="69">
        <v>12685.35</v>
      </c>
      <c r="AH44" s="55">
        <f ca="1">(AO16+AN30+AO30)</f>
        <v>44129.19</v>
      </c>
      <c r="AI44" s="55">
        <f>(0)</f>
        <v>0</v>
      </c>
      <c r="AJ44" s="55">
        <f t="shared" ref="AJ44:AJ54" ca="1" si="74">(AH44-AI44)</f>
        <v>44129.19</v>
      </c>
      <c r="AK44" s="55">
        <f ca="1">(ROUND(AJ44*AW74*-1,2))</f>
        <v>-6619.38</v>
      </c>
      <c r="AL44" s="55">
        <f>(AV59)</f>
        <v>3315.7</v>
      </c>
      <c r="AM44" s="55">
        <f t="shared" ref="AM44:AM54" ca="1" si="75">(AK44+AL44)</f>
        <v>-3303.6800000000003</v>
      </c>
      <c r="AN44" s="55">
        <f ca="1">(AO44/BB74)</f>
        <v>2965.4082332041794</v>
      </c>
      <c r="AO44" s="55">
        <f>(2120/30*AU30)</f>
        <v>2120</v>
      </c>
      <c r="AP44" s="77">
        <v>0</v>
      </c>
      <c r="AQ44" s="55">
        <f ca="1">(AR44/BB74)</f>
        <v>0</v>
      </c>
      <c r="AR44" s="55">
        <f>(AI2*AP44)</f>
        <v>0</v>
      </c>
      <c r="AS44" s="77">
        <v>30</v>
      </c>
      <c r="AT44" s="55">
        <f t="shared" ref="AT44:AT48" si="76">(5000/30*AS44)</f>
        <v>5000</v>
      </c>
      <c r="AU44" s="55">
        <f ca="1">(AT44*BB74)</f>
        <v>3574.55</v>
      </c>
      <c r="AV44" s="77">
        <v>30</v>
      </c>
      <c r="AW44" s="55">
        <f ca="1">(AX44/BB74)</f>
        <v>0</v>
      </c>
      <c r="AX44" s="55">
        <f t="shared" ref="AX44:AX48" si="77">COUNTIF($A$1,"Deniz Taksi / Kaptan")*(2000/30*AV44)</f>
        <v>0</v>
      </c>
      <c r="BD44" s="58">
        <v>42</v>
      </c>
      <c r="BE44" s="60">
        <v>21</v>
      </c>
      <c r="BF44" s="61">
        <v>0.44</v>
      </c>
    </row>
    <row r="45" spans="2:58" ht="39.950000000000003" hidden="1" customHeight="1" x14ac:dyDescent="0.25">
      <c r="AF45" s="71" t="s">
        <v>60</v>
      </c>
      <c r="AG45" s="69">
        <v>12685.35</v>
      </c>
      <c r="AH45" s="55">
        <f ca="1">(AO17+AN31+AO31)</f>
        <v>51965.599999999999</v>
      </c>
      <c r="AI45" s="55">
        <f>(0)</f>
        <v>0</v>
      </c>
      <c r="AJ45" s="55">
        <f t="shared" ca="1" si="74"/>
        <v>51965.599999999999</v>
      </c>
      <c r="AK45" s="55">
        <f ca="1">(ROUND(AJ45*AW75*-1,2))</f>
        <v>-10032.73</v>
      </c>
      <c r="AL45" s="55">
        <f>(AV60)</f>
        <v>3315.7</v>
      </c>
      <c r="AM45" s="55">
        <f t="shared" ca="1" si="75"/>
        <v>-6717.03</v>
      </c>
      <c r="AN45" s="55">
        <f ca="1">(AO45/BB75)</f>
        <v>3125.4382108055252</v>
      </c>
      <c r="AO45" s="55">
        <f>(2120/30*AU31)</f>
        <v>2120</v>
      </c>
      <c r="AP45" s="77">
        <v>30</v>
      </c>
      <c r="AQ45" s="55">
        <f ca="1">(AR45/BB75)</f>
        <v>64176.008589978417</v>
      </c>
      <c r="AR45" s="55">
        <f>(AI3*AP45)</f>
        <v>43530.9</v>
      </c>
      <c r="AS45" s="77">
        <v>30</v>
      </c>
      <c r="AT45" s="55">
        <f t="shared" si="76"/>
        <v>5000</v>
      </c>
      <c r="AU45" s="55">
        <f ca="1">(AT45*BB75)</f>
        <v>3391.5244151533047</v>
      </c>
      <c r="AV45" s="77">
        <v>30</v>
      </c>
      <c r="AW45" s="55">
        <f ca="1">(AX45/BB75)</f>
        <v>0</v>
      </c>
      <c r="AX45" s="55">
        <f t="shared" si="77"/>
        <v>0</v>
      </c>
      <c r="BD45" s="58">
        <v>43</v>
      </c>
      <c r="BE45" s="60">
        <v>21.5</v>
      </c>
      <c r="BF45" s="61">
        <v>0.45</v>
      </c>
    </row>
    <row r="46" spans="2:58" ht="39.950000000000003" hidden="1" customHeight="1" x14ac:dyDescent="0.25">
      <c r="B46" s="43"/>
      <c r="C46" s="43"/>
      <c r="D46" s="43"/>
      <c r="E46" s="43"/>
      <c r="F46" s="43"/>
      <c r="G46" s="43"/>
      <c r="H46" s="43"/>
      <c r="I46" s="43"/>
      <c r="J46" s="43"/>
      <c r="K46" s="43"/>
      <c r="L46" s="43"/>
      <c r="M46" s="43"/>
      <c r="U46" s="52"/>
      <c r="V46" s="52"/>
      <c r="W46" s="52"/>
      <c r="X46" s="52"/>
      <c r="Y46" s="52"/>
      <c r="Z46" s="52"/>
      <c r="AA46" s="52"/>
      <c r="AB46" s="52"/>
      <c r="AC46" s="52"/>
      <c r="AF46" s="71" t="s">
        <v>2</v>
      </c>
      <c r="AG46" s="69">
        <v>10149.959999999999</v>
      </c>
      <c r="AH46" s="55">
        <f ca="1">(AO18+AN32+AO32)</f>
        <v>51893.950000000004</v>
      </c>
      <c r="AI46" s="55">
        <f>(0)</f>
        <v>0</v>
      </c>
      <c r="AJ46" s="55">
        <f t="shared" ca="1" si="74"/>
        <v>51893.950000000004</v>
      </c>
      <c r="AK46" s="55">
        <f ca="1">(ROUND(AJ46*AW76*-1,2))</f>
        <v>-11412.75</v>
      </c>
      <c r="AL46" s="55">
        <f>(AV61)</f>
        <v>3315.7</v>
      </c>
      <c r="AM46" s="55">
        <f t="shared" ca="1" si="75"/>
        <v>-8097.05</v>
      </c>
      <c r="AN46" s="55">
        <f ca="1">(AO46/BB76)</f>
        <v>3234.2997557912372</v>
      </c>
      <c r="AO46" s="55">
        <f>(2120/30*AU32)</f>
        <v>2120</v>
      </c>
      <c r="AP46" s="77">
        <v>0</v>
      </c>
      <c r="AQ46" s="55">
        <f ca="1">(AR46/BB76)</f>
        <v>0</v>
      </c>
      <c r="AR46" s="55">
        <f>(AI4*AP46)</f>
        <v>0</v>
      </c>
      <c r="AS46" s="77">
        <v>30</v>
      </c>
      <c r="AT46" s="55">
        <f t="shared" si="76"/>
        <v>5000</v>
      </c>
      <c r="AU46" s="55">
        <f ca="1">(AT46*BB76)</f>
        <v>3277.3709304525555</v>
      </c>
      <c r="AV46" s="77">
        <v>30</v>
      </c>
      <c r="AW46" s="55">
        <f ca="1">(AX46/BB76)</f>
        <v>0</v>
      </c>
      <c r="AX46" s="55">
        <f t="shared" si="77"/>
        <v>0</v>
      </c>
      <c r="BD46" s="58">
        <v>44</v>
      </c>
      <c r="BE46" s="60">
        <v>22</v>
      </c>
      <c r="BF46" s="61">
        <v>0.46</v>
      </c>
    </row>
    <row r="47" spans="2:58" ht="39.950000000000003" hidden="1" customHeight="1" x14ac:dyDescent="0.25">
      <c r="B47" s="43"/>
      <c r="C47" s="43"/>
      <c r="D47" s="43"/>
      <c r="E47" s="43"/>
      <c r="F47" s="43"/>
      <c r="G47" s="43"/>
      <c r="H47" s="43"/>
      <c r="I47" s="43"/>
      <c r="J47" s="43"/>
      <c r="K47" s="43"/>
      <c r="L47" s="43"/>
      <c r="M47" s="43"/>
      <c r="U47" s="52"/>
      <c r="V47" s="52"/>
      <c r="W47" s="52"/>
      <c r="X47" s="52"/>
      <c r="Y47" s="52"/>
      <c r="Z47" s="52"/>
      <c r="AA47" s="52"/>
      <c r="AB47" s="52"/>
      <c r="AC47" s="52"/>
      <c r="AF47" s="71" t="s">
        <v>63</v>
      </c>
      <c r="AG47" s="69">
        <v>2271.2600000000002</v>
      </c>
      <c r="AH47" s="55">
        <f ca="1">(AO19+AN33+AO33)</f>
        <v>57510.11</v>
      </c>
      <c r="AI47" s="55">
        <f>(0)</f>
        <v>0</v>
      </c>
      <c r="AJ47" s="55">
        <f t="shared" ca="1" si="74"/>
        <v>57510.11</v>
      </c>
      <c r="AK47" s="55">
        <f ca="1">(ROUND(AJ47*AW77*-1,2))</f>
        <v>-15527.73</v>
      </c>
      <c r="AL47" s="55">
        <f>(AV62)</f>
        <v>3315.7</v>
      </c>
      <c r="AM47" s="55">
        <f t="shared" ca="1" si="75"/>
        <v>-12212.029999999999</v>
      </c>
      <c r="AN47" s="55">
        <f ca="1">(AO47/BB77)</f>
        <v>3458.9091383726814</v>
      </c>
      <c r="AO47" s="55">
        <f>(2120/30*AU33)</f>
        <v>2120</v>
      </c>
      <c r="AP47" s="77">
        <v>0</v>
      </c>
      <c r="AQ47" s="55">
        <f ca="1">(AR47/BB77)</f>
        <v>0</v>
      </c>
      <c r="AR47" s="55">
        <f>(AI5*AP47)</f>
        <v>0</v>
      </c>
      <c r="AS47" s="77">
        <v>30</v>
      </c>
      <c r="AT47" s="55">
        <f t="shared" si="76"/>
        <v>5000</v>
      </c>
      <c r="AU47" s="55">
        <f ca="1">(AT47*BB77)</f>
        <v>3064.5499999999997</v>
      </c>
      <c r="AV47" s="77">
        <v>30</v>
      </c>
      <c r="AW47" s="55">
        <f ca="1">(AX47/BB77)</f>
        <v>0</v>
      </c>
      <c r="AX47" s="55">
        <f t="shared" si="77"/>
        <v>0</v>
      </c>
      <c r="BD47" s="58">
        <v>45</v>
      </c>
      <c r="BE47" s="60">
        <v>22.5</v>
      </c>
      <c r="BF47" s="61">
        <v>0.47</v>
      </c>
    </row>
    <row r="48" spans="2:58" ht="39.950000000000003" hidden="1" customHeight="1" x14ac:dyDescent="0.25">
      <c r="B48" s="43"/>
      <c r="C48" s="43"/>
      <c r="D48" s="43"/>
      <c r="E48" s="43"/>
      <c r="F48" s="43"/>
      <c r="G48" s="43"/>
      <c r="H48" s="43"/>
      <c r="I48" s="43"/>
      <c r="J48" s="43"/>
      <c r="K48" s="43"/>
      <c r="L48" s="43"/>
      <c r="M48" s="43"/>
      <c r="U48" s="52"/>
      <c r="V48" s="52"/>
      <c r="W48" s="52"/>
      <c r="X48" s="52"/>
      <c r="Y48" s="52"/>
      <c r="Z48" s="52"/>
      <c r="AA48" s="52"/>
      <c r="AB48" s="52"/>
      <c r="AC48" s="52"/>
      <c r="AF48" s="71" t="s">
        <v>64</v>
      </c>
      <c r="AG48" s="69">
        <v>2271.2600000000002</v>
      </c>
      <c r="AH48" s="55">
        <f ca="1">(AO20+AN34+AO34)</f>
        <v>55497.780000000006</v>
      </c>
      <c r="AI48" s="55">
        <f>(0)</f>
        <v>0</v>
      </c>
      <c r="AJ48" s="55">
        <f t="shared" ca="1" si="74"/>
        <v>55497.780000000006</v>
      </c>
      <c r="AK48" s="55">
        <f ca="1">(ROUND(AJ48*AW78*-1,2))</f>
        <v>-14984.4</v>
      </c>
      <c r="AL48" s="55">
        <f>(AV63)</f>
        <v>3315.7</v>
      </c>
      <c r="AM48" s="55">
        <f t="shared" ca="1" si="75"/>
        <v>-11668.7</v>
      </c>
      <c r="AN48" s="55">
        <f ca="1">(AO48/BB78)</f>
        <v>3458.9091383726814</v>
      </c>
      <c r="AO48" s="55">
        <f>(2120/30*AU34)</f>
        <v>2120</v>
      </c>
      <c r="AP48" s="77">
        <v>30</v>
      </c>
      <c r="AQ48" s="55">
        <f ca="1">(AR48/BB78)</f>
        <v>71023.315005465731</v>
      </c>
      <c r="AR48" s="55">
        <f>(AI6*AP48)</f>
        <v>43530.9</v>
      </c>
      <c r="AS48" s="77">
        <v>30</v>
      </c>
      <c r="AT48" s="55">
        <f t="shared" si="76"/>
        <v>5000</v>
      </c>
      <c r="AU48" s="55">
        <f ca="1">(AT48*BB78)</f>
        <v>3064.5499999999997</v>
      </c>
      <c r="AV48" s="77">
        <v>30</v>
      </c>
      <c r="AW48" s="55">
        <f ca="1">(AX48/BB78)</f>
        <v>0</v>
      </c>
      <c r="AX48" s="55">
        <f t="shared" si="77"/>
        <v>0</v>
      </c>
      <c r="BD48" s="58">
        <v>46</v>
      </c>
      <c r="BE48" s="60">
        <v>23</v>
      </c>
      <c r="BF48" s="61">
        <v>0.48</v>
      </c>
    </row>
    <row r="49" spans="2:58" ht="39.950000000000003" hidden="1" customHeight="1" x14ac:dyDescent="0.25">
      <c r="B49" s="43"/>
      <c r="C49" s="43"/>
      <c r="D49" s="43"/>
      <c r="E49" s="43"/>
      <c r="F49" s="43"/>
      <c r="G49" s="43"/>
      <c r="H49" s="43"/>
      <c r="I49" s="43"/>
      <c r="J49" s="43"/>
      <c r="K49" s="43"/>
      <c r="L49" s="43"/>
      <c r="M49" s="43"/>
      <c r="U49" s="52"/>
      <c r="V49" s="52"/>
      <c r="W49" s="52"/>
      <c r="X49" s="52"/>
      <c r="Y49" s="52"/>
      <c r="Z49" s="52"/>
      <c r="AA49" s="52"/>
      <c r="AB49" s="52"/>
      <c r="AC49" s="52"/>
      <c r="AF49" s="71" t="s">
        <v>65</v>
      </c>
      <c r="AG49" s="69">
        <v>2845.05</v>
      </c>
      <c r="AH49" s="55">
        <f ca="1">(AO21+AN35+AO35)</f>
        <v>68738.659999999989</v>
      </c>
      <c r="AI49" s="55">
        <f>(0)</f>
        <v>0</v>
      </c>
      <c r="AJ49" s="55">
        <f t="shared" ca="1" si="74"/>
        <v>68738.659999999989</v>
      </c>
      <c r="AK49" s="55">
        <f ca="1">(ROUND(AJ49*AW79*-1,2))</f>
        <v>-18559.439999999999</v>
      </c>
      <c r="AL49" s="55">
        <f>(AV64)</f>
        <v>3315.7</v>
      </c>
      <c r="AM49" s="55">
        <f t="shared" ca="1" si="75"/>
        <v>-15243.739999999998</v>
      </c>
      <c r="AN49" s="55">
        <f ca="1">(AO49/BB79)</f>
        <v>3458.9091383726814</v>
      </c>
      <c r="AO49" s="55">
        <f>(2120/30*AU35)</f>
        <v>2120</v>
      </c>
      <c r="AP49" s="77">
        <v>0</v>
      </c>
      <c r="AQ49" s="55">
        <f ca="1">(AR49/BB79)</f>
        <v>0</v>
      </c>
      <c r="AR49" s="55">
        <f>(AI7*AP49)</f>
        <v>0</v>
      </c>
      <c r="AS49" s="77">
        <v>30</v>
      </c>
      <c r="AT49" s="55">
        <f>(5900/30*AS49)</f>
        <v>5900</v>
      </c>
      <c r="AU49" s="55">
        <f ca="1">(AT49*BB79)</f>
        <v>3616.1689999999999</v>
      </c>
      <c r="AV49" s="77">
        <v>30</v>
      </c>
      <c r="AW49" s="55">
        <f ca="1">(AX49/BB79)</f>
        <v>0</v>
      </c>
      <c r="AX49" s="55">
        <f>COUNTIF($A$1,"Deniz Taksi / Kaptan")*(2750/30*AV49)</f>
        <v>0</v>
      </c>
      <c r="BD49" s="58">
        <v>47</v>
      </c>
      <c r="BE49" s="60">
        <v>23.5</v>
      </c>
      <c r="BF49" s="61">
        <v>0.49</v>
      </c>
    </row>
    <row r="50" spans="2:58" ht="39.950000000000003" hidden="1" customHeight="1" x14ac:dyDescent="0.25">
      <c r="B50" s="43"/>
      <c r="C50" s="43"/>
      <c r="D50" s="43"/>
      <c r="E50" s="43"/>
      <c r="F50" s="43"/>
      <c r="G50" s="43"/>
      <c r="H50" s="43"/>
      <c r="I50" s="43"/>
      <c r="J50" s="43"/>
      <c r="K50" s="43"/>
      <c r="L50" s="43"/>
      <c r="M50" s="43"/>
      <c r="U50" s="52"/>
      <c r="V50" s="52"/>
      <c r="W50" s="52"/>
      <c r="X50" s="52"/>
      <c r="Y50" s="52"/>
      <c r="Z50" s="52"/>
      <c r="AA50" s="52"/>
      <c r="AB50" s="52"/>
      <c r="AC50" s="52"/>
      <c r="AF50" s="71" t="s">
        <v>66</v>
      </c>
      <c r="AG50" s="69">
        <v>4258.07</v>
      </c>
      <c r="AH50" s="55">
        <f ca="1">(AO22+AN36+AO36)</f>
        <v>67432.449999999983</v>
      </c>
      <c r="AI50" s="55">
        <f>(0)</f>
        <v>0</v>
      </c>
      <c r="AJ50" s="55">
        <f t="shared" ca="1" si="74"/>
        <v>67432.449999999983</v>
      </c>
      <c r="AK50" s="55">
        <f ca="1">(ROUND(AJ50*AW80*-1,2))</f>
        <v>-18206.759999999998</v>
      </c>
      <c r="AL50" s="55">
        <f>(AV65)</f>
        <v>4257.57</v>
      </c>
      <c r="AM50" s="55">
        <f t="shared" ca="1" si="75"/>
        <v>-13949.189999999999</v>
      </c>
      <c r="AN50" s="55">
        <f ca="1">(AO50/BB80)</f>
        <v>3458.9091383726814</v>
      </c>
      <c r="AO50" s="55">
        <f>(2120/30*AU36)</f>
        <v>2120</v>
      </c>
      <c r="AP50" s="77">
        <v>0</v>
      </c>
      <c r="AQ50" s="55">
        <f ca="1">(AR50/BB80)</f>
        <v>0</v>
      </c>
      <c r="AR50" s="55">
        <f>(AI8*AP50)</f>
        <v>0</v>
      </c>
      <c r="AS50" s="77">
        <v>30</v>
      </c>
      <c r="AT50" s="55">
        <f>(5900/30*AS50)</f>
        <v>5900</v>
      </c>
      <c r="AU50" s="55">
        <f ca="1">(AT50*BB80)</f>
        <v>3616.1689999999999</v>
      </c>
      <c r="AV50" s="77">
        <v>30</v>
      </c>
      <c r="AW50" s="55">
        <f ca="1">(AX50/BB80)</f>
        <v>0</v>
      </c>
      <c r="AX50" s="55">
        <f>COUNTIF($A$1,"Deniz Taksi / Kaptan")*(2750/30*AV50)</f>
        <v>0</v>
      </c>
      <c r="BD50" s="58">
        <v>48</v>
      </c>
      <c r="BE50" s="60">
        <v>24</v>
      </c>
      <c r="BF50" s="61">
        <v>0.5</v>
      </c>
    </row>
    <row r="51" spans="2:58" ht="39.950000000000003" hidden="1" customHeight="1" x14ac:dyDescent="0.25">
      <c r="B51" s="43"/>
      <c r="C51" s="43"/>
      <c r="D51" s="43"/>
      <c r="E51" s="43"/>
      <c r="F51" s="43"/>
      <c r="G51" s="43"/>
      <c r="H51" s="43"/>
      <c r="I51" s="43"/>
      <c r="J51" s="43"/>
      <c r="K51" s="43"/>
      <c r="L51" s="43"/>
      <c r="M51" s="43"/>
      <c r="U51" s="52"/>
      <c r="V51" s="52"/>
      <c r="W51" s="52"/>
      <c r="X51" s="52"/>
      <c r="Y51" s="52"/>
      <c r="Z51" s="52"/>
      <c r="AA51" s="52"/>
      <c r="AB51" s="52"/>
      <c r="AC51" s="52"/>
      <c r="AF51" s="71" t="s">
        <v>61</v>
      </c>
      <c r="AG51" s="69">
        <v>2845.05</v>
      </c>
      <c r="AH51" s="55">
        <f ca="1">(AO23+AN37+AO37)</f>
        <v>74804.850000000006</v>
      </c>
      <c r="AI51" s="55">
        <f>(0)</f>
        <v>0</v>
      </c>
      <c r="AJ51" s="55">
        <f t="shared" ca="1" si="74"/>
        <v>74804.850000000006</v>
      </c>
      <c r="AK51" s="55">
        <f ca="1">(ROUND(AJ51*AW81*-1,2))</f>
        <v>-20197.310000000001</v>
      </c>
      <c r="AL51" s="55">
        <f>(AV66)</f>
        <v>4420.9399999999996</v>
      </c>
      <c r="AM51" s="55">
        <f t="shared" ca="1" si="75"/>
        <v>-15776.370000000003</v>
      </c>
      <c r="AN51" s="55">
        <f ca="1">(AO51/BB81)</f>
        <v>3458.9091383726814</v>
      </c>
      <c r="AO51" s="55">
        <f>(2120/30*AU37)</f>
        <v>2120</v>
      </c>
      <c r="AP51" s="77">
        <v>30</v>
      </c>
      <c r="AQ51" s="55">
        <f ca="1">(AR51/BB81)</f>
        <v>95540.780865053603</v>
      </c>
      <c r="AR51" s="55">
        <f>(AI9*AP51)</f>
        <v>58557.9</v>
      </c>
      <c r="AS51" s="77">
        <v>30</v>
      </c>
      <c r="AT51" s="55">
        <f>(6726/30*AS51)</f>
        <v>6726</v>
      </c>
      <c r="AU51" s="55">
        <f ca="1">(AT51*BB81)</f>
        <v>4122.4326599999995</v>
      </c>
      <c r="AV51" s="77">
        <v>30</v>
      </c>
      <c r="AW51" s="55">
        <f ca="1">(AX51/BB81)</f>
        <v>0</v>
      </c>
      <c r="AX51" s="55">
        <f>COUNTIF($A$1,"Deniz Taksi / Kaptan")*(2860/30*AV51)</f>
        <v>0</v>
      </c>
      <c r="BD51" s="58">
        <v>49</v>
      </c>
      <c r="BE51" s="60">
        <v>24.5</v>
      </c>
      <c r="BF51" s="81" t="s">
        <v>0</v>
      </c>
    </row>
    <row r="52" spans="2:58" ht="39.950000000000003" hidden="1" customHeight="1" x14ac:dyDescent="0.25">
      <c r="B52" s="43"/>
      <c r="C52" s="43"/>
      <c r="D52" s="43"/>
      <c r="E52" s="43"/>
      <c r="F52" s="43"/>
      <c r="G52" s="43"/>
      <c r="H52" s="43"/>
      <c r="I52" s="43"/>
      <c r="J52" s="43"/>
      <c r="K52" s="43"/>
      <c r="L52" s="43"/>
      <c r="M52" s="43"/>
      <c r="U52" s="52"/>
      <c r="V52" s="52"/>
      <c r="W52" s="52"/>
      <c r="X52" s="52"/>
      <c r="Y52" s="52"/>
      <c r="Z52" s="52"/>
      <c r="AA52" s="52"/>
      <c r="AB52" s="52"/>
      <c r="AC52" s="52"/>
      <c r="AF52" s="71" t="s">
        <v>62</v>
      </c>
      <c r="AG52" s="69">
        <v>4258.07</v>
      </c>
      <c r="AH52" s="55">
        <f ca="1">(AO24+AN38+AO38)</f>
        <v>77511.839999999997</v>
      </c>
      <c r="AI52" s="55">
        <f>(0)</f>
        <v>0</v>
      </c>
      <c r="AJ52" s="55">
        <f t="shared" ca="1" si="74"/>
        <v>77511.839999999997</v>
      </c>
      <c r="AK52" s="55">
        <f ca="1">(ROUND(AJ52*AW82*-1,2))</f>
        <v>-20928.2</v>
      </c>
      <c r="AL52" s="55">
        <f>(AV67)</f>
        <v>4420.9399999999996</v>
      </c>
      <c r="AM52" s="55">
        <f t="shared" ca="1" si="75"/>
        <v>-16507.260000000002</v>
      </c>
      <c r="AN52" s="55">
        <f ca="1">(AO52/BB82)</f>
        <v>3458.9091383726814</v>
      </c>
      <c r="AO52" s="55">
        <f>(2120/30*AU38)</f>
        <v>2120</v>
      </c>
      <c r="AP52" s="77">
        <v>0</v>
      </c>
      <c r="AQ52" s="55">
        <f ca="1">(AR52/BB82)</f>
        <v>0</v>
      </c>
      <c r="AR52" s="55">
        <f>(AI10*AP52)</f>
        <v>0</v>
      </c>
      <c r="AS52" s="77">
        <v>30</v>
      </c>
      <c r="AT52" s="55">
        <f t="shared" ref="AT52:AT54" si="78">(6726/30*AS52)</f>
        <v>6726</v>
      </c>
      <c r="AU52" s="55">
        <f ca="1">(AT52*BB82)</f>
        <v>4122.4326599999995</v>
      </c>
      <c r="AV52" s="77">
        <v>30</v>
      </c>
      <c r="AW52" s="55">
        <f ca="1">(AX52/BB82)</f>
        <v>0</v>
      </c>
      <c r="AX52" s="55">
        <f t="shared" ref="AX52:AX54" si="79">COUNTIF($A$1,"Deniz Taksi / Kaptan")*(2860/30*AV52)</f>
        <v>0</v>
      </c>
      <c r="BD52" s="58">
        <v>50</v>
      </c>
      <c r="BE52" s="60">
        <v>25</v>
      </c>
      <c r="BF52" s="81" t="s">
        <v>0</v>
      </c>
    </row>
    <row r="53" spans="2:58" ht="39.950000000000003" hidden="1" customHeight="1" x14ac:dyDescent="0.25">
      <c r="B53" s="43"/>
      <c r="C53" s="43"/>
      <c r="D53" s="43"/>
      <c r="E53" s="43"/>
      <c r="F53" s="43"/>
      <c r="G53" s="43"/>
      <c r="H53" s="43"/>
      <c r="I53" s="43"/>
      <c r="J53" s="43"/>
      <c r="K53" s="43"/>
      <c r="L53" s="43"/>
      <c r="M53" s="43"/>
      <c r="U53" s="52"/>
      <c r="V53" s="52"/>
      <c r="W53" s="52"/>
      <c r="X53" s="52"/>
      <c r="Y53" s="52"/>
      <c r="Z53" s="52"/>
      <c r="AA53" s="52"/>
      <c r="AB53" s="52"/>
      <c r="AC53" s="52"/>
      <c r="AF53" s="71" t="s">
        <v>8</v>
      </c>
      <c r="AG53" s="69">
        <v>3298.55</v>
      </c>
      <c r="AH53" s="55">
        <f ca="1">(AO25+AN39+AO39)</f>
        <v>75560</v>
      </c>
      <c r="AI53" s="55">
        <f>(0)</f>
        <v>0</v>
      </c>
      <c r="AJ53" s="55">
        <f t="shared" ca="1" si="74"/>
        <v>75560</v>
      </c>
      <c r="AK53" s="55">
        <f ca="1">(ROUND(AJ53*AW83*-1,2))</f>
        <v>-20945.72</v>
      </c>
      <c r="AL53" s="55">
        <f>(AV68)</f>
        <v>4420.9399999999996</v>
      </c>
      <c r="AM53" s="55">
        <f t="shared" ca="1" si="75"/>
        <v>-16524.780000000002</v>
      </c>
      <c r="AN53" s="55">
        <f ca="1">(AO53/BB83)</f>
        <v>3493.8267715307716</v>
      </c>
      <c r="AO53" s="55">
        <f>(2120/30*AU39)</f>
        <v>2120</v>
      </c>
      <c r="AP53" s="77">
        <v>0</v>
      </c>
      <c r="AQ53" s="55">
        <f ca="1">(AR53/BB83)</f>
        <v>0</v>
      </c>
      <c r="AR53" s="55">
        <f>(AI11*AP53)</f>
        <v>0</v>
      </c>
      <c r="AS53" s="77">
        <v>30</v>
      </c>
      <c r="AT53" s="55">
        <f t="shared" si="78"/>
        <v>6726</v>
      </c>
      <c r="AU53" s="55">
        <f ca="1">(AT53*BB83)</f>
        <v>4081.2326805065281</v>
      </c>
      <c r="AV53" s="77">
        <v>30</v>
      </c>
      <c r="AW53" s="55">
        <f ca="1">(AX53/BB83)</f>
        <v>0</v>
      </c>
      <c r="AX53" s="55">
        <f t="shared" si="79"/>
        <v>0</v>
      </c>
      <c r="BD53" s="58">
        <v>51</v>
      </c>
      <c r="BE53" s="60">
        <v>25.5</v>
      </c>
      <c r="BF53" s="81" t="s">
        <v>0</v>
      </c>
    </row>
    <row r="54" spans="2:58" ht="39.950000000000003" hidden="1" customHeight="1" x14ac:dyDescent="0.25">
      <c r="B54" s="43"/>
      <c r="C54" s="43"/>
      <c r="D54" s="43"/>
      <c r="E54" s="43"/>
      <c r="F54" s="43"/>
      <c r="G54" s="43"/>
      <c r="H54" s="43"/>
      <c r="I54" s="43"/>
      <c r="J54" s="43"/>
      <c r="K54" s="43"/>
      <c r="L54" s="43"/>
      <c r="M54" s="43"/>
      <c r="U54" s="52"/>
      <c r="V54" s="52"/>
      <c r="W54" s="52"/>
      <c r="X54" s="52"/>
      <c r="Y54" s="52"/>
      <c r="Z54" s="52"/>
      <c r="AA54" s="52"/>
      <c r="AB54" s="52"/>
      <c r="AC54" s="52"/>
      <c r="AF54" s="71" t="s">
        <v>38</v>
      </c>
      <c r="AG54" s="69">
        <v>1707</v>
      </c>
      <c r="AH54" s="55">
        <f ca="1">(AO26+AN40+AO40)</f>
        <v>87184.65</v>
      </c>
      <c r="AI54" s="55">
        <f>(0)</f>
        <v>0</v>
      </c>
      <c r="AJ54" s="55">
        <f t="shared" ca="1" si="74"/>
        <v>87184.65</v>
      </c>
      <c r="AK54" s="55">
        <f ca="1">(ROUND(AJ54*AW84*-1,2))</f>
        <v>-30514.63</v>
      </c>
      <c r="AL54" s="55">
        <f>(AV69)</f>
        <v>4420.9399999999996</v>
      </c>
      <c r="AM54" s="55">
        <f t="shared" ca="1" si="75"/>
        <v>-26093.690000000002</v>
      </c>
      <c r="AN54" s="55">
        <f ca="1">(AO54/BB84)</f>
        <v>3890.5507331485933</v>
      </c>
      <c r="AO54" s="55">
        <f>(2120/30*AU40)</f>
        <v>2120</v>
      </c>
      <c r="AP54" s="77">
        <v>30</v>
      </c>
      <c r="AQ54" s="55">
        <f ca="1">(AR54/BB84)</f>
        <v>107463.43432860472</v>
      </c>
      <c r="AR54" s="55">
        <f>(AI12*AP54)</f>
        <v>58557.9</v>
      </c>
      <c r="AS54" s="77">
        <v>30</v>
      </c>
      <c r="AT54" s="55">
        <f t="shared" si="78"/>
        <v>6726</v>
      </c>
      <c r="AU54" s="55">
        <f ca="1">(AT54*BB84)</f>
        <v>3665.06466</v>
      </c>
      <c r="AV54" s="77">
        <v>30</v>
      </c>
      <c r="AW54" s="55">
        <f ca="1">(AX54/BB84)</f>
        <v>0</v>
      </c>
      <c r="AX54" s="55">
        <f t="shared" si="79"/>
        <v>0</v>
      </c>
      <c r="BD54" s="58">
        <v>52</v>
      </c>
      <c r="BE54" s="60">
        <v>26</v>
      </c>
      <c r="BF54" s="81" t="s">
        <v>0</v>
      </c>
    </row>
    <row r="55" spans="2:58" ht="39.950000000000003" hidden="1" customHeight="1" x14ac:dyDescent="0.25">
      <c r="B55" s="43"/>
      <c r="C55" s="43"/>
      <c r="D55" s="43"/>
      <c r="E55" s="43"/>
      <c r="F55" s="43"/>
      <c r="G55" s="43"/>
      <c r="H55" s="43"/>
      <c r="I55" s="43"/>
      <c r="J55" s="43"/>
      <c r="K55" s="43"/>
      <c r="L55" s="43"/>
      <c r="M55" s="43"/>
      <c r="U55" s="52"/>
      <c r="V55" s="52"/>
      <c r="W55" s="52"/>
      <c r="X55" s="52"/>
      <c r="Y55" s="52"/>
      <c r="Z55" s="52"/>
      <c r="AA55" s="52"/>
      <c r="AB55" s="52"/>
      <c r="AC55" s="52"/>
      <c r="AF55" s="71" t="s">
        <v>35</v>
      </c>
      <c r="AG55" s="69">
        <v>28856.99</v>
      </c>
      <c r="AH55" s="55">
        <f ca="1">(AH43+AH44+AH45+AH46+AH47+AH48+AH49+AH50+AH51+AH52+AH53+AH54)</f>
        <v>761533.91999999993</v>
      </c>
      <c r="AI55" s="55">
        <f>(AI43+AI44+AI45+AI46+AI47+AI48+AI49+AI50+AI51+AI52+AI53+AI54)</f>
        <v>0</v>
      </c>
      <c r="AJ55" s="55">
        <f ca="1">(AJ43+AJ44+AJ45+AJ46+AJ47+AJ48+AJ49+AJ50+AJ51+AJ52+AJ53+AJ54)</f>
        <v>761533.91999999993</v>
      </c>
      <c r="AK55" s="55">
        <f ca="1">(AK43+AK44+AK45+AK46+AK47+AK48+AK49+AK50+AK51+AK52+AK53+AK54)</f>
        <v>-195324.78</v>
      </c>
      <c r="AL55" s="55">
        <f>(AL43+AL44+AL45+AL46+AL47+AL48+AL49+AL50+AL51+AL52+AL53+AL54)</f>
        <v>45151.23</v>
      </c>
      <c r="AM55" s="55">
        <f ca="1">(AM43+AM44+AM45+AM46+AM47+AM48+AM49+AM50+AM51+AM52+AM53+AM54)</f>
        <v>-150173.55000000002</v>
      </c>
      <c r="AN55" s="55">
        <f t="shared" ref="AN55:AO55" ca="1" si="80">(AN43+AN44+AN45+AN46+AN47+AN48+AN49+AN50+AN51+AN52+AN53+AN54)</f>
        <v>39992.429794315503</v>
      </c>
      <c r="AO55" s="55">
        <f t="shared" si="80"/>
        <v>25128.33</v>
      </c>
      <c r="AP55" s="63" t="s">
        <v>0</v>
      </c>
      <c r="AQ55" s="55">
        <f t="shared" ref="AQ55:AR55" ca="1" si="81">(AQ43+AQ44+AQ45+AQ46+AQ47+AQ48+AQ49+AQ50+AQ51+AQ52+AQ53+AQ54)</f>
        <v>338203.53878910246</v>
      </c>
      <c r="AR55" s="55">
        <f t="shared" si="81"/>
        <v>204177.6</v>
      </c>
      <c r="AS55" s="77">
        <f>(AS43+AS44+AS45+AS46+AS47+AS48+AS49+AS50+AS51+AS52+AS53+AS54)</f>
        <v>360</v>
      </c>
      <c r="AT55" s="55">
        <f t="shared" ref="AT55:AU55" si="82">(AT43+AT44+AT45+AT46+AT47+AT48+AT49+AT50+AT51+AT52+AT53+AT54)</f>
        <v>68704</v>
      </c>
      <c r="AU55" s="55">
        <f t="shared" ca="1" si="82"/>
        <v>43170.596006112391</v>
      </c>
      <c r="AV55" s="77">
        <f>(AV43+AV44+AV45+AV46+AV47+AV48+AV49+AV50+AV51+AV52+AV53+AV54)</f>
        <v>360</v>
      </c>
      <c r="AW55" s="55">
        <f t="shared" ref="AW55:AX55" ca="1" si="83">(AW43+AW44+AW45+AW46+AW47+AW48+AW49+AW50+AW51+AW52+AW53+AW54)</f>
        <v>0</v>
      </c>
      <c r="AX55" s="55">
        <f t="shared" si="83"/>
        <v>0</v>
      </c>
      <c r="BD55" s="58">
        <v>53</v>
      </c>
      <c r="BE55" s="60">
        <v>26.5</v>
      </c>
      <c r="BF55" s="81" t="s">
        <v>0</v>
      </c>
    </row>
    <row r="56" spans="2:58" ht="39.950000000000003" hidden="1" customHeight="1" x14ac:dyDescent="0.25">
      <c r="B56" s="43"/>
      <c r="C56" s="43"/>
      <c r="D56" s="43"/>
      <c r="E56" s="43"/>
      <c r="F56" s="43"/>
      <c r="G56" s="43"/>
      <c r="H56" s="43"/>
      <c r="I56" s="43"/>
      <c r="J56" s="43"/>
      <c r="K56" s="43"/>
      <c r="L56" s="43"/>
      <c r="M56" s="43"/>
      <c r="U56" s="52"/>
      <c r="V56" s="52"/>
      <c r="W56" s="52"/>
      <c r="X56" s="52"/>
      <c r="Y56" s="52"/>
      <c r="Z56" s="52"/>
      <c r="AA56" s="52"/>
      <c r="AB56" s="52"/>
      <c r="AC56" s="52"/>
      <c r="AH56" s="55">
        <f ca="1">(AH55/12)</f>
        <v>63461.159999999996</v>
      </c>
      <c r="AI56" s="55">
        <f>(AI55/12)</f>
        <v>0</v>
      </c>
      <c r="AJ56" s="55">
        <f ca="1">(AJ55/12)</f>
        <v>63461.159999999996</v>
      </c>
      <c r="AK56" s="55">
        <f ca="1">(AK55/12)</f>
        <v>-16277.065000000001</v>
      </c>
      <c r="AL56" s="55">
        <f>(AL55/12)</f>
        <v>3762.6025000000004</v>
      </c>
      <c r="AM56" s="55">
        <f ca="1">(AM55/12)</f>
        <v>-12514.462500000001</v>
      </c>
      <c r="AN56" s="55">
        <f t="shared" ref="AN56:AO56" ca="1" si="84">(AN55/12)</f>
        <v>3332.7024828596254</v>
      </c>
      <c r="AO56" s="55">
        <f t="shared" si="84"/>
        <v>2094.0275000000001</v>
      </c>
      <c r="AP56" s="63" t="s">
        <v>0</v>
      </c>
      <c r="AQ56" s="55">
        <f t="shared" ref="AQ56:AR56" ca="1" si="85">(AQ55/12)</f>
        <v>28183.628232425206</v>
      </c>
      <c r="AR56" s="55">
        <f t="shared" si="85"/>
        <v>17014.8</v>
      </c>
      <c r="AS56" s="63" t="s">
        <v>0</v>
      </c>
      <c r="AT56" s="55">
        <f t="shared" ref="AT56:AU56" si="86">(AT55/12)</f>
        <v>5725.333333333333</v>
      </c>
      <c r="AU56" s="55">
        <f t="shared" ca="1" si="86"/>
        <v>3597.5496671760325</v>
      </c>
      <c r="AV56" s="63" t="s">
        <v>0</v>
      </c>
      <c r="AW56" s="55">
        <f t="shared" ref="AW56:AX56" ca="1" si="87">(AW55/12)</f>
        <v>0</v>
      </c>
      <c r="AX56" s="55">
        <f t="shared" si="87"/>
        <v>0</v>
      </c>
      <c r="BD56" s="58">
        <v>54</v>
      </c>
      <c r="BE56" s="60">
        <v>27</v>
      </c>
      <c r="BF56" s="81" t="s">
        <v>0</v>
      </c>
    </row>
    <row r="57" spans="2:58" ht="39.950000000000003" hidden="1" customHeight="1" x14ac:dyDescent="0.25">
      <c r="B57" s="43"/>
      <c r="C57" s="43"/>
      <c r="D57" s="43"/>
      <c r="E57" s="43"/>
      <c r="F57" s="43"/>
      <c r="G57" s="43"/>
      <c r="H57" s="43"/>
      <c r="I57" s="43"/>
      <c r="J57" s="43"/>
      <c r="K57" s="43"/>
      <c r="L57" s="43"/>
      <c r="M57" s="43"/>
      <c r="U57" s="52"/>
      <c r="V57" s="52"/>
      <c r="W57" s="52"/>
      <c r="X57" s="52"/>
      <c r="Y57" s="52"/>
      <c r="Z57" s="52"/>
      <c r="AA57" s="52"/>
      <c r="AB57" s="52"/>
      <c r="AC57" s="52"/>
      <c r="AR57" s="55">
        <f>(0)</f>
        <v>0</v>
      </c>
      <c r="AS57" s="82">
        <f>(0%)</f>
        <v>0</v>
      </c>
      <c r="BD57" s="58">
        <v>55</v>
      </c>
      <c r="BE57" s="60">
        <v>27.5</v>
      </c>
      <c r="BF57" s="81" t="s">
        <v>0</v>
      </c>
    </row>
    <row r="58" spans="2:58" ht="39.950000000000003" hidden="1" customHeight="1" x14ac:dyDescent="0.25">
      <c r="B58" s="43"/>
      <c r="C58" s="43"/>
      <c r="D58" s="43"/>
      <c r="E58" s="43"/>
      <c r="F58" s="43"/>
      <c r="G58" s="43"/>
      <c r="H58" s="43"/>
      <c r="I58" s="43"/>
      <c r="J58" s="43"/>
      <c r="K58" s="43"/>
      <c r="L58" s="43"/>
      <c r="M58" s="43"/>
      <c r="U58" s="52"/>
      <c r="V58" s="52"/>
      <c r="W58" s="52"/>
      <c r="X58" s="52"/>
      <c r="Y58" s="52"/>
      <c r="Z58" s="52"/>
      <c r="AA58" s="52"/>
      <c r="AB58" s="52"/>
      <c r="AC58" s="52"/>
      <c r="AG58" s="55">
        <f>(0)</f>
        <v>0</v>
      </c>
      <c r="AH58" s="55">
        <f>(AV29-AG58)</f>
        <v>26005.5</v>
      </c>
      <c r="AI58" s="55">
        <f>(AH58*0.14*-1)</f>
        <v>-3640.7700000000004</v>
      </c>
      <c r="AJ58" s="55">
        <f>(AH58*0.01*-1)</f>
        <v>-260.05500000000001</v>
      </c>
      <c r="AK58" s="83">
        <v>0.15</v>
      </c>
      <c r="AL58" s="53">
        <v>0</v>
      </c>
      <c r="AM58" s="55">
        <v>158000</v>
      </c>
      <c r="AN58" s="55">
        <v>0</v>
      </c>
      <c r="AO58" s="55">
        <f>(AV29+AI58+AJ58-AP58)</f>
        <v>22104.674999999999</v>
      </c>
      <c r="AP58" s="55">
        <f>(0)</f>
        <v>0</v>
      </c>
      <c r="AQ58" s="55">
        <f>(AV29+AI58+AJ58-AP58)</f>
        <v>22104.674999999999</v>
      </c>
      <c r="AR58" s="55">
        <f>SUM(AQ$58:$AQ58)</f>
        <v>22104.674999999999</v>
      </c>
      <c r="AS58" s="82">
        <f>IF(AR58&lt;=$AM$58,$AK$58,
IF(AR58&gt;$AM$60,
IF(AR58&gt;$AM$61,$AK$62,$AK$61),
IF(AR58&lt;$AM$59,$AK$59,$AK$60)))</f>
        <v>0.15</v>
      </c>
      <c r="AT58" s="57">
        <f>IF(AS58-AS57=0,0,1)</f>
        <v>1</v>
      </c>
      <c r="AU58" s="84">
        <f>IF(AT58=0,AS58,(VLOOKUP($AS58,$AK$58:$AN$62,2,0)-AR57)/AQ58*AS57+(AR58-VLOOKUP($AS58,$AK$58:$AN$62,2,0))/AQ58*AS58)</f>
        <v>0.15</v>
      </c>
      <c r="AV58" s="55">
        <f>(ROUND(AQ58*AU58,2)+VLOOKUP(AS58,$AK$58:$AN$62,4,0))</f>
        <v>3315.7</v>
      </c>
      <c r="AW58" s="84">
        <f>(100+(100*0.00759*-1)+(100*0.01*-1)+(100*0.01*-1)+(100+100*0.14*-1+100*0.01*-1)*AU58*-1)/100</f>
        <v>0.84491000000000005</v>
      </c>
      <c r="AX58" s="55">
        <f>AV29</f>
        <v>26005.5</v>
      </c>
      <c r="AY58" s="55">
        <f>AV29+AY29+AI58+AJ58</f>
        <v>22104.674999999999</v>
      </c>
      <c r="BD58" s="58">
        <v>56</v>
      </c>
      <c r="BE58" s="60">
        <v>28</v>
      </c>
      <c r="BF58" s="81" t="s">
        <v>0</v>
      </c>
    </row>
    <row r="59" spans="2:58" ht="39.950000000000003" hidden="1" customHeight="1" x14ac:dyDescent="0.25">
      <c r="B59" s="43"/>
      <c r="C59" s="43"/>
      <c r="D59" s="43"/>
      <c r="E59" s="43"/>
      <c r="F59" s="43"/>
      <c r="G59" s="43"/>
      <c r="H59" s="43"/>
      <c r="I59" s="43"/>
      <c r="J59" s="43"/>
      <c r="K59" s="43"/>
      <c r="L59" s="43"/>
      <c r="M59" s="43"/>
      <c r="U59" s="52"/>
      <c r="V59" s="52"/>
      <c r="W59" s="52"/>
      <c r="X59" s="52"/>
      <c r="Y59" s="52"/>
      <c r="Z59" s="52"/>
      <c r="AA59" s="52"/>
      <c r="AB59" s="52"/>
      <c r="AC59" s="52"/>
      <c r="AG59" s="55">
        <f>(0)</f>
        <v>0</v>
      </c>
      <c r="AH59" s="55">
        <f>(AV30-AG59)</f>
        <v>26005.5</v>
      </c>
      <c r="AI59" s="55">
        <f t="shared" ref="AI59:AI69" si="88">(AH59*0.14*-1)</f>
        <v>-3640.7700000000004</v>
      </c>
      <c r="AJ59" s="55">
        <f t="shared" ref="AJ59:AJ69" si="89">(AH59*0.01*-1)</f>
        <v>-260.05500000000001</v>
      </c>
      <c r="AK59" s="83">
        <v>0.2</v>
      </c>
      <c r="AL59" s="55">
        <f>$AM$58</f>
        <v>158000</v>
      </c>
      <c r="AM59" s="55">
        <v>330000</v>
      </c>
      <c r="AN59" s="55">
        <f>(AM58-AL58)*AK58+AN58</f>
        <v>23700</v>
      </c>
      <c r="AO59" s="55">
        <f>(AV30+AI59+AJ59-AP59)</f>
        <v>22104.674999999999</v>
      </c>
      <c r="AP59" s="55">
        <f>(0)</f>
        <v>0</v>
      </c>
      <c r="AQ59" s="55">
        <f>(AV30+AI59+AJ59-AP59)</f>
        <v>22104.674999999999</v>
      </c>
      <c r="AR59" s="55">
        <f>SUM(AQ$58:$AQ59)</f>
        <v>44209.35</v>
      </c>
      <c r="AS59" s="82">
        <f>IF(AR59&lt;=$AM$58,$AK$58,
IF(AR59&gt;$AM$60,
IF(AR59&gt;$AM$61,$AK$62,$AK$61),
IF(AR59&lt;$AM$59,$AK$59,$AK$60)))</f>
        <v>0.15</v>
      </c>
      <c r="AT59" s="57">
        <f t="shared" ref="AT59:AT69" si="90">IF(AS59-AS58=0,0,1)</f>
        <v>0</v>
      </c>
      <c r="AU59" s="84">
        <f>IF(AT59=0,AS59,(VLOOKUP($AS59,$AK$58:$AN$62,2,0)-AR58)/AQ59*AS58+(AR59-VLOOKUP($AS59,$AK$58:$AN$62,2,0))/AQ59*AS59)</f>
        <v>0.15</v>
      </c>
      <c r="AV59" s="55">
        <f>(ROUND(AQ59*AU59,2))</f>
        <v>3315.7</v>
      </c>
      <c r="AW59" s="84">
        <f t="shared" ref="AW59:AW69" si="91">(100+(100*0.00759*-1)+(100*0.01*-1)+(100*0.01*-1)+(100+100*0.14*-1+100*0.01*-1)*AU59*-1)/100</f>
        <v>0.84491000000000005</v>
      </c>
      <c r="AX59" s="55">
        <f>AV30</f>
        <v>26005.5</v>
      </c>
      <c r="AY59" s="55">
        <f>AV30+AY30+AI59+AJ59</f>
        <v>22104.674999999999</v>
      </c>
      <c r="BD59" s="58">
        <v>57</v>
      </c>
      <c r="BE59" s="60">
        <v>28.5</v>
      </c>
      <c r="BF59" s="81" t="s">
        <v>0</v>
      </c>
    </row>
    <row r="60" spans="2:58" ht="39.950000000000003" hidden="1" customHeight="1" x14ac:dyDescent="0.25">
      <c r="B60" s="43"/>
      <c r="C60" s="43"/>
      <c r="D60" s="43"/>
      <c r="E60" s="43"/>
      <c r="F60" s="43"/>
      <c r="G60" s="43"/>
      <c r="H60" s="43"/>
      <c r="I60" s="43"/>
      <c r="J60" s="43"/>
      <c r="K60" s="43"/>
      <c r="L60" s="43"/>
      <c r="M60" s="43"/>
      <c r="U60" s="52"/>
      <c r="V60" s="52"/>
      <c r="W60" s="52"/>
      <c r="X60" s="52"/>
      <c r="Y60" s="52"/>
      <c r="Z60" s="52"/>
      <c r="AA60" s="52"/>
      <c r="AB60" s="52"/>
      <c r="AC60" s="52"/>
      <c r="AG60" s="55">
        <f>(0)</f>
        <v>0</v>
      </c>
      <c r="AH60" s="55">
        <f>(AV31-AG60)</f>
        <v>26005.5</v>
      </c>
      <c r="AI60" s="55">
        <f t="shared" si="88"/>
        <v>-3640.7700000000004</v>
      </c>
      <c r="AJ60" s="55">
        <f t="shared" si="89"/>
        <v>-260.05500000000001</v>
      </c>
      <c r="AK60" s="83">
        <v>0.27</v>
      </c>
      <c r="AL60" s="55">
        <f>$AM$59</f>
        <v>330000</v>
      </c>
      <c r="AM60" s="55">
        <v>1200000</v>
      </c>
      <c r="AN60" s="55">
        <f>(AM59-AL59)*AK59+AN59</f>
        <v>58100</v>
      </c>
      <c r="AO60" s="55">
        <f>(AV31+AI60+AJ60-AP60)</f>
        <v>22104.674999999999</v>
      </c>
      <c r="AP60" s="55">
        <f>(0)</f>
        <v>0</v>
      </c>
      <c r="AQ60" s="55">
        <f>(AV31+AI60+AJ60-AP60)</f>
        <v>22104.674999999999</v>
      </c>
      <c r="AR60" s="55">
        <f>SUM(AQ$58:$AQ60)</f>
        <v>66314.024999999994</v>
      </c>
      <c r="AS60" s="82">
        <f>IF(AR60&lt;=$AM$58,$AK$58,
IF(AR60&gt;$AM$60,
IF(AR60&gt;$AM$61,$AK$62,$AK$61),
IF(AR60&lt;$AM$59,$AK$59,$AK$60)))</f>
        <v>0.15</v>
      </c>
      <c r="AT60" s="57">
        <f t="shared" si="90"/>
        <v>0</v>
      </c>
      <c r="AU60" s="84">
        <f>IF(AT60=0,AS60,(VLOOKUP($AS60,$AK$58:$AN$62,2,0)-AR59)/AQ60*AS59+(AR60-VLOOKUP($AS60,$AK$58:$AN$62,2,0))/AQ60*AS60)</f>
        <v>0.15</v>
      </c>
      <c r="AV60" s="55">
        <f t="shared" ref="AV60:AV69" si="92">(ROUND(AQ60*AU60,2))</f>
        <v>3315.7</v>
      </c>
      <c r="AW60" s="84">
        <f t="shared" si="91"/>
        <v>0.84491000000000005</v>
      </c>
      <c r="AX60" s="55">
        <f>AV31</f>
        <v>26005.5</v>
      </c>
      <c r="AY60" s="55">
        <f>AV31+AY31+AI60+AJ60</f>
        <v>22104.674999999999</v>
      </c>
      <c r="BD60" s="58">
        <v>58</v>
      </c>
      <c r="BE60" s="60">
        <v>29</v>
      </c>
      <c r="BF60" s="81" t="s">
        <v>0</v>
      </c>
    </row>
    <row r="61" spans="2:58" ht="39.950000000000003" hidden="1" customHeight="1" x14ac:dyDescent="0.25">
      <c r="AG61" s="55">
        <f>(0)</f>
        <v>0</v>
      </c>
      <c r="AH61" s="55">
        <f>(AV32-AG61)</f>
        <v>26005.5</v>
      </c>
      <c r="AI61" s="55">
        <f t="shared" si="88"/>
        <v>-3640.7700000000004</v>
      </c>
      <c r="AJ61" s="55">
        <f t="shared" si="89"/>
        <v>-260.05500000000001</v>
      </c>
      <c r="AK61" s="83">
        <v>0.35</v>
      </c>
      <c r="AL61" s="55">
        <f>$AM$60</f>
        <v>1200000</v>
      </c>
      <c r="AM61" s="55">
        <v>4300000</v>
      </c>
      <c r="AN61" s="55">
        <f>(AM60-AL60)*AK60+AN60</f>
        <v>293000</v>
      </c>
      <c r="AO61" s="55">
        <f>(AV32+AI61+AJ61-AP61)</f>
        <v>22104.674999999999</v>
      </c>
      <c r="AP61" s="55">
        <f>(0)</f>
        <v>0</v>
      </c>
      <c r="AQ61" s="55">
        <f>(AV32+AI61+AJ61-AP61)</f>
        <v>22104.674999999999</v>
      </c>
      <c r="AR61" s="55">
        <f>SUM(AQ$58:$AQ61)</f>
        <v>88418.7</v>
      </c>
      <c r="AS61" s="82">
        <f>IF(AR61&lt;=$AM$58,$AK$58,
IF(AR61&gt;$AM$60,
IF(AR61&gt;$AM$61,$AK$62,$AK$61),
IF(AR61&lt;$AM$59,$AK$59,$AK$60)))</f>
        <v>0.15</v>
      </c>
      <c r="AT61" s="57">
        <f t="shared" si="90"/>
        <v>0</v>
      </c>
      <c r="AU61" s="84">
        <f>IF(AT61=0,AS61,(VLOOKUP($AS61,$AK$58:$AN$62,2,0)-AR60)/AQ61*AS60+(AR61-VLOOKUP($AS61,$AK$58:$AN$62,2,0))/AQ61*AS61)</f>
        <v>0.15</v>
      </c>
      <c r="AV61" s="55">
        <f t="shared" si="92"/>
        <v>3315.7</v>
      </c>
      <c r="AW61" s="84">
        <f t="shared" si="91"/>
        <v>0.84491000000000005</v>
      </c>
      <c r="AX61" s="55">
        <f>AV32</f>
        <v>26005.5</v>
      </c>
      <c r="AY61" s="55">
        <f>AV32+AY32+AI61+AJ61</f>
        <v>22104.674999999999</v>
      </c>
      <c r="BD61" s="58">
        <v>59</v>
      </c>
      <c r="BE61" s="60">
        <v>29.5</v>
      </c>
      <c r="BF61" s="81" t="s">
        <v>0</v>
      </c>
    </row>
    <row r="62" spans="2:58" ht="39.950000000000003" hidden="1" customHeight="1" x14ac:dyDescent="0.25">
      <c r="AG62" s="55">
        <f>(0)</f>
        <v>0</v>
      </c>
      <c r="AH62" s="55">
        <f>(AV33-AG62)</f>
        <v>26005.5</v>
      </c>
      <c r="AI62" s="55">
        <f t="shared" si="88"/>
        <v>-3640.7700000000004</v>
      </c>
      <c r="AJ62" s="55">
        <f t="shared" si="89"/>
        <v>-260.05500000000001</v>
      </c>
      <c r="AK62" s="83">
        <v>0.4</v>
      </c>
      <c r="AL62" s="85">
        <f>$AM$61</f>
        <v>4300000</v>
      </c>
      <c r="AM62" s="55">
        <v>999999999</v>
      </c>
      <c r="AN62" s="55">
        <f>(AM61-AL61)*AK61+AN61</f>
        <v>1378000</v>
      </c>
      <c r="AO62" s="55">
        <f>(AV33+AI62+AJ62-AP62)</f>
        <v>22104.674999999999</v>
      </c>
      <c r="AP62" s="55">
        <f>(0)</f>
        <v>0</v>
      </c>
      <c r="AQ62" s="55">
        <f>(AV33+AI62+AJ62-AP62)</f>
        <v>22104.674999999999</v>
      </c>
      <c r="AR62" s="55">
        <f>SUM(AQ$58:$AQ62)</f>
        <v>110523.375</v>
      </c>
      <c r="AS62" s="82">
        <f>IF(AR62&lt;=$AM$58,$AK$58,
IF(AR62&gt;$AM$60,
IF(AR62&gt;$AM$61,$AK$62,$AK$61),
IF(AR62&lt;$AM$59,$AK$59,$AK$60)))</f>
        <v>0.15</v>
      </c>
      <c r="AT62" s="57">
        <f t="shared" si="90"/>
        <v>0</v>
      </c>
      <c r="AU62" s="84">
        <f>IF(AT62=0,AS62,(VLOOKUP($AS62,$AK$58:$AN$62,2,0)-AR61)/AQ62*AS61+(AR62-VLOOKUP($AS62,$AK$58:$AN$62,2,0))/AQ62*AS62)</f>
        <v>0.15</v>
      </c>
      <c r="AV62" s="55">
        <f t="shared" si="92"/>
        <v>3315.7</v>
      </c>
      <c r="AW62" s="84">
        <f t="shared" si="91"/>
        <v>0.84491000000000005</v>
      </c>
      <c r="AX62" s="55">
        <f>AV33</f>
        <v>26005.5</v>
      </c>
      <c r="AY62" s="55">
        <f>AV33+AY33+AI62+AJ62</f>
        <v>22104.674999999999</v>
      </c>
      <c r="BD62" s="58">
        <v>60</v>
      </c>
      <c r="BE62" s="60">
        <v>30</v>
      </c>
      <c r="BF62" s="81" t="s">
        <v>0</v>
      </c>
    </row>
    <row r="63" spans="2:58" ht="39.950000000000003" hidden="1" customHeight="1" x14ac:dyDescent="0.25">
      <c r="AG63" s="55">
        <f>(0)</f>
        <v>0</v>
      </c>
      <c r="AH63" s="55">
        <f>(AV34-AG63)</f>
        <v>26005.5</v>
      </c>
      <c r="AI63" s="55">
        <f t="shared" si="88"/>
        <v>-3640.7700000000004</v>
      </c>
      <c r="AJ63" s="55">
        <f t="shared" si="89"/>
        <v>-260.05500000000001</v>
      </c>
      <c r="AK63" s="55" t="s">
        <v>0</v>
      </c>
      <c r="AL63" s="55" t="s">
        <v>0</v>
      </c>
      <c r="AM63" s="55" t="s">
        <v>0</v>
      </c>
      <c r="AN63" s="55" t="s">
        <v>0</v>
      </c>
      <c r="AO63" s="55">
        <f>(AV34+AI63+AJ63-AP63)</f>
        <v>22104.674999999999</v>
      </c>
      <c r="AP63" s="55">
        <f>(0)</f>
        <v>0</v>
      </c>
      <c r="AQ63" s="55">
        <f>(AV34+AI63+AJ63-AP63)</f>
        <v>22104.674999999999</v>
      </c>
      <c r="AR63" s="55">
        <f>SUM(AQ$58:$AQ63)</f>
        <v>132628.04999999999</v>
      </c>
      <c r="AS63" s="82">
        <f>IF(AR63&lt;=$AM$58,$AK$58,
IF(AR63&gt;$AM$60,
IF(AR63&gt;$AM$61,$AK$62,$AK$61),
IF(AR63&lt;$AM$59,$AK$59,$AK$60)))</f>
        <v>0.15</v>
      </c>
      <c r="AT63" s="57">
        <f t="shared" si="90"/>
        <v>0</v>
      </c>
      <c r="AU63" s="84">
        <f>IF(AT63=0,AS63,(VLOOKUP($AS63,$AK$58:$AN$62,2,0)-AR62)/AQ63*AS62+(AR63-VLOOKUP($AS63,$AK$58:$AN$62,2,0))/AQ63*AS63)</f>
        <v>0.15</v>
      </c>
      <c r="AV63" s="55">
        <f t="shared" si="92"/>
        <v>3315.7</v>
      </c>
      <c r="AW63" s="84">
        <f t="shared" si="91"/>
        <v>0.84491000000000005</v>
      </c>
      <c r="AX63" s="55">
        <f>AV34</f>
        <v>26005.5</v>
      </c>
      <c r="AY63" s="55">
        <f>AV34+AY34+AI63+AJ63</f>
        <v>22104.674999999999</v>
      </c>
      <c r="BD63" s="58">
        <v>61</v>
      </c>
      <c r="BE63" s="60">
        <v>30.5</v>
      </c>
      <c r="BF63" s="81" t="s">
        <v>0</v>
      </c>
    </row>
    <row r="64" spans="2:58" ht="39.950000000000003" hidden="1" customHeight="1" x14ac:dyDescent="0.25">
      <c r="AG64" s="55">
        <f>(0)</f>
        <v>0</v>
      </c>
      <c r="AH64" s="55">
        <f>(AV35-AG64)</f>
        <v>26005.5</v>
      </c>
      <c r="AI64" s="55">
        <f t="shared" si="88"/>
        <v>-3640.7700000000004</v>
      </c>
      <c r="AJ64" s="55">
        <f t="shared" si="89"/>
        <v>-260.05500000000001</v>
      </c>
      <c r="AK64" s="55" t="s">
        <v>0</v>
      </c>
      <c r="AL64" s="55" t="s">
        <v>0</v>
      </c>
      <c r="AM64" s="55" t="s">
        <v>0</v>
      </c>
      <c r="AN64" s="55" t="s">
        <v>0</v>
      </c>
      <c r="AO64" s="55">
        <f>(AV35+AI64+AJ64-AP64)</f>
        <v>22104.674999999999</v>
      </c>
      <c r="AP64" s="55">
        <f>(0)</f>
        <v>0</v>
      </c>
      <c r="AQ64" s="55">
        <f>(AV35+AI64+AJ64-AP64)</f>
        <v>22104.674999999999</v>
      </c>
      <c r="AR64" s="55">
        <f>SUM(AQ$58:$AQ64)</f>
        <v>154732.72499999998</v>
      </c>
      <c r="AS64" s="82">
        <f>IF(AR64&lt;=$AM$58,$AK$58,
IF(AR64&gt;$AM$60,
IF(AR64&gt;$AM$61,$AK$62,$AK$61),
IF(AR64&lt;$AM$59,$AK$59,$AK$60)))</f>
        <v>0.15</v>
      </c>
      <c r="AT64" s="57">
        <f t="shared" si="90"/>
        <v>0</v>
      </c>
      <c r="AU64" s="84">
        <f>IF(AT64=0,AS64,(VLOOKUP($AS64,$AK$58:$AN$62,2,0)-AR63)/AQ64*AS63+(AR64-VLOOKUP($AS64,$AK$58:$AN$62,2,0))/AQ64*AS64)</f>
        <v>0.15</v>
      </c>
      <c r="AV64" s="55">
        <f t="shared" si="92"/>
        <v>3315.7</v>
      </c>
      <c r="AW64" s="84">
        <f t="shared" si="91"/>
        <v>0.84491000000000005</v>
      </c>
      <c r="AX64" s="55">
        <f>AV35</f>
        <v>26005.5</v>
      </c>
      <c r="AY64" s="55">
        <f>AV35+AY35+AI64+AJ64</f>
        <v>22104.674999999999</v>
      </c>
      <c r="BD64" s="58">
        <v>62</v>
      </c>
      <c r="BE64" s="60">
        <v>31</v>
      </c>
      <c r="BF64" s="81" t="s">
        <v>0</v>
      </c>
    </row>
    <row r="65" spans="33:58" ht="39.950000000000003" hidden="1" customHeight="1" x14ac:dyDescent="0.25">
      <c r="AG65" s="55">
        <f>(0)</f>
        <v>0</v>
      </c>
      <c r="AH65" s="55">
        <f>(AV36-AG65)</f>
        <v>26005.5</v>
      </c>
      <c r="AI65" s="55">
        <f t="shared" si="88"/>
        <v>-3640.7700000000004</v>
      </c>
      <c r="AJ65" s="55">
        <f t="shared" si="89"/>
        <v>-260.05500000000001</v>
      </c>
      <c r="AK65" s="55" t="s">
        <v>0</v>
      </c>
      <c r="AL65" s="55" t="s">
        <v>0</v>
      </c>
      <c r="AM65" s="55" t="s">
        <v>0</v>
      </c>
      <c r="AN65" s="55" t="s">
        <v>0</v>
      </c>
      <c r="AO65" s="55">
        <f>(AV36+AI65+AJ65-AP65)</f>
        <v>22104.674999999999</v>
      </c>
      <c r="AP65" s="55">
        <f>(0)</f>
        <v>0</v>
      </c>
      <c r="AQ65" s="55">
        <f>(AV36+AI65+AJ65-AP65)</f>
        <v>22104.674999999999</v>
      </c>
      <c r="AR65" s="55">
        <f>SUM(AQ$58:$AQ65)</f>
        <v>176837.39999999997</v>
      </c>
      <c r="AS65" s="82">
        <f>IF(AR65&lt;=$AM$58,$AK$58,
IF(AR65&gt;$AM$60,
IF(AR65&gt;$AM$61,$AK$62,$AK$61),
IF(AR65&lt;$AM$59,$AK$59,$AK$60)))</f>
        <v>0.2</v>
      </c>
      <c r="AT65" s="57">
        <f t="shared" si="90"/>
        <v>1</v>
      </c>
      <c r="AU65" s="84">
        <f>IF(AT65=0,AS65,(VLOOKUP($AS65,$AK$58:$AN$62,2,0)-AR64)/AQ65*AS64+(AR65-VLOOKUP($AS65,$AK$58:$AN$62,2,0))/AQ65*AS65)</f>
        <v>0.19260953847998205</v>
      </c>
      <c r="AV65" s="55">
        <f t="shared" si="92"/>
        <v>4257.57</v>
      </c>
      <c r="AW65" s="84">
        <f t="shared" si="91"/>
        <v>0.80869189229201521</v>
      </c>
      <c r="AX65" s="55">
        <f>AV36</f>
        <v>26005.5</v>
      </c>
      <c r="AY65" s="55">
        <f>AV36+AY36+AI65+AJ65</f>
        <v>22104.674999999999</v>
      </c>
      <c r="BD65" s="58">
        <v>63</v>
      </c>
      <c r="BE65" s="60">
        <v>31.5</v>
      </c>
      <c r="BF65" s="81" t="s">
        <v>0</v>
      </c>
    </row>
    <row r="66" spans="33:58" ht="39.950000000000003" hidden="1" customHeight="1" x14ac:dyDescent="0.25">
      <c r="AG66" s="55">
        <f>(0)</f>
        <v>0</v>
      </c>
      <c r="AH66" s="55">
        <f>(AV37-AG66)</f>
        <v>26005.5</v>
      </c>
      <c r="AI66" s="55">
        <f t="shared" si="88"/>
        <v>-3640.7700000000004</v>
      </c>
      <c r="AJ66" s="55">
        <f t="shared" si="89"/>
        <v>-260.05500000000001</v>
      </c>
      <c r="AK66" s="55" t="s">
        <v>0</v>
      </c>
      <c r="AL66" s="55" t="s">
        <v>0</v>
      </c>
      <c r="AM66" s="55" t="s">
        <v>0</v>
      </c>
      <c r="AN66" s="55" t="s">
        <v>0</v>
      </c>
      <c r="AO66" s="55">
        <f>(AV37+AI66+AJ66-AP66)</f>
        <v>22104.674999999999</v>
      </c>
      <c r="AP66" s="55">
        <f>(0)</f>
        <v>0</v>
      </c>
      <c r="AQ66" s="55">
        <f>(AV37+AI66+AJ66-AP66)</f>
        <v>22104.674999999999</v>
      </c>
      <c r="AR66" s="55">
        <f>SUM(AQ$58:$AQ66)</f>
        <v>198942.07499999995</v>
      </c>
      <c r="AS66" s="82">
        <f>IF(AR66&lt;=$AM$58,$AK$58,
IF(AR66&gt;$AM$60,
IF(AR66&gt;$AM$61,$AK$62,$AK$61),
IF(AR66&lt;$AM$59,$AK$59,$AK$60)))</f>
        <v>0.2</v>
      </c>
      <c r="AT66" s="57">
        <f t="shared" si="90"/>
        <v>0</v>
      </c>
      <c r="AU66" s="84">
        <f>IF(AT66=0,AS66,(VLOOKUP($AS66,$AK$58:$AN$62,2,0)-AR65)/AQ66*AS65+(AR66-VLOOKUP($AS66,$AK$58:$AN$62,2,0))/AQ66*AS66)</f>
        <v>0.2</v>
      </c>
      <c r="AV66" s="55">
        <f t="shared" si="92"/>
        <v>4420.9399999999996</v>
      </c>
      <c r="AW66" s="84">
        <f t="shared" si="91"/>
        <v>0.80240999999999996</v>
      </c>
      <c r="AX66" s="55">
        <f>AV37</f>
        <v>26005.5</v>
      </c>
      <c r="AY66" s="55">
        <f>AV37+AY37+AI66+AJ66</f>
        <v>22104.674999999999</v>
      </c>
      <c r="BD66" s="58">
        <v>64</v>
      </c>
      <c r="BE66" s="60">
        <v>32</v>
      </c>
      <c r="BF66" s="81" t="s">
        <v>0</v>
      </c>
    </row>
    <row r="67" spans="33:58" ht="39.950000000000003" hidden="1" customHeight="1" x14ac:dyDescent="0.25">
      <c r="AG67" s="55">
        <f>(0)</f>
        <v>0</v>
      </c>
      <c r="AH67" s="55">
        <f>(AV38-AG67)</f>
        <v>26005.5</v>
      </c>
      <c r="AI67" s="55">
        <f t="shared" si="88"/>
        <v>-3640.7700000000004</v>
      </c>
      <c r="AJ67" s="55">
        <f t="shared" si="89"/>
        <v>-260.05500000000001</v>
      </c>
      <c r="AK67" s="55" t="s">
        <v>0</v>
      </c>
      <c r="AL67" s="55" t="s">
        <v>0</v>
      </c>
      <c r="AM67" s="55" t="s">
        <v>0</v>
      </c>
      <c r="AN67" s="55" t="s">
        <v>0</v>
      </c>
      <c r="AO67" s="55">
        <f>(AV38+AI67+AJ67-AP67)</f>
        <v>22104.674999999999</v>
      </c>
      <c r="AP67" s="55">
        <f>(0)</f>
        <v>0</v>
      </c>
      <c r="AQ67" s="55">
        <f>(AV38+AI67+AJ67-AP67)</f>
        <v>22104.674999999999</v>
      </c>
      <c r="AR67" s="55">
        <f>SUM(AQ$58:$AQ67)</f>
        <v>221046.74999999994</v>
      </c>
      <c r="AS67" s="82">
        <f>IF(AR67&lt;=$AM$58,$AK$58,
IF(AR67&gt;$AM$60,
IF(AR67&gt;$AM$61,$AK$62,$AK$61),
IF(AR67&lt;$AM$59,$AK$59,$AK$60)))</f>
        <v>0.2</v>
      </c>
      <c r="AT67" s="57">
        <f t="shared" si="90"/>
        <v>0</v>
      </c>
      <c r="AU67" s="84">
        <f>IF(AT67=0,AS67,(VLOOKUP($AS67,$AK$58:$AN$62,2,0)-AR66)/AQ67*AS66+(AR67-VLOOKUP($AS67,$AK$58:$AN$62,2,0))/AQ67*AS67)</f>
        <v>0.2</v>
      </c>
      <c r="AV67" s="55">
        <f t="shared" si="92"/>
        <v>4420.9399999999996</v>
      </c>
      <c r="AW67" s="84">
        <f t="shared" si="91"/>
        <v>0.80240999999999996</v>
      </c>
      <c r="AX67" s="55">
        <f>AV38</f>
        <v>26005.5</v>
      </c>
      <c r="AY67" s="55">
        <f>AV38+AY38+AI67+AJ67</f>
        <v>22104.674999999999</v>
      </c>
      <c r="BD67" s="58">
        <v>65</v>
      </c>
      <c r="BE67" s="60">
        <v>32.5</v>
      </c>
      <c r="BF67" s="81" t="s">
        <v>0</v>
      </c>
    </row>
    <row r="68" spans="33:58" ht="39.950000000000003" hidden="1" customHeight="1" x14ac:dyDescent="0.25">
      <c r="AG68" s="55">
        <f>(0)</f>
        <v>0</v>
      </c>
      <c r="AH68" s="55">
        <f>(AV39-AG68)</f>
        <v>26005.5</v>
      </c>
      <c r="AI68" s="55">
        <f t="shared" si="88"/>
        <v>-3640.7700000000004</v>
      </c>
      <c r="AJ68" s="55">
        <f t="shared" si="89"/>
        <v>-260.05500000000001</v>
      </c>
      <c r="AK68" s="55" t="s">
        <v>0</v>
      </c>
      <c r="AL68" s="55" t="s">
        <v>0</v>
      </c>
      <c r="AM68" s="55" t="s">
        <v>0</v>
      </c>
      <c r="AN68" s="55" t="s">
        <v>0</v>
      </c>
      <c r="AO68" s="55">
        <f>(AV39+AI68+AJ68-AP68)</f>
        <v>22104.674999999999</v>
      </c>
      <c r="AP68" s="55">
        <f>(0)</f>
        <v>0</v>
      </c>
      <c r="AQ68" s="55">
        <f>(AV39+AI68+AJ68-AP68)</f>
        <v>22104.674999999999</v>
      </c>
      <c r="AR68" s="55">
        <f>SUM(AQ$58:$AQ68)</f>
        <v>243151.42499999993</v>
      </c>
      <c r="AS68" s="82">
        <f>IF(AR68&lt;=$AM$58,$AK$58,
IF(AR68&gt;$AM$60,
IF(AR68&gt;$AM$61,$AK$62,$AK$61),
IF(AR68&lt;$AM$59,$AK$59,$AK$60)))</f>
        <v>0.2</v>
      </c>
      <c r="AT68" s="57">
        <f t="shared" si="90"/>
        <v>0</v>
      </c>
      <c r="AU68" s="84">
        <f>IF(AT68=0,AS68,(VLOOKUP($AS68,$AK$58:$AN$62,2,0)-AR67)/AQ68*AS67+(AR68-VLOOKUP($AS68,$AK$58:$AN$62,2,0))/AQ68*AS68)</f>
        <v>0.2</v>
      </c>
      <c r="AV68" s="55">
        <f t="shared" si="92"/>
        <v>4420.9399999999996</v>
      </c>
      <c r="AW68" s="84">
        <f t="shared" si="91"/>
        <v>0.80240999999999996</v>
      </c>
      <c r="AX68" s="55">
        <f>AV39</f>
        <v>26005.5</v>
      </c>
      <c r="AY68" s="55">
        <f>AV39+AY39+AI68+AJ68</f>
        <v>22104.674999999999</v>
      </c>
      <c r="BD68" s="58">
        <v>66</v>
      </c>
      <c r="BE68" s="60">
        <v>33</v>
      </c>
      <c r="BF68" s="81" t="s">
        <v>0</v>
      </c>
    </row>
    <row r="69" spans="33:58" ht="39.950000000000003" hidden="1" customHeight="1" x14ac:dyDescent="0.25">
      <c r="AG69" s="55">
        <f>(0)</f>
        <v>0</v>
      </c>
      <c r="AH69" s="55">
        <f>(AV40-AG69)</f>
        <v>26005.5</v>
      </c>
      <c r="AI69" s="55">
        <f t="shared" si="88"/>
        <v>-3640.7700000000004</v>
      </c>
      <c r="AJ69" s="55">
        <f t="shared" si="89"/>
        <v>-260.05500000000001</v>
      </c>
      <c r="AK69" s="55" t="s">
        <v>0</v>
      </c>
      <c r="AL69" s="55" t="s">
        <v>0</v>
      </c>
      <c r="AM69" s="55" t="s">
        <v>0</v>
      </c>
      <c r="AN69" s="55" t="s">
        <v>0</v>
      </c>
      <c r="AO69" s="55">
        <f>(AV40+AI69+AJ69-AP69)</f>
        <v>22104.674999999999</v>
      </c>
      <c r="AP69" s="55">
        <f>(0)</f>
        <v>0</v>
      </c>
      <c r="AQ69" s="55">
        <f>(AV40+AI69+AJ69-AP69)</f>
        <v>22104.674999999999</v>
      </c>
      <c r="AR69" s="55">
        <f>SUM(AQ$58:$AQ69)</f>
        <v>265256.09999999992</v>
      </c>
      <c r="AS69" s="82">
        <f>IF(AR69&lt;=$AM$58,$AK$58,
IF(AR69&gt;$AM$60,
IF(AR69&gt;$AM$61,$AK$62,$AK$61),
IF(AR69&lt;$AM$59,$AK$59,$AK$60)))</f>
        <v>0.2</v>
      </c>
      <c r="AT69" s="57">
        <f t="shared" si="90"/>
        <v>0</v>
      </c>
      <c r="AU69" s="84">
        <f>IF(AT69=0,AS69,(VLOOKUP($AS69,$AK$58:$AN$62,2,0)-AR68)/AQ69*AS68+(AR69-VLOOKUP($AS69,$AK$58:$AN$62,2,0))/AQ69*AS69)</f>
        <v>0.2</v>
      </c>
      <c r="AV69" s="55">
        <f t="shared" si="92"/>
        <v>4420.9399999999996</v>
      </c>
      <c r="AW69" s="84">
        <f t="shared" si="91"/>
        <v>0.80240999999999996</v>
      </c>
      <c r="AX69" s="55">
        <f>AV40</f>
        <v>26005.5</v>
      </c>
      <c r="AY69" s="55">
        <f>AV40+AY40+AI69+AJ69</f>
        <v>22104.674999999999</v>
      </c>
      <c r="BD69" s="58">
        <v>67</v>
      </c>
      <c r="BE69" s="60">
        <v>33.5</v>
      </c>
      <c r="BF69" s="81" t="s">
        <v>0</v>
      </c>
    </row>
    <row r="70" spans="33:58" ht="39.950000000000003" hidden="1" customHeight="1" x14ac:dyDescent="0.25">
      <c r="AG70" s="55">
        <f t="shared" ref="AG70" si="93">(AG58+AG59+AG60+AG61+AG62+AG63+AG64+AG65+AG66+AG67+AG68+AG69)</f>
        <v>0</v>
      </c>
      <c r="AH70" s="55">
        <f t="shared" ref="AH70" si="94">(AH58+AH59+AH60+AH61+AH62+AH63+AH64+AH65+AH66+AH67+AH68+AH69)</f>
        <v>312066</v>
      </c>
      <c r="AI70" s="55">
        <f t="shared" ref="AI70" si="95">(AI58+AI59+AI60+AI61+AI62+AI63+AI64+AI65+AI66+AI67+AI68+AI69)</f>
        <v>-43689.240000000005</v>
      </c>
      <c r="AJ70" s="55">
        <f t="shared" ref="AJ70" si="96">(AJ58+AJ59+AJ60+AJ61+AJ62+AJ63+AJ64+AJ65+AJ66+AJ67+AJ68+AJ69)</f>
        <v>-3120.6599999999994</v>
      </c>
      <c r="AK70" s="63" t="s">
        <v>0</v>
      </c>
      <c r="AL70" s="63" t="s">
        <v>0</v>
      </c>
      <c r="AM70" s="63" t="s">
        <v>0</v>
      </c>
      <c r="AN70" s="63" t="s">
        <v>0</v>
      </c>
      <c r="AO70" s="55">
        <f t="shared" ref="AO70" si="97">(AO58+AO59+AO60+AO61+AO62+AO63+AO64+AO65+AO66+AO67+AO68+AO69)</f>
        <v>265256.09999999992</v>
      </c>
      <c r="AP70" s="55">
        <f t="shared" ref="AP70" si="98">(AP58+AP59+AP60+AP61+AP62+AP63+AP64+AP65+AP66+AP67+AP68+AP69)</f>
        <v>0</v>
      </c>
      <c r="AQ70" s="55">
        <f t="shared" ref="AQ70" si="99">(AQ58+AQ59+AQ60+AQ61+AQ62+AQ63+AQ64+AQ65+AQ66+AQ67+AQ68+AQ69)</f>
        <v>265256.09999999992</v>
      </c>
      <c r="AR70" s="63" t="s">
        <v>0</v>
      </c>
      <c r="AS70" s="58" t="s">
        <v>0</v>
      </c>
      <c r="AT70" s="58" t="s">
        <v>0</v>
      </c>
      <c r="AU70" s="58" t="s">
        <v>0</v>
      </c>
      <c r="AV70" s="55">
        <f t="shared" ref="AV70" si="100">(AV58+AV59+AV60+AV61+AV62+AV63+AV64+AV65+AV66+AV67+AV68+AV69)</f>
        <v>45151.23</v>
      </c>
      <c r="AW70" s="58" t="s">
        <v>0</v>
      </c>
      <c r="AX70" s="55">
        <f t="shared" ref="AX70" si="101">(AX58+AX59+AX60+AX61+AX62+AX63+AX64+AX65+AX66+AX67+AX68+AX69)</f>
        <v>312066</v>
      </c>
      <c r="AY70" s="55">
        <f t="shared" ref="AY70" si="102">(AY58+AY59+AY60+AY61+AY62+AY63+AY64+AY65+AY66+AY67+AY68+AY69)</f>
        <v>265256.09999999992</v>
      </c>
      <c r="BD70" s="58">
        <v>68</v>
      </c>
      <c r="BE70" s="60">
        <v>34</v>
      </c>
      <c r="BF70" s="81" t="s">
        <v>0</v>
      </c>
    </row>
    <row r="71" spans="33:58" ht="39.950000000000003" hidden="1" customHeight="1" x14ac:dyDescent="0.25">
      <c r="AG71" s="55">
        <f t="shared" ref="AG71" si="103">(AG70/12)</f>
        <v>0</v>
      </c>
      <c r="AH71" s="55">
        <f t="shared" ref="AH71" si="104">(AH70/12)</f>
        <v>26005.5</v>
      </c>
      <c r="AI71" s="55">
        <f t="shared" ref="AI71" si="105">(AI70/12)</f>
        <v>-3640.7700000000004</v>
      </c>
      <c r="AJ71" s="55">
        <f t="shared" ref="AJ71" si="106">(AJ70/12)</f>
        <v>-260.05499999999995</v>
      </c>
      <c r="AK71" s="63" t="s">
        <v>0</v>
      </c>
      <c r="AL71" s="63" t="s">
        <v>0</v>
      </c>
      <c r="AM71" s="63" t="s">
        <v>0</v>
      </c>
      <c r="AN71" s="63" t="s">
        <v>0</v>
      </c>
      <c r="AO71" s="55">
        <f t="shared" ref="AO71" si="107">(AO70/12)</f>
        <v>22104.674999999992</v>
      </c>
      <c r="AP71" s="55">
        <f t="shared" ref="AP71" si="108">(AP70/12)</f>
        <v>0</v>
      </c>
      <c r="AQ71" s="55">
        <f t="shared" ref="AQ71" si="109">(AQ70/12)</f>
        <v>22104.674999999992</v>
      </c>
      <c r="AR71" s="63" t="s">
        <v>0</v>
      </c>
      <c r="AS71" s="63" t="s">
        <v>0</v>
      </c>
      <c r="AT71" s="63" t="s">
        <v>0</v>
      </c>
      <c r="AU71" s="63" t="s">
        <v>0</v>
      </c>
      <c r="AV71" s="55">
        <f t="shared" ref="AV71" si="110">(AV70/12)</f>
        <v>3762.6025000000004</v>
      </c>
      <c r="AW71" s="63" t="s">
        <v>0</v>
      </c>
      <c r="AX71" s="55">
        <f t="shared" ref="AX71" si="111">(AX70/12)</f>
        <v>26005.5</v>
      </c>
      <c r="AY71" s="55">
        <f t="shared" ref="AY71" si="112">(AY70/12)</f>
        <v>22104.674999999992</v>
      </c>
      <c r="BD71" s="58">
        <v>69</v>
      </c>
      <c r="BE71" s="60">
        <v>34.5</v>
      </c>
      <c r="BF71" s="81" t="s">
        <v>0</v>
      </c>
    </row>
    <row r="72" spans="33:58" ht="39.950000000000003" hidden="1" customHeight="1" x14ac:dyDescent="0.25">
      <c r="AT72" s="55">
        <f>(0)</f>
        <v>0</v>
      </c>
      <c r="AU72" s="82">
        <f>(0%)</f>
        <v>0</v>
      </c>
      <c r="BD72" s="58">
        <v>70</v>
      </c>
      <c r="BE72" s="60">
        <v>35</v>
      </c>
      <c r="BF72" s="81" t="s">
        <v>0</v>
      </c>
    </row>
    <row r="73" spans="33:58" ht="39.950000000000003" hidden="1" customHeight="1" x14ac:dyDescent="0.25">
      <c r="AG73" s="55">
        <f ca="1">(AN15+AM1+AO1+AQ1+AS1+AO43+AR43+AU43+AX43+AX1+BA1*AW73)</f>
        <v>71833.230467741931</v>
      </c>
      <c r="AH73" s="55">
        <f t="shared" ref="AH73:AH84" ca="1" si="113">(ROUND((AG73+AK73*-1+AO73*-1+AP73*-1+AY73*-1),2))</f>
        <v>93157.64</v>
      </c>
      <c r="AI73" s="55">
        <f ca="1">(AU1+AW29)</f>
        <v>32245.5</v>
      </c>
      <c r="AJ73" s="55">
        <f ca="1">(AH73-AI73)</f>
        <v>60912.14</v>
      </c>
      <c r="AK73" s="55">
        <f t="shared" ref="AK73:AK84" ca="1" si="114">(ROUND(AJ73*0.00759*-1,2))</f>
        <v>-462.32</v>
      </c>
      <c r="AL73" s="55">
        <f t="shared" ref="AL73:AL84" ca="1" si="115">(AH73)</f>
        <v>93157.64</v>
      </c>
      <c r="AM73" s="55">
        <f ca="1">(AS15+AW1)</f>
        <v>4108</v>
      </c>
      <c r="AN73" s="55">
        <f ca="1">IF(AL73-AM73&gt;=AV29*7.5,AV29*7.5,AL73-AM73)</f>
        <v>89049.64</v>
      </c>
      <c r="AO73" s="55">
        <f ca="1">(ROUND(IF(AN73&gt;AV29*7.5,AV29*7.5*0.14*-1,AN73*0.14*-1),2))</f>
        <v>-12466.95</v>
      </c>
      <c r="AP73" s="55">
        <f ca="1">(ROUND(IF(AN73&gt;AV29*7.5,AV29*7.5*0.01*-1,AN73*0.01*-1),2))</f>
        <v>-890.5</v>
      </c>
      <c r="AQ73" s="55">
        <f t="shared" ref="AQ73:AQ84" ca="1" si="116">(AH73+AO73+AP73)</f>
        <v>79800.19</v>
      </c>
      <c r="AR73" s="55">
        <f ca="1">(AR29+AW1+BA1)</f>
        <v>7664.5764516129029</v>
      </c>
      <c r="AS73" s="55">
        <f ca="1">(AQ73-AR73)</f>
        <v>72135.613548387104</v>
      </c>
      <c r="AT73" s="55">
        <f ca="1">SUM($AS$73:AS73)</f>
        <v>72135.613548387104</v>
      </c>
      <c r="AU73" s="82">
        <f ca="1">IF(AT73&lt;=$AM$58,$AK$58,
IF(AT73&gt;$AM$60,
IF(AT73&gt;$AM$61,$AK$62,$AK$61),
IF(AT73&lt;$AM$59,$AK$59,$AK$60)))</f>
        <v>0.15</v>
      </c>
      <c r="AV73" s="57">
        <f ca="1">IF(AU73-AU72=0,0,1)</f>
        <v>1</v>
      </c>
      <c r="AW73" s="84">
        <f ca="1">(IF(AV73=0,AU73,(VLOOKUP($AU73,$AK$58:$AN$62,2,0)-AT72)/AS73*AU72+(AT73-VLOOKUP($AU73,$AK$58:$AN$62,2,0))/AS73*AU73))</f>
        <v>0.15</v>
      </c>
      <c r="AX73" s="55">
        <f ca="1">(ROUND(AS73*AW73,2)*(-1)+VLOOKUP(AU73,$AK$58:$AN$62,4,0)*(-1))</f>
        <v>-10820.34</v>
      </c>
      <c r="AY73" s="55">
        <f ca="1">(AX73+AV58)</f>
        <v>-7504.64</v>
      </c>
      <c r="AZ73" s="84">
        <f t="shared" ref="AZ73:AZ84" ca="1" si="117">(100+(100*0.00759*-1)+(100)*AW73*-1)/100</f>
        <v>0.84240999999999999</v>
      </c>
      <c r="BA73" s="84">
        <f>(100+(100*0.00759*-1)+(100*0.14*-1)+(100*0.01*-1))/100</f>
        <v>0.84240999999999999</v>
      </c>
      <c r="BB73" s="84">
        <f t="shared" ref="BB73:BB84" ca="1" si="118">(100+(100*0.00759*-1)+(100*0.14*-1)+(100*0.01*-1)+(100+100*0.14*-1+100*0.01*-1)*AW73*-1)/100</f>
        <v>0.71491000000000005</v>
      </c>
      <c r="BD73" s="58">
        <v>71</v>
      </c>
      <c r="BE73" s="60">
        <v>35.5</v>
      </c>
      <c r="BF73" s="81" t="s">
        <v>0</v>
      </c>
    </row>
    <row r="74" spans="33:58" ht="39.950000000000003" hidden="1" customHeight="1" x14ac:dyDescent="0.25">
      <c r="AG74" s="55">
        <f ca="1">(AN16+AM2+AO2+AQ2+AS2+AO44+AR44+AU44+AX44+AX2+BA2*AW74)</f>
        <v>67789.517660714293</v>
      </c>
      <c r="AH74" s="55">
        <f t="shared" ca="1" si="113"/>
        <v>87504.61</v>
      </c>
      <c r="AI74" s="55">
        <f ca="1">(AU2+AW30)</f>
        <v>32245.5</v>
      </c>
      <c r="AJ74" s="55">
        <f t="shared" ref="AJ74:AJ84" ca="1" si="119">(AH74-AI74)</f>
        <v>55259.11</v>
      </c>
      <c r="AK74" s="55">
        <f t="shared" ca="1" si="114"/>
        <v>-419.42</v>
      </c>
      <c r="AL74" s="55">
        <f t="shared" ca="1" si="115"/>
        <v>87504.61</v>
      </c>
      <c r="AM74" s="55">
        <f ca="1">(AS16+AW2)</f>
        <v>4108</v>
      </c>
      <c r="AN74" s="55">
        <f ca="1">IF(AL74-AM74&gt;=AV30*7.5,AV30*7.5,AL74-AM74)</f>
        <v>83396.61</v>
      </c>
      <c r="AO74" s="55">
        <f ca="1">(ROUND(IF(AN74&gt;AV30*7.5,AV30*7.5*0.14*-1,AN74*0.14*-1),2))</f>
        <v>-11675.53</v>
      </c>
      <c r="AP74" s="55">
        <f ca="1">(ROUND(IF(AN74&gt;AV30*7.5,AV30*7.5*0.01*-1,AN74*0.01*-1),2))</f>
        <v>-833.97</v>
      </c>
      <c r="AQ74" s="55">
        <f t="shared" ca="1" si="116"/>
        <v>74995.11</v>
      </c>
      <c r="AR74" s="55">
        <f ca="1">(AR30+AW2+BA2)</f>
        <v>7649.2910714285708</v>
      </c>
      <c r="AS74" s="55">
        <f t="shared" ref="AS74:AS84" ca="1" si="120">(AQ74-AR74)</f>
        <v>67345.818928571432</v>
      </c>
      <c r="AT74" s="55">
        <f ca="1">SUM($AS$73:AS74)</f>
        <v>139481.43247695855</v>
      </c>
      <c r="AU74" s="82">
        <f ca="1">IF(AT74&lt;=$AM$58,$AK$58,
IF(AT74&gt;$AM$60,
IF(AT74&gt;$AM$61,$AK$62,$AK$61),
IF(AT74&lt;$AM$59,$AK$59,$AK$60)))</f>
        <v>0.15</v>
      </c>
      <c r="AV74" s="57">
        <f t="shared" ref="AV74:AV84" ca="1" si="121">IF(AU74-AU73=0,0,1)</f>
        <v>0</v>
      </c>
      <c r="AW74" s="84">
        <f ca="1">(IF(AV74=0,AU74,(VLOOKUP($AU74,$AK$58:$AN$62,2,0)-AT73)/AS74*AU73+(AT74-VLOOKUP($AU74,$AK$58:$AN$62,2,0))/AS74*AU74))</f>
        <v>0.15</v>
      </c>
      <c r="AX74" s="55">
        <f ca="1">(ROUND(AS74*AW74,2)*(-1))</f>
        <v>-10101.870000000001</v>
      </c>
      <c r="AY74" s="55">
        <f ca="1">(AX74+AV59)</f>
        <v>-6786.170000000001</v>
      </c>
      <c r="AZ74" s="84">
        <f t="shared" ca="1" si="117"/>
        <v>0.84240999999999999</v>
      </c>
      <c r="BA74" s="84">
        <f t="shared" ref="BA74:BA84" si="122">(100+(100*0.00759*-1)+(100*0.14*-1)+(100*0.01*-1))/100</f>
        <v>0.84240999999999999</v>
      </c>
      <c r="BB74" s="84">
        <f t="shared" ca="1" si="118"/>
        <v>0.71491000000000005</v>
      </c>
      <c r="BD74" s="58">
        <v>72</v>
      </c>
      <c r="BE74" s="60">
        <v>36</v>
      </c>
      <c r="BF74" s="81" t="s">
        <v>0</v>
      </c>
    </row>
    <row r="75" spans="33:58" ht="39.950000000000003" hidden="1" customHeight="1" x14ac:dyDescent="0.25">
      <c r="AG75" s="55">
        <f ca="1">(AN17+AM3+AO3+AQ3+AS3+AO45+AR45+AU45+AX45+AX3+BA3*AW75)</f>
        <v>118052.84331981871</v>
      </c>
      <c r="AH75" s="55">
        <f t="shared" ca="1" si="113"/>
        <v>165777.62</v>
      </c>
      <c r="AI75" s="55">
        <f ca="1">(AU3+AW31)</f>
        <v>32245.5</v>
      </c>
      <c r="AJ75" s="55">
        <f t="shared" ca="1" si="119"/>
        <v>133532.12</v>
      </c>
      <c r="AK75" s="55">
        <f t="shared" ca="1" si="114"/>
        <v>-1013.51</v>
      </c>
      <c r="AL75" s="55">
        <f t="shared" ca="1" si="115"/>
        <v>165777.62</v>
      </c>
      <c r="AM75" s="55">
        <f ca="1">(AS17+AW3)</f>
        <v>4108</v>
      </c>
      <c r="AN75" s="55">
        <f ca="1">IF(AL75-AM75&gt;=AV31*7.5,AV31*7.5,AL75-AM75)</f>
        <v>161669.62</v>
      </c>
      <c r="AO75" s="55">
        <f ca="1">(ROUND(IF(AN75&gt;AV31*7.5,AV31*7.5*0.14*-1,AN75*0.14*-1),2))</f>
        <v>-22633.75</v>
      </c>
      <c r="AP75" s="55">
        <f ca="1">(ROUND(IF(AN75&gt;AV31*7.5,AV31*7.5*0.01*-1,AN75*0.01*-1),2))</f>
        <v>-1616.7</v>
      </c>
      <c r="AQ75" s="55">
        <f t="shared" ca="1" si="116"/>
        <v>141527.16999999998</v>
      </c>
      <c r="AR75" s="55">
        <f ca="1">(AR31+AW3+BA3)</f>
        <v>8014.9161290322581</v>
      </c>
      <c r="AS75" s="55">
        <f t="shared" ca="1" si="120"/>
        <v>133512.25387096772</v>
      </c>
      <c r="AT75" s="55">
        <f ca="1">SUM($AS$73:AS75)</f>
        <v>272993.68634792627</v>
      </c>
      <c r="AU75" s="82">
        <f ca="1">IF(AT75&lt;=$AM$58,$AK$58,
IF(AT75&gt;$AM$60,
IF(AT75&gt;$AM$61,$AK$62,$AK$61),
IF(AT75&lt;$AM$59,$AK$59,$AK$60)))</f>
        <v>0.2</v>
      </c>
      <c r="AV75" s="57">
        <f t="shared" ca="1" si="121"/>
        <v>1</v>
      </c>
      <c r="AW75" s="84">
        <f ca="1">(IF(AV75=0,AU75,(VLOOKUP($AU75,$AK$58:$AN$62,2,0)-AT74)/AS75*AU74+(AT75-VLOOKUP($AU75,$AK$58:$AN$62,2,0))/AS75*AU75))</f>
        <v>0.19306484349334008</v>
      </c>
      <c r="AX75" s="55">
        <f t="shared" ref="AX75:AX84" ca="1" si="123">(ROUND(AS75*AW75,2)*(-1))</f>
        <v>-25776.52</v>
      </c>
      <c r="AY75" s="55">
        <f ca="1">(AX75+AV60)</f>
        <v>-22460.82</v>
      </c>
      <c r="AZ75" s="84">
        <f t="shared" ca="1" si="117"/>
        <v>0.79934515650665983</v>
      </c>
      <c r="BA75" s="84">
        <f t="shared" si="122"/>
        <v>0.84240999999999999</v>
      </c>
      <c r="BB75" s="84">
        <f t="shared" ca="1" si="118"/>
        <v>0.67830488303066094</v>
      </c>
      <c r="BD75" s="58">
        <v>73</v>
      </c>
      <c r="BE75" s="60">
        <v>36.5</v>
      </c>
      <c r="BF75" s="81" t="s">
        <v>0</v>
      </c>
    </row>
    <row r="76" spans="33:58" ht="39.950000000000003" hidden="1" customHeight="1" x14ac:dyDescent="0.25">
      <c r="AG76" s="55">
        <f ca="1">(AN18+AM4+AO4+AQ4+AS4+AO46+AR46+AU46+AX46+AX4+BA4*AW76)</f>
        <v>73016.888910431939</v>
      </c>
      <c r="AH76" s="55">
        <f t="shared" ca="1" si="113"/>
        <v>102522.16</v>
      </c>
      <c r="AI76" s="55">
        <f ca="1">(AU4+AW32)</f>
        <v>32245.5</v>
      </c>
      <c r="AJ76" s="55">
        <f t="shared" ca="1" si="119"/>
        <v>70276.66</v>
      </c>
      <c r="AK76" s="55">
        <f t="shared" ca="1" si="114"/>
        <v>-533.4</v>
      </c>
      <c r="AL76" s="55">
        <f t="shared" ca="1" si="115"/>
        <v>102522.16</v>
      </c>
      <c r="AM76" s="55">
        <f ca="1">(AS18+AW4)</f>
        <v>4108</v>
      </c>
      <c r="AN76" s="55">
        <f ca="1">IF(AL76-AM76&gt;=AV32*7.5,AV32*7.5,AL76-AM76)</f>
        <v>98414.16</v>
      </c>
      <c r="AO76" s="55">
        <f ca="1">(ROUND(IF(AN76&gt;AV32*7.5,AV32*7.5*0.14*-1,AN76*0.14*-1),2))</f>
        <v>-13777.98</v>
      </c>
      <c r="AP76" s="55">
        <f ca="1">(ROUND(IF(AN76&gt;AV32*7.5,AV32*7.5*0.01*-1,AN76*0.01*-1),2))</f>
        <v>-984.14</v>
      </c>
      <c r="AQ76" s="55">
        <f t="shared" ca="1" si="116"/>
        <v>87760.040000000008</v>
      </c>
      <c r="AR76" s="55">
        <f ca="1">(AR32+AW4+BA4)</f>
        <v>8071.5513000000001</v>
      </c>
      <c r="AS76" s="55">
        <f t="shared" ca="1" si="120"/>
        <v>79688.488700000002</v>
      </c>
      <c r="AT76" s="55">
        <f ca="1">SUM($AS$73:AS76)</f>
        <v>352682.17504792626</v>
      </c>
      <c r="AU76" s="82">
        <f ca="1">IF(AT76&lt;=$AM$58,$AK$58,
IF(AT76&gt;$AM$60,
IF(AT76&gt;$AM$61,$AK$62,$AK$61),
IF(AT76&lt;$AM$59,$AK$59,$AK$60)))</f>
        <v>0.27</v>
      </c>
      <c r="AV76" s="57">
        <f t="shared" ca="1" si="121"/>
        <v>1</v>
      </c>
      <c r="AW76" s="84">
        <f ca="1">(IF(AV76=0,AU76,(VLOOKUP($AU76,$AK$58:$AN$62,2,0)-AT75)/AS76*AU75+(AT76-VLOOKUP($AU76,$AK$58:$AN$62,2,0))/AS76*AU76))</f>
        <v>0.2199244869523399</v>
      </c>
      <c r="AX76" s="55">
        <f t="shared" ca="1" si="123"/>
        <v>-17525.45</v>
      </c>
      <c r="AY76" s="55">
        <f ca="1">(AX76+AV61)</f>
        <v>-14209.75</v>
      </c>
      <c r="AZ76" s="84">
        <f t="shared" ca="1" si="117"/>
        <v>0.77248551304766011</v>
      </c>
      <c r="BA76" s="84">
        <f t="shared" si="122"/>
        <v>0.84240999999999999</v>
      </c>
      <c r="BB76" s="84">
        <f t="shared" ca="1" si="118"/>
        <v>0.65547418609051111</v>
      </c>
      <c r="BD76" s="58">
        <v>74</v>
      </c>
      <c r="BE76" s="60">
        <v>37</v>
      </c>
      <c r="BF76" s="81" t="s">
        <v>0</v>
      </c>
    </row>
    <row r="77" spans="33:58" ht="39.950000000000003" hidden="1" customHeight="1" x14ac:dyDescent="0.25">
      <c r="AG77" s="55">
        <f ca="1">(AN19+AM5+AO5+AQ5+AS5+AO47+AR47+AU47+AX47+AX5+BA5*AW77)</f>
        <v>74382.653866129025</v>
      </c>
      <c r="AH77" s="55">
        <f t="shared" ca="1" si="113"/>
        <v>111202.66</v>
      </c>
      <c r="AI77" s="55">
        <f ca="1">(AU5+AW33)</f>
        <v>32245.5</v>
      </c>
      <c r="AJ77" s="55">
        <f t="shared" ca="1" si="119"/>
        <v>78957.16</v>
      </c>
      <c r="AK77" s="55">
        <f t="shared" ca="1" si="114"/>
        <v>-599.28</v>
      </c>
      <c r="AL77" s="55">
        <f t="shared" ca="1" si="115"/>
        <v>111202.66</v>
      </c>
      <c r="AM77" s="55">
        <f ca="1">(AS19+AW5)</f>
        <v>4108</v>
      </c>
      <c r="AN77" s="55">
        <f ca="1">IF(AL77-AM77&gt;=AV33*7.5,AV33*7.5,AL77-AM77)</f>
        <v>107094.66</v>
      </c>
      <c r="AO77" s="55">
        <f ca="1">(ROUND(IF(AN77&gt;AV33*7.5,AV33*7.5*0.14*-1,AN77*0.14*-1),2))</f>
        <v>-14993.25</v>
      </c>
      <c r="AP77" s="55">
        <f ca="1">(ROUND(IF(AN77&gt;AV33*7.5,AV33*7.5*0.01*-1,AN77*0.01*-1),2))</f>
        <v>-1070.95</v>
      </c>
      <c r="AQ77" s="55">
        <f t="shared" ca="1" si="116"/>
        <v>95138.46</v>
      </c>
      <c r="AR77" s="55">
        <f ca="1">(AR33+AW5+BA5)</f>
        <v>8204.2920967741939</v>
      </c>
      <c r="AS77" s="55">
        <f t="shared" ca="1" si="120"/>
        <v>86934.167903225811</v>
      </c>
      <c r="AT77" s="55">
        <f ca="1">SUM($AS$73:AS77)</f>
        <v>439616.34295115207</v>
      </c>
      <c r="AU77" s="82">
        <f ca="1">IF(AT77&lt;=$AM$58,$AK$58,
IF(AT77&gt;$AM$60,
IF(AT77&gt;$AM$61,$AK$62,$AK$61),
IF(AT77&lt;$AM$59,$AK$59,$AK$60)))</f>
        <v>0.27</v>
      </c>
      <c r="AV77" s="57">
        <f t="shared" ca="1" si="121"/>
        <v>0</v>
      </c>
      <c r="AW77" s="84">
        <f ca="1">(IF(AV77=0,AU77,(VLOOKUP($AU77,$AK$58:$AN$62,2,0)-AT76)/AS77*AU76+(AT77-VLOOKUP($AU77,$AK$58:$AN$62,2,0))/AS77*AU77))</f>
        <v>0.27</v>
      </c>
      <c r="AX77" s="55">
        <f t="shared" ca="1" si="123"/>
        <v>-23472.23</v>
      </c>
      <c r="AY77" s="55">
        <f ca="1">(AX77+AV62)</f>
        <v>-20156.53</v>
      </c>
      <c r="AZ77" s="84">
        <f t="shared" ca="1" si="117"/>
        <v>0.72241</v>
      </c>
      <c r="BA77" s="84">
        <f t="shared" si="122"/>
        <v>0.84240999999999999</v>
      </c>
      <c r="BB77" s="84">
        <f t="shared" ca="1" si="118"/>
        <v>0.61290999999999995</v>
      </c>
      <c r="BD77" s="58">
        <v>75</v>
      </c>
      <c r="BE77" s="60">
        <v>37.5</v>
      </c>
      <c r="BF77" s="81" t="s">
        <v>0</v>
      </c>
    </row>
    <row r="78" spans="33:58" ht="39.950000000000003" hidden="1" customHeight="1" x14ac:dyDescent="0.25">
      <c r="AG78" s="55">
        <f ca="1">(AN20+AM6+AO6+AQ6+AS6+AO48+AR48+AU48+AX48+AX6+BA6*AW78)</f>
        <v>116461.026231</v>
      </c>
      <c r="AH78" s="55">
        <f t="shared" ca="1" si="113"/>
        <v>179858.55</v>
      </c>
      <c r="AI78" s="55">
        <f ca="1">(AU6+AW34)</f>
        <v>32245.5</v>
      </c>
      <c r="AJ78" s="55">
        <f t="shared" ca="1" si="119"/>
        <v>147613.04999999999</v>
      </c>
      <c r="AK78" s="55">
        <f t="shared" ca="1" si="114"/>
        <v>-1120.3800000000001</v>
      </c>
      <c r="AL78" s="55">
        <f t="shared" ca="1" si="115"/>
        <v>179858.55</v>
      </c>
      <c r="AM78" s="55">
        <f ca="1">(AS20+AW6)</f>
        <v>4108</v>
      </c>
      <c r="AN78" s="55">
        <f ca="1">IF(AL78-AM78&gt;=AV34*7.5,AV34*7.5,AL78-AM78)</f>
        <v>175750.55</v>
      </c>
      <c r="AO78" s="55">
        <f ca="1">(ROUND(IF(AN78&gt;AV34*7.5,AV34*7.5*0.14*-1,AN78*0.14*-1),2))</f>
        <v>-24605.08</v>
      </c>
      <c r="AP78" s="55">
        <f ca="1">(ROUND(IF(AN78&gt;AV34*7.5,AV34*7.5*0.01*-1,AN78*0.01*-1),2))</f>
        <v>-1757.51</v>
      </c>
      <c r="AQ78" s="55">
        <f t="shared" ca="1" si="116"/>
        <v>153495.95999999996</v>
      </c>
      <c r="AR78" s="55">
        <f ca="1">(AR34+AW6+BA6)</f>
        <v>8198.7453000000005</v>
      </c>
      <c r="AS78" s="55">
        <f t="shared" ca="1" si="120"/>
        <v>145297.21469999995</v>
      </c>
      <c r="AT78" s="55">
        <f ca="1">SUM($AS$73:AS78)</f>
        <v>584913.55765115202</v>
      </c>
      <c r="AU78" s="82">
        <f ca="1">IF(AT78&lt;=$AM$58,$AK$58,
IF(AT78&gt;$AM$60,
IF(AT78&gt;$AM$61,$AK$62,$AK$61),
IF(AT78&lt;$AM$59,$AK$59,$AK$60)))</f>
        <v>0.27</v>
      </c>
      <c r="AV78" s="57">
        <f t="shared" ca="1" si="121"/>
        <v>0</v>
      </c>
      <c r="AW78" s="84">
        <f ca="1">(IF(AV78=0,AU78,(VLOOKUP($AU78,$AK$58:$AN$62,2,0)-AT77)/AS78*AU77+(AT78-VLOOKUP($AU78,$AK$58:$AN$62,2,0))/AS78*AU78))</f>
        <v>0.27</v>
      </c>
      <c r="AX78" s="55">
        <f t="shared" ca="1" si="123"/>
        <v>-39230.25</v>
      </c>
      <c r="AY78" s="55">
        <f ca="1">(AX78+AV63)</f>
        <v>-35914.550000000003</v>
      </c>
      <c r="AZ78" s="84">
        <f t="shared" ca="1" si="117"/>
        <v>0.72241</v>
      </c>
      <c r="BA78" s="84">
        <f t="shared" si="122"/>
        <v>0.84240999999999999</v>
      </c>
      <c r="BB78" s="84">
        <f t="shared" ca="1" si="118"/>
        <v>0.61290999999999995</v>
      </c>
      <c r="BD78" s="58">
        <v>76</v>
      </c>
      <c r="BE78" s="60">
        <v>38</v>
      </c>
      <c r="BF78" s="81" t="s">
        <v>0</v>
      </c>
    </row>
    <row r="79" spans="33:58" ht="39.950000000000003" hidden="1" customHeight="1" x14ac:dyDescent="0.25">
      <c r="AG79" s="55">
        <f ca="1">(AN21+AM7+AO7+AQ7+AS7+AO49+AR49+AU49+AX49+AX7+BA7*AW79)</f>
        <v>85876.79269129032</v>
      </c>
      <c r="AH79" s="55">
        <f t="shared" ca="1" si="113"/>
        <v>129787.11</v>
      </c>
      <c r="AI79" s="55">
        <f ca="1">(AU7+AW35)</f>
        <v>32245.5</v>
      </c>
      <c r="AJ79" s="55">
        <f t="shared" ca="1" si="119"/>
        <v>97541.61</v>
      </c>
      <c r="AK79" s="55">
        <f t="shared" ca="1" si="114"/>
        <v>-740.34</v>
      </c>
      <c r="AL79" s="55">
        <f t="shared" ca="1" si="115"/>
        <v>129787.11</v>
      </c>
      <c r="AM79" s="55">
        <f ca="1">(AS21+AW7)</f>
        <v>4108</v>
      </c>
      <c r="AN79" s="55">
        <f ca="1">IF(AL79-AM79&gt;=AV35*7.5,AV35*7.5,AL79-AM79)</f>
        <v>125679.11</v>
      </c>
      <c r="AO79" s="55">
        <f ca="1">(ROUND(IF(AN79&gt;AV35*7.5,AV35*7.5*0.14*-1,AN79*0.14*-1),2))</f>
        <v>-17595.080000000002</v>
      </c>
      <c r="AP79" s="55">
        <f ca="1">(ROUND(IF(AN79&gt;AV35*7.5,AV35*7.5*0.01*-1,AN79*0.01*-1),2))</f>
        <v>-1256.79</v>
      </c>
      <c r="AQ79" s="55">
        <f t="shared" ca="1" si="116"/>
        <v>110935.24</v>
      </c>
      <c r="AR79" s="55">
        <f ca="1">(AR35+AW7+BA7)</f>
        <v>8587.8099677419359</v>
      </c>
      <c r="AS79" s="55">
        <f t="shared" ca="1" si="120"/>
        <v>102347.43003225807</v>
      </c>
      <c r="AT79" s="55">
        <f ca="1">SUM($AS$73:AS79)</f>
        <v>687260.98768341006</v>
      </c>
      <c r="AU79" s="82">
        <f ca="1">IF(AT79&lt;=$AM$58,$AK$58,
IF(AT79&gt;$AM$60,
IF(AT79&gt;$AM$61,$AK$62,$AK$61),
IF(AT79&lt;$AM$59,$AK$59,$AK$60)))</f>
        <v>0.27</v>
      </c>
      <c r="AV79" s="57">
        <f t="shared" ca="1" si="121"/>
        <v>0</v>
      </c>
      <c r="AW79" s="84">
        <f ca="1">(IF(AV79=0,AU79,(VLOOKUP($AU79,$AK$58:$AN$62,2,0)-AT78)/AS79*AU78+(AT79-VLOOKUP($AU79,$AK$58:$AN$62,2,0))/AS79*AU79))</f>
        <v>0.27</v>
      </c>
      <c r="AX79" s="55">
        <f t="shared" ca="1" si="123"/>
        <v>-27633.81</v>
      </c>
      <c r="AY79" s="55">
        <f ca="1">(AX79+AV64)</f>
        <v>-24318.11</v>
      </c>
      <c r="AZ79" s="84">
        <f t="shared" ca="1" si="117"/>
        <v>0.72241</v>
      </c>
      <c r="BA79" s="84">
        <f t="shared" si="122"/>
        <v>0.84240999999999999</v>
      </c>
      <c r="BB79" s="84">
        <f t="shared" ca="1" si="118"/>
        <v>0.61290999999999995</v>
      </c>
      <c r="BD79" s="58">
        <v>77</v>
      </c>
      <c r="BE79" s="60">
        <v>38.5</v>
      </c>
      <c r="BF79" s="81" t="s">
        <v>0</v>
      </c>
    </row>
    <row r="80" spans="33:58" ht="39.950000000000003" hidden="1" customHeight="1" x14ac:dyDescent="0.25">
      <c r="AG80" s="55">
        <f ca="1">(AN22+AM8+AO8+AQ8+AS8+AO50+AR50+AU50+AX50+AX8+BA8*AW80)</f>
        <v>85864.746789354831</v>
      </c>
      <c r="AH80" s="55">
        <f t="shared" ca="1" si="113"/>
        <v>128250.4</v>
      </c>
      <c r="AI80" s="55">
        <f ca="1">(AU8+AW36)</f>
        <v>32245.5</v>
      </c>
      <c r="AJ80" s="55">
        <f t="shared" ca="1" si="119"/>
        <v>96004.9</v>
      </c>
      <c r="AK80" s="55">
        <f t="shared" ca="1" si="114"/>
        <v>-728.68</v>
      </c>
      <c r="AL80" s="55">
        <f t="shared" ca="1" si="115"/>
        <v>128250.4</v>
      </c>
      <c r="AM80" s="55">
        <f ca="1">(AS22+AW8)</f>
        <v>4108</v>
      </c>
      <c r="AN80" s="55">
        <f ca="1">IF(AL80-AM80&gt;=AV36*7.5,AV36*7.5,AL80-AM80)</f>
        <v>124142.39999999999</v>
      </c>
      <c r="AO80" s="55">
        <f ca="1">(ROUND(IF(AN80&gt;AV36*7.5,AV36*7.5*0.14*-1,AN80*0.14*-1),2))</f>
        <v>-17379.939999999999</v>
      </c>
      <c r="AP80" s="55">
        <f ca="1">(ROUND(IF(AN80&gt;AV36*7.5,AV36*7.5*0.01*-1,AN80*0.01*-1),2))</f>
        <v>-1241.42</v>
      </c>
      <c r="AQ80" s="55">
        <f t="shared" ca="1" si="116"/>
        <v>109629.04</v>
      </c>
      <c r="AR80" s="55">
        <f ca="1">(AR36+AW8+BA8)</f>
        <v>8543.1955161290316</v>
      </c>
      <c r="AS80" s="55">
        <f t="shared" ca="1" si="120"/>
        <v>101085.84448387095</v>
      </c>
      <c r="AT80" s="55">
        <f ca="1">SUM($AS$73:AS80)</f>
        <v>788346.83216728107</v>
      </c>
      <c r="AU80" s="82">
        <f ca="1">IF(AT80&lt;=$AM$58,$AK$58,
IF(AT80&gt;$AM$60,
IF(AT80&gt;$AM$61,$AK$62,$AK$61),
IF(AT80&lt;$AM$59,$AK$59,$AK$60)))</f>
        <v>0.27</v>
      </c>
      <c r="AV80" s="57">
        <f t="shared" ca="1" si="121"/>
        <v>0</v>
      </c>
      <c r="AW80" s="84">
        <f ca="1">(IF(AV80=0,AU80,(VLOOKUP($AU80,$AK$58:$AN$62,2,0)-AT79)/AS80*AU79+(AT80-VLOOKUP($AU80,$AK$58:$AN$62,2,0))/AS80*AU80))</f>
        <v>0.27</v>
      </c>
      <c r="AX80" s="55">
        <f t="shared" ca="1" si="123"/>
        <v>-27293.18</v>
      </c>
      <c r="AY80" s="55">
        <f ca="1">(AX80+AV65)</f>
        <v>-23035.61</v>
      </c>
      <c r="AZ80" s="84">
        <f t="shared" ca="1" si="117"/>
        <v>0.72241</v>
      </c>
      <c r="BA80" s="84">
        <f t="shared" si="122"/>
        <v>0.84240999999999999</v>
      </c>
      <c r="BB80" s="84">
        <f t="shared" ca="1" si="118"/>
        <v>0.61290999999999995</v>
      </c>
      <c r="BD80" s="58">
        <v>78</v>
      </c>
      <c r="BE80" s="60">
        <v>39</v>
      </c>
      <c r="BF80" s="81" t="s">
        <v>0</v>
      </c>
    </row>
    <row r="81" spans="30:58" ht="39.950000000000003" hidden="1" customHeight="1" x14ac:dyDescent="0.25">
      <c r="AG81" s="55">
        <f ca="1">(AN23+AM9+AO9+AQ9+AS9+AO51+AR51+AU51+AX51+AX9+BA9*AW81)</f>
        <v>153016.343911</v>
      </c>
      <c r="AH81" s="55">
        <f t="shared" ca="1" si="113"/>
        <v>231599.83</v>
      </c>
      <c r="AI81" s="55">
        <f ca="1">(AU9+AW37)</f>
        <v>32245.5</v>
      </c>
      <c r="AJ81" s="55">
        <f t="shared" ca="1" si="119"/>
        <v>199354.33</v>
      </c>
      <c r="AK81" s="55">
        <f t="shared" ca="1" si="114"/>
        <v>-1513.1</v>
      </c>
      <c r="AL81" s="55">
        <f t="shared" ca="1" si="115"/>
        <v>231599.83</v>
      </c>
      <c r="AM81" s="55">
        <f ca="1">(AS23+AW9)</f>
        <v>4108</v>
      </c>
      <c r="AN81" s="55">
        <f ca="1">IF(AL81-AM81&gt;=AV37*7.5,AV37*7.5,AL81-AM81)</f>
        <v>195041.25</v>
      </c>
      <c r="AO81" s="55">
        <f ca="1">(ROUND(IF(AN81&gt;AV37*7.5,AV37*7.5*0.14*-1,AN81*0.14*-1),2))</f>
        <v>-27305.78</v>
      </c>
      <c r="AP81" s="55">
        <f ca="1">(ROUND(IF(AN81&gt;AV37*7.5,AV37*7.5*0.01*-1,AN81*0.01*-1),2))</f>
        <v>-1950.41</v>
      </c>
      <c r="AQ81" s="55">
        <f t="shared" ca="1" si="116"/>
        <v>202343.63999999998</v>
      </c>
      <c r="AR81" s="55">
        <f ca="1">(AR37+AW9+BA9)</f>
        <v>8880.1713</v>
      </c>
      <c r="AS81" s="55">
        <f t="shared" ca="1" si="120"/>
        <v>193463.4687</v>
      </c>
      <c r="AT81" s="55">
        <f ca="1">SUM($AS$73:AS81)</f>
        <v>981810.30086728104</v>
      </c>
      <c r="AU81" s="82">
        <f ca="1">IF(AT81&lt;=$AM$58,$AK$58,
IF(AT81&gt;$AM$60,
IF(AT81&gt;$AM$61,$AK$62,$AK$61),
IF(AT81&lt;$AM$59,$AK$59,$AK$60)))</f>
        <v>0.27</v>
      </c>
      <c r="AV81" s="57">
        <f t="shared" ca="1" si="121"/>
        <v>0</v>
      </c>
      <c r="AW81" s="84">
        <f ca="1">(IF(AV81=0,AU81,(VLOOKUP($AU81,$AK$58:$AN$62,2,0)-AT80)/AS81*AU80+(AT81-VLOOKUP($AU81,$AK$58:$AN$62,2,0))/AS81*AU81))</f>
        <v>0.27</v>
      </c>
      <c r="AX81" s="55">
        <f t="shared" ca="1" si="123"/>
        <v>-52235.14</v>
      </c>
      <c r="AY81" s="55">
        <f ca="1">(AX81+AV66)</f>
        <v>-47814.2</v>
      </c>
      <c r="AZ81" s="84">
        <f t="shared" ca="1" si="117"/>
        <v>0.72241</v>
      </c>
      <c r="BA81" s="84">
        <f t="shared" si="122"/>
        <v>0.84240999999999999</v>
      </c>
      <c r="BB81" s="84">
        <f t="shared" ca="1" si="118"/>
        <v>0.61290999999999995</v>
      </c>
      <c r="BD81" s="58">
        <v>79</v>
      </c>
      <c r="BE81" s="60">
        <v>39.5</v>
      </c>
      <c r="BF81" s="81" t="s">
        <v>0</v>
      </c>
    </row>
    <row r="82" spans="30:58" ht="39.950000000000003" hidden="1" customHeight="1" x14ac:dyDescent="0.25">
      <c r="AG82" s="55">
        <f ca="1">(AN24+AM10+AO10+AQ10+AS10+AO52+AR52+AU52+AX52+AX10+BA10*AW82)</f>
        <v>96412.34273096775</v>
      </c>
      <c r="AH82" s="55">
        <f t="shared" ca="1" si="113"/>
        <v>145041.22</v>
      </c>
      <c r="AI82" s="55">
        <f ca="1">(AU10+AW38)</f>
        <v>32245.5</v>
      </c>
      <c r="AJ82" s="55">
        <f t="shared" ca="1" si="119"/>
        <v>112795.72</v>
      </c>
      <c r="AK82" s="55">
        <f t="shared" ca="1" si="114"/>
        <v>-856.12</v>
      </c>
      <c r="AL82" s="55">
        <f t="shared" ca="1" si="115"/>
        <v>145041.22</v>
      </c>
      <c r="AM82" s="55">
        <f ca="1">(AS24+AW10)</f>
        <v>4108</v>
      </c>
      <c r="AN82" s="55">
        <f ca="1">IF(AL82-AM82&gt;=AV38*7.5,AV38*7.5,AL82-AM82)</f>
        <v>140933.22</v>
      </c>
      <c r="AO82" s="55">
        <f ca="1">(ROUND(IF(AN82&gt;AV38*7.5,AV38*7.5*0.14*-1,AN82*0.14*-1),2))</f>
        <v>-19730.650000000001</v>
      </c>
      <c r="AP82" s="55">
        <f ca="1">(ROUND(IF(AN82&gt;AV38*7.5,AV38*7.5*0.01*-1,AN82*0.01*-1),2))</f>
        <v>-1409.33</v>
      </c>
      <c r="AQ82" s="55">
        <f t="shared" ca="1" si="116"/>
        <v>123901.24</v>
      </c>
      <c r="AR82" s="55">
        <f ca="1">(AR38+AW10+BA10)</f>
        <v>8887.4632258064521</v>
      </c>
      <c r="AS82" s="55">
        <f t="shared" ca="1" si="120"/>
        <v>115013.77677419355</v>
      </c>
      <c r="AT82" s="55">
        <f ca="1">SUM($AS$73:AS82)</f>
        <v>1096824.0776414745</v>
      </c>
      <c r="AU82" s="82">
        <f ca="1">IF(AT82&lt;=$AM$58,$AK$58,
IF(AT82&gt;$AM$60,
IF(AT82&gt;$AM$61,$AK$62,$AK$61),
IF(AT82&lt;$AM$59,$AK$59,$AK$60)))</f>
        <v>0.27</v>
      </c>
      <c r="AV82" s="57">
        <f t="shared" ca="1" si="121"/>
        <v>0</v>
      </c>
      <c r="AW82" s="84">
        <f ca="1">(IF(AV82=0,AU82,(VLOOKUP($AU82,$AK$58:$AN$62,2,0)-AT81)/AS82*AU81+(AT82-VLOOKUP($AU82,$AK$58:$AN$62,2,0))/AS82*AU82))</f>
        <v>0.27</v>
      </c>
      <c r="AX82" s="55">
        <f t="shared" ca="1" si="123"/>
        <v>-31053.72</v>
      </c>
      <c r="AY82" s="55">
        <f ca="1">(AX82+AV67)</f>
        <v>-26632.780000000002</v>
      </c>
      <c r="AZ82" s="84">
        <f t="shared" ca="1" si="117"/>
        <v>0.72241</v>
      </c>
      <c r="BA82" s="84">
        <f t="shared" si="122"/>
        <v>0.84240999999999999</v>
      </c>
      <c r="BB82" s="84">
        <f t="shared" ca="1" si="118"/>
        <v>0.61290999999999995</v>
      </c>
      <c r="BD82" s="58">
        <v>80</v>
      </c>
      <c r="BE82" s="60">
        <v>40</v>
      </c>
      <c r="BF82" s="81" t="s">
        <v>0</v>
      </c>
    </row>
    <row r="83" spans="30:58" ht="39.950000000000003" hidden="1" customHeight="1" x14ac:dyDescent="0.25">
      <c r="AG83" s="55">
        <f ca="1">(AN25+AM11+AO11+AQ11+AS11+AO53+AR53+AU53+AX53+AX11+BA11*AW83)</f>
        <v>94443.658376067906</v>
      </c>
      <c r="AH83" s="55">
        <f t="shared" ca="1" si="113"/>
        <v>143153.88</v>
      </c>
      <c r="AI83" s="55">
        <f ca="1">(AU11+AW39)</f>
        <v>32245.5</v>
      </c>
      <c r="AJ83" s="55">
        <f t="shared" ca="1" si="119"/>
        <v>110908.38</v>
      </c>
      <c r="AK83" s="55">
        <f t="shared" ca="1" si="114"/>
        <v>-841.79</v>
      </c>
      <c r="AL83" s="55">
        <f t="shared" ca="1" si="115"/>
        <v>143153.88</v>
      </c>
      <c r="AM83" s="55">
        <f ca="1">(AS25+AW11)</f>
        <v>4108</v>
      </c>
      <c r="AN83" s="55">
        <f ca="1">IF(AL83-AM83&gt;=AV39*7.5,AV39*7.5,AL83-AM83)</f>
        <v>139045.88</v>
      </c>
      <c r="AO83" s="55">
        <f ca="1">(ROUND(IF(AN83&gt;AV39*7.5,AV39*7.5*0.14*-1,AN83*0.14*-1),2))</f>
        <v>-19466.419999999998</v>
      </c>
      <c r="AP83" s="55">
        <f ca="1">(ROUND(IF(AN83&gt;AV39*7.5,AV39*7.5*0.01*-1,AN83*0.01*-1),2))</f>
        <v>-1390.46</v>
      </c>
      <c r="AQ83" s="55">
        <f t="shared" ca="1" si="116"/>
        <v>122297</v>
      </c>
      <c r="AR83" s="55">
        <f ca="1">(AR39+AW11+BA11)</f>
        <v>8906.8235999999997</v>
      </c>
      <c r="AS83" s="55">
        <f t="shared" ca="1" si="120"/>
        <v>113390.1764</v>
      </c>
      <c r="AT83" s="55">
        <f ca="1">SUM($AS$73:AS83)</f>
        <v>1210214.2540414745</v>
      </c>
      <c r="AU83" s="82">
        <f ca="1">IF(AT83&lt;=$AM$58,$AK$58,
IF(AT83&gt;$AM$60,
IF(AT83&gt;$AM$61,$AK$62,$AK$61),
IF(AT83&lt;$AM$59,$AK$59,$AK$60)))</f>
        <v>0.35</v>
      </c>
      <c r="AV83" s="57">
        <f t="shared" ca="1" si="121"/>
        <v>1</v>
      </c>
      <c r="AW83" s="84">
        <f ca="1">(IF(AV83=0,AU83,(VLOOKUP($AU83,$AK$58:$AN$62,2,0)-AT82)/AS83*AU82+(AT83-VLOOKUP($AU83,$AK$58:$AN$62,2,0))/AS83*AU83))</f>
        <v>0.27720644723609378</v>
      </c>
      <c r="AX83" s="55">
        <f t="shared" ca="1" si="123"/>
        <v>-31432.49</v>
      </c>
      <c r="AY83" s="55">
        <f ca="1">(AX83+AV68)</f>
        <v>-27011.550000000003</v>
      </c>
      <c r="AZ83" s="84">
        <f t="shared" ca="1" si="117"/>
        <v>0.71520355276390613</v>
      </c>
      <c r="BA83" s="84">
        <f t="shared" si="122"/>
        <v>0.84240999999999999</v>
      </c>
      <c r="BB83" s="84">
        <f t="shared" ca="1" si="118"/>
        <v>0.60678451984932025</v>
      </c>
      <c r="BD83" s="58">
        <v>81</v>
      </c>
      <c r="BE83" s="60">
        <v>40.5</v>
      </c>
      <c r="BF83" s="81" t="s">
        <v>0</v>
      </c>
    </row>
    <row r="84" spans="30:58" ht="39.950000000000003" hidden="1" customHeight="1" x14ac:dyDescent="0.25">
      <c r="AD84" s="52"/>
      <c r="AG84" s="55">
        <f ca="1">(AN26+AM12+AO12+AQ12+AS12+AO54+AR54+AU54+AX54+AX12+BA12*AW84)</f>
        <v>154840.30503741934</v>
      </c>
      <c r="AH84" s="55">
        <f t="shared" ca="1" si="113"/>
        <v>258347.32</v>
      </c>
      <c r="AI84" s="55">
        <f ca="1">(AU12+AW40)</f>
        <v>32245.5</v>
      </c>
      <c r="AJ84" s="55">
        <f t="shared" ca="1" si="119"/>
        <v>226101.82</v>
      </c>
      <c r="AK84" s="55">
        <f t="shared" ca="1" si="114"/>
        <v>-1716.11</v>
      </c>
      <c r="AL84" s="55">
        <f t="shared" ca="1" si="115"/>
        <v>258347.32</v>
      </c>
      <c r="AM84" s="55">
        <f ca="1">(AS26+AW12)</f>
        <v>4108</v>
      </c>
      <c r="AN84" s="55">
        <f ca="1">IF(AL84-AM84&gt;=AV40*7.5,AV40*7.5,AL84-AM84)</f>
        <v>195041.25</v>
      </c>
      <c r="AO84" s="55">
        <f ca="1">(ROUND(IF(AN84&gt;AV40*7.5,AV40*7.5*0.14*-1,AN84*0.14*-1),2))</f>
        <v>-27305.78</v>
      </c>
      <c r="AP84" s="55">
        <f ca="1">(ROUND(IF(AN84&gt;AV40*7.5,AV40*7.5*0.01*-1,AN84*0.01*-1),2))</f>
        <v>-1950.41</v>
      </c>
      <c r="AQ84" s="55">
        <f t="shared" ca="1" si="116"/>
        <v>229091.13</v>
      </c>
      <c r="AR84" s="55">
        <f ca="1">(AR40+AW12+BA12)</f>
        <v>9217.8439354838702</v>
      </c>
      <c r="AS84" s="55">
        <f t="shared" ca="1" si="120"/>
        <v>219873.28606451614</v>
      </c>
      <c r="AT84" s="55">
        <f ca="1">SUM($AS$73:AS84)</f>
        <v>1430087.5401059906</v>
      </c>
      <c r="AU84" s="82">
        <f ca="1">IF(AT84&lt;=$AM$58,$AK$58,
IF(AT84&gt;$AM$60,
IF(AT84&gt;$AM$61,$AK$62,$AK$61),
IF(AT84&lt;$AM$59,$AK$59,$AK$60)))</f>
        <v>0.35</v>
      </c>
      <c r="AV84" s="57">
        <f t="shared" ca="1" si="121"/>
        <v>0</v>
      </c>
      <c r="AW84" s="84">
        <f ca="1">(IF(AV84=0,AU84,(VLOOKUP($AU84,$AK$58:$AN$62,2,0)-AT83)/AS84*AU83+(AT84-VLOOKUP($AU84,$AK$58:$AN$62,2,0))/AS84*AU84))</f>
        <v>0.35</v>
      </c>
      <c r="AX84" s="55">
        <f t="shared" ca="1" si="123"/>
        <v>-76955.649999999994</v>
      </c>
      <c r="AY84" s="55">
        <f ca="1">(AX84+AV69)</f>
        <v>-72534.709999999992</v>
      </c>
      <c r="AZ84" s="84">
        <f t="shared" ca="1" si="117"/>
        <v>0.64241000000000004</v>
      </c>
      <c r="BA84" s="84">
        <f t="shared" si="122"/>
        <v>0.84240999999999999</v>
      </c>
      <c r="BB84" s="84">
        <f t="shared" ca="1" si="118"/>
        <v>0.54491000000000001</v>
      </c>
      <c r="BD84" s="58">
        <v>82</v>
      </c>
      <c r="BE84" s="60">
        <v>41</v>
      </c>
      <c r="BF84" s="81" t="s">
        <v>0</v>
      </c>
    </row>
    <row r="85" spans="30:58" ht="39.950000000000003" hidden="1" customHeight="1" x14ac:dyDescent="0.25">
      <c r="AD85" s="52"/>
      <c r="AG85" s="55">
        <f t="shared" ref="AG85" ca="1" si="124">(AG73+AG74+AG75+AG76+AG77+AG78+AG79+AG80+AG81+AG82+AG83+AG84)</f>
        <v>1191990.349991936</v>
      </c>
      <c r="AH85" s="55">
        <f t="shared" ref="AH85:AJ85" ca="1" si="125">(AH73+AH74+AH75+AH76+AH77+AH78+AH79+AH80+AH81+AH82+AH83+AH84)</f>
        <v>1776203.0000000002</v>
      </c>
      <c r="AI85" s="55">
        <f t="shared" ca="1" si="125"/>
        <v>386946</v>
      </c>
      <c r="AJ85" s="55">
        <f t="shared" ca="1" si="125"/>
        <v>1389257.0000000002</v>
      </c>
      <c r="AK85" s="55">
        <f t="shared" ref="AK85:AL85" ca="1" si="126">(AK73+AK74+AK75+AK76+AK77+AK78+AK79+AK80+AK81+AK82+AK83+AK84)</f>
        <v>-10544.45</v>
      </c>
      <c r="AL85" s="55">
        <f t="shared" ca="1" si="126"/>
        <v>1776203.0000000002</v>
      </c>
      <c r="AM85" s="55">
        <f t="shared" ref="AM85" ca="1" si="127">(AM73+AM74+AM75+AM76+AM77+AM78+AM79+AM80+AM81+AM82+AM83+AM84)</f>
        <v>49296</v>
      </c>
      <c r="AN85" s="55">
        <f t="shared" ref="AN85" ca="1" si="128">(AN73+AN74+AN75+AN76+AN77+AN78+AN79+AN80+AN81+AN82+AN83+AN84)</f>
        <v>1635258.35</v>
      </c>
      <c r="AO85" s="55">
        <f t="shared" ref="AO85" ca="1" si="129">(AO73+AO74+AO75+AO76+AO77+AO78+AO79+AO80+AO81+AO82+AO83+AO84)</f>
        <v>-228936.18999999997</v>
      </c>
      <c r="AP85" s="55">
        <f t="shared" ref="AP85:AQ85" ca="1" si="130">(AP73+AP74+AP75+AP76+AP77+AP78+AP79+AP80+AP81+AP82+AP83+AP84)</f>
        <v>-16352.59</v>
      </c>
      <c r="AQ85" s="55">
        <f t="shared" ca="1" si="130"/>
        <v>1530914.2199999997</v>
      </c>
      <c r="AR85" s="55">
        <f t="shared" ref="AR85" ca="1" si="131">(AR73+AR74+AR75+AR76+AR77+AR78+AR79+AR80+AR81+AR82+AR83+AR84)</f>
        <v>100826.67989400923</v>
      </c>
      <c r="AS85" s="55">
        <f t="shared" ref="AS85" ca="1" si="132">(AS73+AS74+AS75+AS76+AS77+AS78+AS79+AS80+AS81+AS82+AS83+AS84)</f>
        <v>1430087.5401059906</v>
      </c>
      <c r="AT85" s="63" t="s">
        <v>0</v>
      </c>
      <c r="AU85" s="58" t="s">
        <v>0</v>
      </c>
      <c r="AV85" s="58" t="s">
        <v>0</v>
      </c>
      <c r="AW85" s="86">
        <f t="shared" ref="AW85" ca="1" si="133">(AW73+AW74+AW75+AW76+AW77+AW78+AW79+AW80+AW81+AW82+AW83+AW84)</f>
        <v>2.9601957776817742</v>
      </c>
      <c r="AX85" s="55">
        <f t="shared" ref="AX85" ca="1" si="134">(AX73+AX74+AX75+AX76+AX77+AX78+AX79+AX80+AX81+AX82+AX83+AX84)</f>
        <v>-373530.65</v>
      </c>
      <c r="AY85" s="55">
        <f t="shared" ref="AY85" ca="1" si="135">(AY73+AY74+AY75+AY76+AY77+AY78+AY79+AY80+AY81+AY82+AY83+AY84)</f>
        <v>-328379.42000000004</v>
      </c>
      <c r="AZ85" s="58" t="s">
        <v>0</v>
      </c>
      <c r="BA85" s="58" t="s">
        <v>0</v>
      </c>
      <c r="BB85" s="58" t="s">
        <v>0</v>
      </c>
      <c r="BD85" s="58">
        <v>83</v>
      </c>
      <c r="BE85" s="60">
        <v>41.5</v>
      </c>
      <c r="BF85" s="81" t="s">
        <v>0</v>
      </c>
    </row>
    <row r="86" spans="30:58" ht="39.950000000000003" hidden="1" customHeight="1" x14ac:dyDescent="0.25">
      <c r="AD86" s="52"/>
      <c r="AG86" s="55">
        <f t="shared" ref="AG86" ca="1" si="136">(AG85/12)</f>
        <v>99332.529165994667</v>
      </c>
      <c r="AH86" s="55">
        <f t="shared" ref="AH86:AJ86" ca="1" si="137">(AH85/12)</f>
        <v>148016.91666666669</v>
      </c>
      <c r="AI86" s="55">
        <f t="shared" ca="1" si="137"/>
        <v>32245.5</v>
      </c>
      <c r="AJ86" s="55">
        <f t="shared" ca="1" si="137"/>
        <v>115771.41666666669</v>
      </c>
      <c r="AK86" s="55">
        <f t="shared" ref="AK86:AL86" ca="1" si="138">(AK85/12)</f>
        <v>-878.70416666666677</v>
      </c>
      <c r="AL86" s="55">
        <f t="shared" ca="1" si="138"/>
        <v>148016.91666666669</v>
      </c>
      <c r="AM86" s="55">
        <f t="shared" ref="AM86" ca="1" si="139">(AM85/12)</f>
        <v>4108</v>
      </c>
      <c r="AN86" s="55">
        <f t="shared" ref="AN86" ca="1" si="140">(AN85/12)</f>
        <v>136271.52916666667</v>
      </c>
      <c r="AO86" s="55">
        <f t="shared" ref="AO86" ca="1" si="141">(AO85/12)</f>
        <v>-19078.015833333331</v>
      </c>
      <c r="AP86" s="55">
        <f t="shared" ref="AP86:AQ86" ca="1" si="142">(AP85/12)</f>
        <v>-1362.7158333333334</v>
      </c>
      <c r="AQ86" s="55">
        <f t="shared" ca="1" si="142"/>
        <v>127576.18499999998</v>
      </c>
      <c r="AR86" s="55">
        <f t="shared" ref="AR86" ca="1" si="143">(AR85/12)</f>
        <v>8402.2233245007683</v>
      </c>
      <c r="AS86" s="55">
        <f t="shared" ref="AS86" ca="1" si="144">(AS85/12)</f>
        <v>119173.96167549922</v>
      </c>
      <c r="AT86" s="63" t="s">
        <v>0</v>
      </c>
      <c r="AU86" s="63" t="s">
        <v>0</v>
      </c>
      <c r="AV86" s="63" t="s">
        <v>0</v>
      </c>
      <c r="AW86" s="86">
        <f t="shared" ref="AW86" ca="1" si="145">(AW85/12)</f>
        <v>0.24668298147348119</v>
      </c>
      <c r="AX86" s="55">
        <f t="shared" ref="AX86" ca="1" si="146">(AX85/12)</f>
        <v>-31127.554166666669</v>
      </c>
      <c r="AY86" s="55">
        <f t="shared" ref="AY86" ca="1" si="147">(AY85/12)</f>
        <v>-27364.951666666671</v>
      </c>
      <c r="AZ86" s="63" t="s">
        <v>0</v>
      </c>
      <c r="BA86" s="63" t="s">
        <v>0</v>
      </c>
      <c r="BB86" s="63" t="s">
        <v>0</v>
      </c>
      <c r="BD86" s="58">
        <v>84</v>
      </c>
      <c r="BE86" s="60">
        <v>42</v>
      </c>
      <c r="BF86" s="81" t="s">
        <v>0</v>
      </c>
    </row>
    <row r="87" spans="30:58" ht="39.950000000000003" hidden="1" customHeight="1" x14ac:dyDescent="0.25">
      <c r="AD87" s="52"/>
      <c r="BD87" s="58">
        <v>85</v>
      </c>
      <c r="BE87" s="60">
        <v>42.5</v>
      </c>
      <c r="BF87" s="81" t="s">
        <v>0</v>
      </c>
    </row>
    <row r="88" spans="30:58" ht="39.950000000000003" hidden="1" customHeight="1" x14ac:dyDescent="0.25">
      <c r="AD88" s="52"/>
      <c r="BD88" s="58">
        <v>86</v>
      </c>
      <c r="BE88" s="60">
        <v>43</v>
      </c>
      <c r="BF88" s="81" t="s">
        <v>0</v>
      </c>
    </row>
    <row r="89" spans="30:58" ht="39.950000000000003" hidden="1" customHeight="1" x14ac:dyDescent="0.25">
      <c r="AD89" s="52"/>
      <c r="BD89" s="58">
        <v>87</v>
      </c>
      <c r="BE89" s="60">
        <v>43.5</v>
      </c>
      <c r="BF89" s="81" t="s">
        <v>0</v>
      </c>
    </row>
    <row r="90" spans="30:58" ht="39.950000000000003" hidden="1" customHeight="1" x14ac:dyDescent="0.25">
      <c r="AD90" s="52"/>
      <c r="BD90" s="58">
        <v>88</v>
      </c>
      <c r="BE90" s="60">
        <v>44</v>
      </c>
      <c r="BF90" s="81" t="s">
        <v>0</v>
      </c>
    </row>
    <row r="91" spans="30:58" ht="39.950000000000003" hidden="1" customHeight="1" x14ac:dyDescent="0.25">
      <c r="AD91" s="52"/>
      <c r="BD91" s="58">
        <v>89</v>
      </c>
      <c r="BE91" s="60">
        <v>44.5</v>
      </c>
      <c r="BF91" s="81" t="s">
        <v>0</v>
      </c>
    </row>
    <row r="92" spans="30:58" ht="39.950000000000003" hidden="1" customHeight="1" x14ac:dyDescent="0.25">
      <c r="AD92" s="52"/>
      <c r="BD92" s="58">
        <v>90</v>
      </c>
      <c r="BE92" s="60">
        <v>45</v>
      </c>
      <c r="BF92" s="81" t="s">
        <v>0</v>
      </c>
    </row>
    <row r="93" spans="30:58" ht="39.950000000000003" hidden="1" customHeight="1" x14ac:dyDescent="0.25">
      <c r="AD93" s="52"/>
      <c r="BD93" s="58">
        <v>91</v>
      </c>
      <c r="BE93" s="60">
        <v>45.5</v>
      </c>
      <c r="BF93" s="81" t="s">
        <v>0</v>
      </c>
    </row>
    <row r="94" spans="30:58" ht="39.950000000000003" hidden="1" customHeight="1" x14ac:dyDescent="0.25">
      <c r="AD94" s="52"/>
      <c r="BD94" s="58">
        <v>92</v>
      </c>
      <c r="BE94" s="60">
        <v>46</v>
      </c>
      <c r="BF94" s="81" t="s">
        <v>0</v>
      </c>
    </row>
    <row r="95" spans="30:58" ht="39.950000000000003" hidden="1" customHeight="1" x14ac:dyDescent="0.25">
      <c r="AD95" s="52"/>
      <c r="BD95" s="58">
        <v>93</v>
      </c>
      <c r="BE95" s="60">
        <v>46.5</v>
      </c>
      <c r="BF95" s="81" t="s">
        <v>0</v>
      </c>
    </row>
    <row r="96" spans="30:58" ht="39.950000000000003" hidden="1" customHeight="1" x14ac:dyDescent="0.25">
      <c r="BD96" s="58">
        <v>94</v>
      </c>
      <c r="BE96" s="60">
        <v>47</v>
      </c>
      <c r="BF96" s="81" t="s">
        <v>0</v>
      </c>
    </row>
    <row r="97" spans="56:58" ht="39.950000000000003" hidden="1" customHeight="1" x14ac:dyDescent="0.25">
      <c r="BD97" s="58">
        <v>95</v>
      </c>
      <c r="BE97" s="60">
        <v>47.5</v>
      </c>
      <c r="BF97" s="81" t="s">
        <v>0</v>
      </c>
    </row>
    <row r="98" spans="56:58" ht="39.950000000000003" hidden="1" customHeight="1" x14ac:dyDescent="0.25">
      <c r="BD98" s="58">
        <v>96</v>
      </c>
      <c r="BE98" s="60">
        <v>48</v>
      </c>
      <c r="BF98" s="81" t="s">
        <v>0</v>
      </c>
    </row>
    <row r="99" spans="56:58" ht="39.950000000000003" hidden="1" customHeight="1" x14ac:dyDescent="0.25">
      <c r="BD99" s="58">
        <v>97</v>
      </c>
      <c r="BE99" s="60">
        <v>48.5</v>
      </c>
      <c r="BF99" s="81" t="s">
        <v>0</v>
      </c>
    </row>
    <row r="100" spans="56:58" ht="39.950000000000003" hidden="1" customHeight="1" x14ac:dyDescent="0.25">
      <c r="BD100" s="58">
        <v>98</v>
      </c>
      <c r="BE100" s="60">
        <v>49</v>
      </c>
      <c r="BF100" s="81" t="s">
        <v>0</v>
      </c>
    </row>
    <row r="101" spans="56:58" ht="39.950000000000003" hidden="1" customHeight="1" x14ac:dyDescent="0.25">
      <c r="BD101" s="58">
        <v>99</v>
      </c>
      <c r="BE101" s="60">
        <v>49.5</v>
      </c>
      <c r="BF101" s="81" t="s">
        <v>0</v>
      </c>
    </row>
    <row r="102" spans="56:58" ht="39.950000000000003" hidden="1" customHeight="1" x14ac:dyDescent="0.25">
      <c r="BD102" s="58">
        <v>100</v>
      </c>
      <c r="BE102" s="60">
        <v>50</v>
      </c>
      <c r="BF102" s="81" t="s">
        <v>0</v>
      </c>
    </row>
    <row r="103" spans="56:58" ht="39.950000000000003" hidden="1" customHeight="1" x14ac:dyDescent="0.25">
      <c r="BD103" s="58">
        <v>101</v>
      </c>
      <c r="BE103" s="60">
        <v>50.5</v>
      </c>
      <c r="BF103" s="81" t="s">
        <v>0</v>
      </c>
    </row>
    <row r="104" spans="56:58" ht="39.950000000000003" hidden="1" customHeight="1" x14ac:dyDescent="0.25">
      <c r="BD104" s="58">
        <v>102</v>
      </c>
      <c r="BE104" s="60">
        <v>51</v>
      </c>
      <c r="BF104" s="81" t="s">
        <v>0</v>
      </c>
    </row>
    <row r="105" spans="56:58" ht="39.950000000000003" hidden="1" customHeight="1" x14ac:dyDescent="0.25">
      <c r="BD105" s="58">
        <v>103</v>
      </c>
      <c r="BE105" s="60">
        <v>51.5</v>
      </c>
      <c r="BF105" s="81" t="s">
        <v>0</v>
      </c>
    </row>
    <row r="106" spans="56:58" ht="39.950000000000003" hidden="1" customHeight="1" x14ac:dyDescent="0.25">
      <c r="BD106" s="58">
        <v>104</v>
      </c>
      <c r="BE106" s="60">
        <v>52</v>
      </c>
      <c r="BF106" s="81" t="s">
        <v>0</v>
      </c>
    </row>
    <row r="107" spans="56:58" ht="39.950000000000003" hidden="1" customHeight="1" x14ac:dyDescent="0.25">
      <c r="BD107" s="58">
        <v>105</v>
      </c>
      <c r="BE107" s="60">
        <v>52.5</v>
      </c>
      <c r="BF107" s="81" t="s">
        <v>0</v>
      </c>
    </row>
    <row r="108" spans="56:58" ht="39.950000000000003" hidden="1" customHeight="1" x14ac:dyDescent="0.25">
      <c r="BD108" s="58">
        <v>106</v>
      </c>
      <c r="BE108" s="60">
        <v>53</v>
      </c>
      <c r="BF108" s="81" t="s">
        <v>0</v>
      </c>
    </row>
    <row r="109" spans="56:58" ht="39.950000000000003" hidden="1" customHeight="1" x14ac:dyDescent="0.25">
      <c r="BD109" s="58">
        <v>107</v>
      </c>
      <c r="BE109" s="60">
        <v>53.5</v>
      </c>
      <c r="BF109" s="81" t="s">
        <v>0</v>
      </c>
    </row>
    <row r="110" spans="56:58" ht="39.950000000000003" hidden="1" customHeight="1" x14ac:dyDescent="0.25">
      <c r="BD110" s="58">
        <v>108</v>
      </c>
      <c r="BE110" s="60">
        <v>54</v>
      </c>
      <c r="BF110" s="81" t="s">
        <v>0</v>
      </c>
    </row>
    <row r="111" spans="56:58" ht="39.950000000000003" hidden="1" customHeight="1" x14ac:dyDescent="0.25">
      <c r="BD111" s="58">
        <v>109</v>
      </c>
      <c r="BE111" s="60">
        <v>54.5</v>
      </c>
      <c r="BF111" s="81" t="s">
        <v>0</v>
      </c>
    </row>
    <row r="112" spans="56:58" ht="39.950000000000003" hidden="1" customHeight="1" x14ac:dyDescent="0.25">
      <c r="BD112" s="58">
        <v>110</v>
      </c>
      <c r="BE112" s="60">
        <v>55</v>
      </c>
      <c r="BF112" s="81" t="s">
        <v>0</v>
      </c>
    </row>
    <row r="113" spans="56:58" ht="39.950000000000003" hidden="1" customHeight="1" x14ac:dyDescent="0.25">
      <c r="BD113" s="58">
        <v>111</v>
      </c>
      <c r="BE113" s="60">
        <v>55.5</v>
      </c>
      <c r="BF113" s="81" t="s">
        <v>0</v>
      </c>
    </row>
    <row r="114" spans="56:58" ht="39.950000000000003" hidden="1" customHeight="1" x14ac:dyDescent="0.25">
      <c r="BD114" s="58">
        <v>112</v>
      </c>
      <c r="BE114" s="60">
        <v>56</v>
      </c>
      <c r="BF114" s="81" t="s">
        <v>0</v>
      </c>
    </row>
    <row r="115" spans="56:58" ht="39.950000000000003" hidden="1" customHeight="1" x14ac:dyDescent="0.25">
      <c r="BD115" s="58">
        <v>113</v>
      </c>
      <c r="BE115" s="60">
        <v>56.5</v>
      </c>
      <c r="BF115" s="81" t="s">
        <v>0</v>
      </c>
    </row>
    <row r="116" spans="56:58" ht="39.950000000000003" hidden="1" customHeight="1" x14ac:dyDescent="0.25">
      <c r="BD116" s="58">
        <v>114</v>
      </c>
      <c r="BE116" s="60">
        <v>57</v>
      </c>
      <c r="BF116" s="81" t="s">
        <v>0</v>
      </c>
    </row>
    <row r="117" spans="56:58" ht="39.950000000000003" hidden="1" customHeight="1" x14ac:dyDescent="0.25">
      <c r="BD117" s="58">
        <v>115</v>
      </c>
      <c r="BE117" s="60">
        <v>57.5</v>
      </c>
      <c r="BF117" s="81" t="s">
        <v>0</v>
      </c>
    </row>
    <row r="118" spans="56:58" ht="39.950000000000003" hidden="1" customHeight="1" x14ac:dyDescent="0.25">
      <c r="BD118" s="58">
        <v>116</v>
      </c>
      <c r="BE118" s="60">
        <v>58</v>
      </c>
      <c r="BF118" s="81" t="s">
        <v>0</v>
      </c>
    </row>
    <row r="119" spans="56:58" ht="39.950000000000003" hidden="1" customHeight="1" x14ac:dyDescent="0.25">
      <c r="BD119" s="58">
        <v>117</v>
      </c>
      <c r="BE119" s="60">
        <v>58.5</v>
      </c>
      <c r="BF119" s="81" t="s">
        <v>0</v>
      </c>
    </row>
    <row r="120" spans="56:58" ht="39.950000000000003" hidden="1" customHeight="1" x14ac:dyDescent="0.25">
      <c r="BD120" s="58">
        <v>118</v>
      </c>
      <c r="BE120" s="60">
        <v>59</v>
      </c>
      <c r="BF120" s="81" t="s">
        <v>0</v>
      </c>
    </row>
    <row r="121" spans="56:58" ht="39.950000000000003" hidden="1" customHeight="1" x14ac:dyDescent="0.25">
      <c r="BD121" s="58">
        <v>119</v>
      </c>
      <c r="BE121" s="60">
        <v>59.5</v>
      </c>
      <c r="BF121" s="81" t="s">
        <v>0</v>
      </c>
    </row>
    <row r="122" spans="56:58" ht="39.950000000000003" hidden="1" customHeight="1" x14ac:dyDescent="0.25">
      <c r="BD122" s="58">
        <v>120</v>
      </c>
      <c r="BE122" s="60">
        <v>60</v>
      </c>
      <c r="BF122" s="81" t="s">
        <v>0</v>
      </c>
    </row>
    <row r="123" spans="56:58" ht="39.950000000000003" hidden="1" customHeight="1" x14ac:dyDescent="0.25">
      <c r="BD123" s="58">
        <v>121</v>
      </c>
      <c r="BE123" s="60">
        <v>60.5</v>
      </c>
      <c r="BF123" s="81" t="s">
        <v>0</v>
      </c>
    </row>
    <row r="124" spans="56:58" ht="39.950000000000003" hidden="1" customHeight="1" x14ac:dyDescent="0.25">
      <c r="BD124" s="58">
        <v>122</v>
      </c>
      <c r="BE124" s="60">
        <v>61</v>
      </c>
      <c r="BF124" s="81" t="s">
        <v>0</v>
      </c>
    </row>
    <row r="125" spans="56:58" ht="39.950000000000003" hidden="1" customHeight="1" x14ac:dyDescent="0.25">
      <c r="BD125" s="58">
        <v>123</v>
      </c>
      <c r="BE125" s="60">
        <v>61.5</v>
      </c>
      <c r="BF125" s="81" t="s">
        <v>0</v>
      </c>
    </row>
    <row r="126" spans="56:58" ht="39.950000000000003" hidden="1" customHeight="1" x14ac:dyDescent="0.25">
      <c r="BD126" s="58">
        <v>124</v>
      </c>
      <c r="BE126" s="60">
        <v>62</v>
      </c>
      <c r="BF126" s="81" t="s">
        <v>0</v>
      </c>
    </row>
    <row r="127" spans="56:58" ht="39.950000000000003" hidden="1" customHeight="1" x14ac:dyDescent="0.25">
      <c r="BD127" s="58">
        <v>125</v>
      </c>
      <c r="BE127" s="60">
        <v>62.5</v>
      </c>
      <c r="BF127" s="81" t="s">
        <v>0</v>
      </c>
    </row>
    <row r="128" spans="56:58" ht="39.950000000000003" hidden="1" customHeight="1" x14ac:dyDescent="0.25">
      <c r="BD128" s="58">
        <v>126</v>
      </c>
      <c r="BE128" s="60">
        <v>63</v>
      </c>
      <c r="BF128" s="81" t="s">
        <v>0</v>
      </c>
    </row>
    <row r="129" spans="56:58" ht="39.950000000000003" hidden="1" customHeight="1" x14ac:dyDescent="0.25">
      <c r="BD129" s="58">
        <v>127</v>
      </c>
      <c r="BE129" s="60">
        <v>63.5</v>
      </c>
      <c r="BF129" s="81" t="s">
        <v>0</v>
      </c>
    </row>
    <row r="130" spans="56:58" ht="39.950000000000003" hidden="1" customHeight="1" x14ac:dyDescent="0.25">
      <c r="BD130" s="58">
        <v>128</v>
      </c>
      <c r="BE130" s="60">
        <v>64</v>
      </c>
      <c r="BF130" s="81" t="s">
        <v>0</v>
      </c>
    </row>
    <row r="131" spans="56:58" ht="39.950000000000003" hidden="1" customHeight="1" x14ac:dyDescent="0.25">
      <c r="BD131" s="58">
        <v>129</v>
      </c>
      <c r="BE131" s="60">
        <v>64.5</v>
      </c>
      <c r="BF131" s="81" t="s">
        <v>0</v>
      </c>
    </row>
    <row r="132" spans="56:58" ht="39.950000000000003" hidden="1" customHeight="1" x14ac:dyDescent="0.25">
      <c r="BD132" s="58">
        <v>130</v>
      </c>
      <c r="BE132" s="60">
        <v>65</v>
      </c>
      <c r="BF132" s="81" t="s">
        <v>0</v>
      </c>
    </row>
    <row r="133" spans="56:58" ht="39.950000000000003" hidden="1" customHeight="1" x14ac:dyDescent="0.25">
      <c r="BD133" s="58">
        <v>131</v>
      </c>
      <c r="BE133" s="60">
        <v>65.5</v>
      </c>
      <c r="BF133" s="81" t="s">
        <v>0</v>
      </c>
    </row>
    <row r="134" spans="56:58" ht="39.950000000000003" hidden="1" customHeight="1" x14ac:dyDescent="0.25">
      <c r="BD134" s="58">
        <v>132</v>
      </c>
      <c r="BE134" s="60">
        <v>66</v>
      </c>
      <c r="BF134" s="81" t="s">
        <v>0</v>
      </c>
    </row>
    <row r="135" spans="56:58" ht="39.950000000000003" hidden="1" customHeight="1" x14ac:dyDescent="0.25">
      <c r="BD135" s="58">
        <v>133</v>
      </c>
      <c r="BE135" s="60">
        <v>66.5</v>
      </c>
      <c r="BF135" s="81" t="s">
        <v>0</v>
      </c>
    </row>
    <row r="136" spans="56:58" ht="39.950000000000003" hidden="1" customHeight="1" x14ac:dyDescent="0.25">
      <c r="BD136" s="58">
        <v>134</v>
      </c>
      <c r="BE136" s="60">
        <v>67</v>
      </c>
      <c r="BF136" s="81" t="s">
        <v>0</v>
      </c>
    </row>
    <row r="137" spans="56:58" ht="39.950000000000003" hidden="1" customHeight="1" x14ac:dyDescent="0.25">
      <c r="BD137" s="58">
        <v>135</v>
      </c>
      <c r="BE137" s="60">
        <v>67.5</v>
      </c>
      <c r="BF137" s="81" t="s">
        <v>0</v>
      </c>
    </row>
    <row r="138" spans="56:58" ht="39.950000000000003" hidden="1" customHeight="1" x14ac:dyDescent="0.25">
      <c r="BD138" s="58">
        <v>136</v>
      </c>
      <c r="BE138" s="60">
        <v>68</v>
      </c>
      <c r="BF138" s="81" t="s">
        <v>0</v>
      </c>
    </row>
    <row r="139" spans="56:58" ht="39.950000000000003" hidden="1" customHeight="1" x14ac:dyDescent="0.25">
      <c r="BD139" s="58">
        <v>137</v>
      </c>
      <c r="BE139" s="60">
        <v>68.5</v>
      </c>
      <c r="BF139" s="81" t="s">
        <v>0</v>
      </c>
    </row>
    <row r="140" spans="56:58" ht="39.950000000000003" hidden="1" customHeight="1" x14ac:dyDescent="0.25">
      <c r="BD140" s="58">
        <v>138</v>
      </c>
      <c r="BE140" s="60">
        <v>69</v>
      </c>
      <c r="BF140" s="81" t="s">
        <v>0</v>
      </c>
    </row>
    <row r="141" spans="56:58" ht="39.950000000000003" hidden="1" customHeight="1" x14ac:dyDescent="0.25">
      <c r="BD141" s="58">
        <v>139</v>
      </c>
      <c r="BE141" s="60">
        <v>69.5</v>
      </c>
      <c r="BF141" s="81" t="s">
        <v>0</v>
      </c>
    </row>
    <row r="142" spans="56:58" ht="39.950000000000003" hidden="1" customHeight="1" x14ac:dyDescent="0.25">
      <c r="BD142" s="58">
        <v>140</v>
      </c>
      <c r="BE142" s="60">
        <v>70</v>
      </c>
      <c r="BF142" s="81" t="s">
        <v>0</v>
      </c>
    </row>
    <row r="143" spans="56:58" ht="39.950000000000003" hidden="1" customHeight="1" x14ac:dyDescent="0.25">
      <c r="BD143" s="58">
        <v>141</v>
      </c>
      <c r="BE143" s="60">
        <v>70.5</v>
      </c>
      <c r="BF143" s="81" t="s">
        <v>0</v>
      </c>
    </row>
    <row r="144" spans="56:58" ht="39.950000000000003" hidden="1" customHeight="1" x14ac:dyDescent="0.25">
      <c r="BD144" s="58">
        <v>142</v>
      </c>
      <c r="BE144" s="60">
        <v>71</v>
      </c>
      <c r="BF144" s="81" t="s">
        <v>0</v>
      </c>
    </row>
    <row r="145" spans="56:58" ht="39.950000000000003" hidden="1" customHeight="1" x14ac:dyDescent="0.25">
      <c r="BD145" s="58">
        <v>143</v>
      </c>
      <c r="BE145" s="60">
        <v>71.5</v>
      </c>
      <c r="BF145" s="81" t="s">
        <v>0</v>
      </c>
    </row>
    <row r="146" spans="56:58" ht="39.950000000000003" hidden="1" customHeight="1" x14ac:dyDescent="0.25">
      <c r="BD146" s="58">
        <v>144</v>
      </c>
      <c r="BE146" s="60">
        <v>72</v>
      </c>
      <c r="BF146" s="81" t="s">
        <v>0</v>
      </c>
    </row>
    <row r="147" spans="56:58" ht="39.950000000000003" hidden="1" customHeight="1" x14ac:dyDescent="0.25">
      <c r="BD147" s="58">
        <v>145</v>
      </c>
      <c r="BE147" s="60">
        <v>72.5</v>
      </c>
      <c r="BF147" s="81" t="s">
        <v>0</v>
      </c>
    </row>
    <row r="148" spans="56:58" ht="39.950000000000003" hidden="1" customHeight="1" x14ac:dyDescent="0.25">
      <c r="BD148" s="58">
        <v>146</v>
      </c>
      <c r="BE148" s="60">
        <v>73</v>
      </c>
      <c r="BF148" s="81" t="s">
        <v>0</v>
      </c>
    </row>
    <row r="149" spans="56:58" ht="39.950000000000003" hidden="1" customHeight="1" x14ac:dyDescent="0.25">
      <c r="BD149" s="58">
        <v>147</v>
      </c>
      <c r="BE149" s="60">
        <v>73.5</v>
      </c>
      <c r="BF149" s="81" t="s">
        <v>0</v>
      </c>
    </row>
    <row r="150" spans="56:58" ht="39.950000000000003" hidden="1" customHeight="1" x14ac:dyDescent="0.25">
      <c r="BD150" s="58">
        <v>148</v>
      </c>
      <c r="BE150" s="60">
        <v>74</v>
      </c>
      <c r="BF150" s="81" t="s">
        <v>0</v>
      </c>
    </row>
    <row r="151" spans="56:58" ht="39.950000000000003" hidden="1" customHeight="1" x14ac:dyDescent="0.25">
      <c r="BD151" s="58">
        <v>149</v>
      </c>
      <c r="BE151" s="60">
        <v>74.5</v>
      </c>
      <c r="BF151" s="81" t="s">
        <v>0</v>
      </c>
    </row>
    <row r="152" spans="56:58" ht="39.950000000000003" hidden="1" customHeight="1" x14ac:dyDescent="0.25">
      <c r="BD152" s="58">
        <v>150</v>
      </c>
      <c r="BE152" s="60">
        <v>75</v>
      </c>
      <c r="BF152" s="81" t="s">
        <v>0</v>
      </c>
    </row>
    <row r="153" spans="56:58" ht="39.950000000000003" hidden="1" customHeight="1" x14ac:dyDescent="0.25">
      <c r="BD153" s="58">
        <v>151</v>
      </c>
      <c r="BE153" s="60">
        <v>75.5</v>
      </c>
      <c r="BF153" s="81" t="s">
        <v>0</v>
      </c>
    </row>
    <row r="154" spans="56:58" ht="39.950000000000003" hidden="1" customHeight="1" x14ac:dyDescent="0.25">
      <c r="BD154" s="58">
        <v>152</v>
      </c>
      <c r="BE154" s="60">
        <v>76</v>
      </c>
      <c r="BF154" s="81" t="s">
        <v>0</v>
      </c>
    </row>
    <row r="155" spans="56:58" ht="39.950000000000003" hidden="1" customHeight="1" x14ac:dyDescent="0.25">
      <c r="BD155" s="58">
        <v>153</v>
      </c>
      <c r="BE155" s="60">
        <v>76.5</v>
      </c>
      <c r="BF155" s="81" t="s">
        <v>0</v>
      </c>
    </row>
    <row r="156" spans="56:58" ht="39.950000000000003" hidden="1" customHeight="1" x14ac:dyDescent="0.25">
      <c r="BD156" s="58">
        <v>154</v>
      </c>
      <c r="BE156" s="60">
        <v>77</v>
      </c>
      <c r="BF156" s="81" t="s">
        <v>0</v>
      </c>
    </row>
    <row r="157" spans="56:58" ht="39.950000000000003" hidden="1" customHeight="1" x14ac:dyDescent="0.25">
      <c r="BD157" s="58">
        <v>155</v>
      </c>
      <c r="BE157" s="60">
        <v>77.5</v>
      </c>
      <c r="BF157" s="81" t="s">
        <v>0</v>
      </c>
    </row>
    <row r="158" spans="56:58" ht="39.950000000000003" hidden="1" customHeight="1" x14ac:dyDescent="0.25">
      <c r="BD158" s="58">
        <v>156</v>
      </c>
      <c r="BE158" s="60">
        <v>78</v>
      </c>
      <c r="BF158" s="81" t="s">
        <v>0</v>
      </c>
    </row>
    <row r="159" spans="56:58" ht="39.950000000000003" hidden="1" customHeight="1" x14ac:dyDescent="0.25">
      <c r="BD159" s="58">
        <v>157</v>
      </c>
      <c r="BE159" s="60">
        <v>78.5</v>
      </c>
      <c r="BF159" s="81" t="s">
        <v>0</v>
      </c>
    </row>
    <row r="160" spans="56:58" ht="39.950000000000003" hidden="1" customHeight="1" x14ac:dyDescent="0.25">
      <c r="BD160" s="58">
        <v>158</v>
      </c>
      <c r="BE160" s="60">
        <v>79</v>
      </c>
      <c r="BF160" s="81" t="s">
        <v>0</v>
      </c>
    </row>
    <row r="161" spans="56:58" ht="39.950000000000003" hidden="1" customHeight="1" x14ac:dyDescent="0.25">
      <c r="BD161" s="58">
        <v>159</v>
      </c>
      <c r="BE161" s="60">
        <v>79.5</v>
      </c>
      <c r="BF161" s="81" t="s">
        <v>0</v>
      </c>
    </row>
    <row r="162" spans="56:58" ht="39.950000000000003" hidden="1" customHeight="1" x14ac:dyDescent="0.25">
      <c r="BD162" s="58">
        <v>160</v>
      </c>
      <c r="BE162" s="60">
        <v>80</v>
      </c>
      <c r="BF162" s="81" t="s">
        <v>0</v>
      </c>
    </row>
    <row r="163" spans="56:58" ht="39.950000000000003" hidden="1" customHeight="1" x14ac:dyDescent="0.25">
      <c r="BD163" s="58">
        <v>161</v>
      </c>
      <c r="BE163" s="60">
        <v>80.5</v>
      </c>
      <c r="BF163" s="81" t="s">
        <v>0</v>
      </c>
    </row>
    <row r="164" spans="56:58" ht="39.950000000000003" hidden="1" customHeight="1" x14ac:dyDescent="0.25">
      <c r="BD164" s="58">
        <v>162</v>
      </c>
      <c r="BE164" s="60">
        <v>81</v>
      </c>
      <c r="BF164" s="81" t="s">
        <v>0</v>
      </c>
    </row>
    <row r="165" spans="56:58" ht="39.950000000000003" hidden="1" customHeight="1" x14ac:dyDescent="0.25">
      <c r="BD165" s="58">
        <v>163</v>
      </c>
      <c r="BE165" s="60">
        <v>81.5</v>
      </c>
      <c r="BF165" s="81" t="s">
        <v>0</v>
      </c>
    </row>
    <row r="166" spans="56:58" ht="39.950000000000003" hidden="1" customHeight="1" x14ac:dyDescent="0.25">
      <c r="BD166" s="58">
        <v>164</v>
      </c>
      <c r="BE166" s="60">
        <v>82</v>
      </c>
      <c r="BF166" s="81" t="s">
        <v>0</v>
      </c>
    </row>
    <row r="167" spans="56:58" ht="39.950000000000003" hidden="1" customHeight="1" x14ac:dyDescent="0.25">
      <c r="BD167" s="58">
        <v>165</v>
      </c>
      <c r="BE167" s="60">
        <v>82.5</v>
      </c>
      <c r="BF167" s="81" t="s">
        <v>0</v>
      </c>
    </row>
    <row r="168" spans="56:58" ht="39.950000000000003" hidden="1" customHeight="1" x14ac:dyDescent="0.25">
      <c r="BD168" s="58">
        <v>166</v>
      </c>
      <c r="BE168" s="60">
        <v>83</v>
      </c>
      <c r="BF168" s="81" t="s">
        <v>0</v>
      </c>
    </row>
    <row r="169" spans="56:58" ht="39.950000000000003" hidden="1" customHeight="1" x14ac:dyDescent="0.25">
      <c r="BD169" s="58">
        <v>167</v>
      </c>
      <c r="BE169" s="60">
        <v>83.5</v>
      </c>
      <c r="BF169" s="81" t="s">
        <v>0</v>
      </c>
    </row>
    <row r="170" spans="56:58" ht="39.950000000000003" hidden="1" customHeight="1" x14ac:dyDescent="0.25">
      <c r="BD170" s="58">
        <v>168</v>
      </c>
      <c r="BE170" s="60">
        <v>84</v>
      </c>
      <c r="BF170" s="81" t="s">
        <v>0</v>
      </c>
    </row>
    <row r="171" spans="56:58" ht="39.950000000000003" hidden="1" customHeight="1" x14ac:dyDescent="0.25">
      <c r="BD171" s="58">
        <v>169</v>
      </c>
      <c r="BE171" s="60">
        <v>84.5</v>
      </c>
      <c r="BF171" s="81" t="s">
        <v>0</v>
      </c>
    </row>
    <row r="172" spans="56:58" ht="39.950000000000003" hidden="1" customHeight="1" x14ac:dyDescent="0.25">
      <c r="BD172" s="58">
        <v>170</v>
      </c>
      <c r="BE172" s="60">
        <v>85</v>
      </c>
      <c r="BF172" s="81" t="s">
        <v>0</v>
      </c>
    </row>
    <row r="173" spans="56:58" ht="39.950000000000003" hidden="1" customHeight="1" x14ac:dyDescent="0.25">
      <c r="BD173" s="58">
        <v>171</v>
      </c>
      <c r="BE173" s="60">
        <v>85.5</v>
      </c>
      <c r="BF173" s="81" t="s">
        <v>0</v>
      </c>
    </row>
    <row r="174" spans="56:58" ht="39.950000000000003" hidden="1" customHeight="1" x14ac:dyDescent="0.25">
      <c r="BD174" s="58">
        <v>172</v>
      </c>
      <c r="BE174" s="60">
        <v>86</v>
      </c>
      <c r="BF174" s="81" t="s">
        <v>0</v>
      </c>
    </row>
    <row r="175" spans="56:58" ht="39.950000000000003" hidden="1" customHeight="1" x14ac:dyDescent="0.25">
      <c r="BD175" s="58">
        <v>173</v>
      </c>
      <c r="BE175" s="60">
        <v>86.5</v>
      </c>
      <c r="BF175" s="81" t="s">
        <v>0</v>
      </c>
    </row>
    <row r="176" spans="56:58" ht="39.950000000000003" hidden="1" customHeight="1" x14ac:dyDescent="0.25">
      <c r="BD176" s="58">
        <v>174</v>
      </c>
      <c r="BE176" s="60">
        <v>87</v>
      </c>
      <c r="BF176" s="81" t="s">
        <v>0</v>
      </c>
    </row>
    <row r="177" spans="56:58" ht="39.950000000000003" hidden="1" customHeight="1" x14ac:dyDescent="0.25">
      <c r="BD177" s="58">
        <v>175</v>
      </c>
      <c r="BE177" s="60">
        <v>87.5</v>
      </c>
      <c r="BF177" s="81" t="s">
        <v>0</v>
      </c>
    </row>
    <row r="178" spans="56:58" ht="39.950000000000003" hidden="1" customHeight="1" x14ac:dyDescent="0.25">
      <c r="BD178" s="58">
        <v>176</v>
      </c>
      <c r="BE178" s="60">
        <v>88</v>
      </c>
      <c r="BF178" s="81" t="s">
        <v>0</v>
      </c>
    </row>
    <row r="179" spans="56:58" ht="39.950000000000003" hidden="1" customHeight="1" x14ac:dyDescent="0.25">
      <c r="BD179" s="58">
        <v>177</v>
      </c>
      <c r="BE179" s="60">
        <v>88.5</v>
      </c>
      <c r="BF179" s="81" t="s">
        <v>0</v>
      </c>
    </row>
    <row r="180" spans="56:58" ht="39.950000000000003" hidden="1" customHeight="1" x14ac:dyDescent="0.25">
      <c r="BD180" s="58">
        <v>178</v>
      </c>
      <c r="BE180" s="60">
        <v>89</v>
      </c>
      <c r="BF180" s="81" t="s">
        <v>0</v>
      </c>
    </row>
    <row r="181" spans="56:58" ht="39.950000000000003" hidden="1" customHeight="1" x14ac:dyDescent="0.25">
      <c r="BD181" s="58">
        <v>179</v>
      </c>
      <c r="BE181" s="60">
        <v>89.5</v>
      </c>
      <c r="BF181" s="81" t="s">
        <v>0</v>
      </c>
    </row>
    <row r="182" spans="56:58" ht="39.950000000000003" hidden="1" customHeight="1" x14ac:dyDescent="0.25">
      <c r="BD182" s="58">
        <v>180</v>
      </c>
      <c r="BE182" s="60">
        <v>90</v>
      </c>
      <c r="BF182" s="81" t="s">
        <v>0</v>
      </c>
    </row>
    <row r="183" spans="56:58" ht="39.950000000000003" hidden="1" customHeight="1" x14ac:dyDescent="0.25">
      <c r="BD183" s="58">
        <v>181</v>
      </c>
      <c r="BE183" s="60">
        <v>90.5</v>
      </c>
      <c r="BF183" s="81" t="s">
        <v>0</v>
      </c>
    </row>
    <row r="184" spans="56:58" ht="39.950000000000003" hidden="1" customHeight="1" x14ac:dyDescent="0.25">
      <c r="BD184" s="58">
        <v>182</v>
      </c>
      <c r="BE184" s="60">
        <v>91</v>
      </c>
      <c r="BF184" s="81" t="s">
        <v>0</v>
      </c>
    </row>
    <row r="185" spans="56:58" ht="39.950000000000003" hidden="1" customHeight="1" x14ac:dyDescent="0.25">
      <c r="BD185" s="58">
        <v>183</v>
      </c>
      <c r="BE185" s="60">
        <v>91.5</v>
      </c>
      <c r="BF185" s="81" t="s">
        <v>0</v>
      </c>
    </row>
    <row r="186" spans="56:58" ht="39.950000000000003" hidden="1" customHeight="1" x14ac:dyDescent="0.25">
      <c r="BD186" s="58">
        <v>184</v>
      </c>
      <c r="BE186" s="60">
        <v>92</v>
      </c>
      <c r="BF186" s="81" t="s">
        <v>0</v>
      </c>
    </row>
    <row r="187" spans="56:58" ht="39.950000000000003" hidden="1" customHeight="1" x14ac:dyDescent="0.25">
      <c r="BD187" s="58">
        <v>185</v>
      </c>
      <c r="BE187" s="60">
        <v>92.5</v>
      </c>
      <c r="BF187" s="81" t="s">
        <v>0</v>
      </c>
    </row>
    <row r="188" spans="56:58" ht="39.950000000000003" hidden="1" customHeight="1" x14ac:dyDescent="0.25">
      <c r="BD188" s="58">
        <v>186</v>
      </c>
      <c r="BE188" s="60">
        <v>93</v>
      </c>
      <c r="BF188" s="81" t="s">
        <v>0</v>
      </c>
    </row>
    <row r="189" spans="56:58" ht="39.950000000000003" hidden="1" customHeight="1" x14ac:dyDescent="0.25">
      <c r="BD189" s="58">
        <v>187</v>
      </c>
      <c r="BE189" s="60">
        <v>93.5</v>
      </c>
      <c r="BF189" s="81" t="s">
        <v>0</v>
      </c>
    </row>
    <row r="190" spans="56:58" ht="39.950000000000003" hidden="1" customHeight="1" x14ac:dyDescent="0.25">
      <c r="BD190" s="58">
        <v>188</v>
      </c>
      <c r="BE190" s="60">
        <v>94</v>
      </c>
      <c r="BF190" s="81" t="s">
        <v>0</v>
      </c>
    </row>
    <row r="191" spans="56:58" ht="39.950000000000003" hidden="1" customHeight="1" x14ac:dyDescent="0.25">
      <c r="BD191" s="58">
        <v>189</v>
      </c>
      <c r="BE191" s="60">
        <v>94.5</v>
      </c>
      <c r="BF191" s="81" t="s">
        <v>0</v>
      </c>
    </row>
    <row r="192" spans="56:58" ht="39.950000000000003" hidden="1" customHeight="1" x14ac:dyDescent="0.25">
      <c r="BD192" s="58">
        <v>190</v>
      </c>
      <c r="BE192" s="60">
        <v>95</v>
      </c>
      <c r="BF192" s="81" t="s">
        <v>0</v>
      </c>
    </row>
    <row r="193" spans="56:58" ht="39.950000000000003" hidden="1" customHeight="1" x14ac:dyDescent="0.25">
      <c r="BD193" s="58">
        <v>191</v>
      </c>
      <c r="BE193" s="60">
        <v>95.5</v>
      </c>
      <c r="BF193" s="81" t="s">
        <v>0</v>
      </c>
    </row>
    <row r="194" spans="56:58" ht="39.950000000000003" hidden="1" customHeight="1" x14ac:dyDescent="0.25">
      <c r="BD194" s="58">
        <v>192</v>
      </c>
      <c r="BE194" s="60">
        <v>96</v>
      </c>
      <c r="BF194" s="81" t="s">
        <v>0</v>
      </c>
    </row>
    <row r="195" spans="56:58" ht="39.950000000000003" hidden="1" customHeight="1" x14ac:dyDescent="0.25">
      <c r="BD195" s="58">
        <v>193</v>
      </c>
      <c r="BE195" s="60">
        <v>96.5</v>
      </c>
      <c r="BF195" s="81" t="s">
        <v>0</v>
      </c>
    </row>
    <row r="196" spans="56:58" ht="39.950000000000003" hidden="1" customHeight="1" x14ac:dyDescent="0.25">
      <c r="BD196" s="58">
        <v>194</v>
      </c>
      <c r="BE196" s="60">
        <v>97</v>
      </c>
      <c r="BF196" s="81" t="s">
        <v>0</v>
      </c>
    </row>
    <row r="197" spans="56:58" ht="39.950000000000003" hidden="1" customHeight="1" x14ac:dyDescent="0.25">
      <c r="BD197" s="58">
        <v>195</v>
      </c>
      <c r="BE197" s="60">
        <v>97.5</v>
      </c>
      <c r="BF197" s="81" t="s">
        <v>0</v>
      </c>
    </row>
    <row r="198" spans="56:58" ht="39.950000000000003" hidden="1" customHeight="1" x14ac:dyDescent="0.25">
      <c r="BD198" s="58">
        <v>196</v>
      </c>
      <c r="BE198" s="60">
        <v>98</v>
      </c>
      <c r="BF198" s="81" t="s">
        <v>0</v>
      </c>
    </row>
    <row r="199" spans="56:58" ht="39.950000000000003" hidden="1" customHeight="1" x14ac:dyDescent="0.25">
      <c r="BD199" s="58">
        <v>197</v>
      </c>
      <c r="BE199" s="60">
        <v>98.5</v>
      </c>
      <c r="BF199" s="81" t="s">
        <v>0</v>
      </c>
    </row>
    <row r="200" spans="56:58" ht="39.950000000000003" hidden="1" customHeight="1" x14ac:dyDescent="0.25">
      <c r="BD200" s="58">
        <v>198</v>
      </c>
      <c r="BE200" s="60">
        <v>99</v>
      </c>
      <c r="BF200" s="81" t="s">
        <v>0</v>
      </c>
    </row>
    <row r="201" spans="56:58" ht="39.950000000000003" hidden="1" customHeight="1" x14ac:dyDescent="0.25">
      <c r="BD201" s="58">
        <v>199</v>
      </c>
      <c r="BE201" s="60">
        <v>99.5</v>
      </c>
      <c r="BF201" s="81" t="s">
        <v>0</v>
      </c>
    </row>
    <row r="202" spans="56:58" ht="39.950000000000003" hidden="1" customHeight="1" x14ac:dyDescent="0.25">
      <c r="BD202" s="58">
        <v>200</v>
      </c>
      <c r="BE202" s="60">
        <v>100</v>
      </c>
      <c r="BF202" s="81" t="s">
        <v>0</v>
      </c>
    </row>
    <row r="203" spans="56:58" ht="39.950000000000003" hidden="1" customHeight="1" x14ac:dyDescent="0.25">
      <c r="BD203" s="58">
        <v>201</v>
      </c>
      <c r="BE203" s="60">
        <v>100.5</v>
      </c>
      <c r="BF203" s="81" t="s">
        <v>0</v>
      </c>
    </row>
    <row r="204" spans="56:58" ht="39.950000000000003" hidden="1" customHeight="1" x14ac:dyDescent="0.25">
      <c r="BD204" s="58">
        <v>202</v>
      </c>
      <c r="BE204" s="60">
        <v>101</v>
      </c>
      <c r="BF204" s="81" t="s">
        <v>0</v>
      </c>
    </row>
    <row r="205" spans="56:58" ht="39.950000000000003" hidden="1" customHeight="1" x14ac:dyDescent="0.25">
      <c r="BD205" s="58">
        <v>203</v>
      </c>
      <c r="BE205" s="60">
        <v>101.5</v>
      </c>
      <c r="BF205" s="81" t="s">
        <v>0</v>
      </c>
    </row>
    <row r="206" spans="56:58" ht="39.950000000000003" hidden="1" customHeight="1" x14ac:dyDescent="0.25">
      <c r="BD206" s="58">
        <v>204</v>
      </c>
      <c r="BE206" s="60">
        <v>102</v>
      </c>
      <c r="BF206" s="81" t="s">
        <v>0</v>
      </c>
    </row>
    <row r="207" spans="56:58" ht="39.950000000000003" hidden="1" customHeight="1" x14ac:dyDescent="0.25">
      <c r="BD207" s="58">
        <v>205</v>
      </c>
      <c r="BE207" s="60">
        <v>102.5</v>
      </c>
      <c r="BF207" s="81" t="s">
        <v>0</v>
      </c>
    </row>
    <row r="208" spans="56:58" ht="39.950000000000003" hidden="1" customHeight="1" x14ac:dyDescent="0.25">
      <c r="BD208" s="58">
        <v>206</v>
      </c>
      <c r="BE208" s="60">
        <v>103</v>
      </c>
      <c r="BF208" s="81" t="s">
        <v>0</v>
      </c>
    </row>
    <row r="209" spans="56:58" ht="39.950000000000003" hidden="1" customHeight="1" x14ac:dyDescent="0.25">
      <c r="BD209" s="58">
        <v>207</v>
      </c>
      <c r="BE209" s="60">
        <v>103.5</v>
      </c>
      <c r="BF209" s="81" t="s">
        <v>0</v>
      </c>
    </row>
    <row r="210" spans="56:58" ht="39.950000000000003" hidden="1" customHeight="1" x14ac:dyDescent="0.25">
      <c r="BD210" s="58">
        <v>208</v>
      </c>
      <c r="BE210" s="60">
        <v>104</v>
      </c>
      <c r="BF210" s="81" t="s">
        <v>0</v>
      </c>
    </row>
    <row r="211" spans="56:58" ht="39.950000000000003" hidden="1" customHeight="1" x14ac:dyDescent="0.25">
      <c r="BD211" s="58">
        <v>209</v>
      </c>
      <c r="BE211" s="60">
        <v>104.5</v>
      </c>
      <c r="BF211" s="81" t="s">
        <v>0</v>
      </c>
    </row>
    <row r="212" spans="56:58" ht="39.950000000000003" hidden="1" customHeight="1" x14ac:dyDescent="0.25">
      <c r="BD212" s="58">
        <v>210</v>
      </c>
      <c r="BE212" s="60">
        <v>105</v>
      </c>
      <c r="BF212" s="81" t="s">
        <v>0</v>
      </c>
    </row>
    <row r="213" spans="56:58" ht="39.950000000000003" hidden="1" customHeight="1" x14ac:dyDescent="0.25">
      <c r="BD213" s="58">
        <v>211</v>
      </c>
      <c r="BE213" s="60">
        <v>105.5</v>
      </c>
      <c r="BF213" s="81" t="s">
        <v>0</v>
      </c>
    </row>
    <row r="214" spans="56:58" ht="39.950000000000003" hidden="1" customHeight="1" x14ac:dyDescent="0.25">
      <c r="BD214" s="58">
        <v>212</v>
      </c>
      <c r="BE214" s="60">
        <v>106</v>
      </c>
      <c r="BF214" s="81" t="s">
        <v>0</v>
      </c>
    </row>
    <row r="215" spans="56:58" ht="39.950000000000003" hidden="1" customHeight="1" x14ac:dyDescent="0.25">
      <c r="BD215" s="58">
        <v>213</v>
      </c>
      <c r="BE215" s="60">
        <v>106.5</v>
      </c>
      <c r="BF215" s="81" t="s">
        <v>0</v>
      </c>
    </row>
    <row r="216" spans="56:58" ht="39.950000000000003" hidden="1" customHeight="1" x14ac:dyDescent="0.25">
      <c r="BD216" s="58">
        <v>214</v>
      </c>
      <c r="BE216" s="60">
        <v>107</v>
      </c>
      <c r="BF216" s="81" t="s">
        <v>0</v>
      </c>
    </row>
    <row r="217" spans="56:58" ht="39.950000000000003" hidden="1" customHeight="1" x14ac:dyDescent="0.25">
      <c r="BD217" s="58">
        <v>215</v>
      </c>
      <c r="BE217" s="60">
        <v>107.5</v>
      </c>
      <c r="BF217" s="81" t="s">
        <v>0</v>
      </c>
    </row>
    <row r="218" spans="56:58" ht="39.950000000000003" hidden="1" customHeight="1" x14ac:dyDescent="0.25">
      <c r="BD218" s="58">
        <v>216</v>
      </c>
      <c r="BE218" s="60">
        <v>108</v>
      </c>
      <c r="BF218" s="81" t="s">
        <v>0</v>
      </c>
    </row>
    <row r="219" spans="56:58" ht="39.950000000000003" hidden="1" customHeight="1" x14ac:dyDescent="0.25">
      <c r="BD219" s="58">
        <v>217</v>
      </c>
      <c r="BE219" s="60">
        <v>108.5</v>
      </c>
      <c r="BF219" s="81" t="s">
        <v>0</v>
      </c>
    </row>
    <row r="220" spans="56:58" ht="39.950000000000003" hidden="1" customHeight="1" x14ac:dyDescent="0.25">
      <c r="BD220" s="58">
        <v>218</v>
      </c>
      <c r="BE220" s="60">
        <v>109</v>
      </c>
      <c r="BF220" s="81" t="s">
        <v>0</v>
      </c>
    </row>
    <row r="221" spans="56:58" ht="39.950000000000003" hidden="1" customHeight="1" x14ac:dyDescent="0.25">
      <c r="BD221" s="58">
        <v>219</v>
      </c>
      <c r="BE221" s="60">
        <v>109.5</v>
      </c>
      <c r="BF221" s="81" t="s">
        <v>0</v>
      </c>
    </row>
    <row r="222" spans="56:58" ht="39.950000000000003" hidden="1" customHeight="1" x14ac:dyDescent="0.25">
      <c r="BD222" s="58">
        <v>220</v>
      </c>
      <c r="BE222" s="60">
        <v>110</v>
      </c>
      <c r="BF222" s="81" t="s">
        <v>0</v>
      </c>
    </row>
    <row r="223" spans="56:58" ht="39.950000000000003" hidden="1" customHeight="1" x14ac:dyDescent="0.25">
      <c r="BD223" s="58">
        <v>221</v>
      </c>
      <c r="BE223" s="60">
        <v>110.5</v>
      </c>
      <c r="BF223" s="81" t="s">
        <v>0</v>
      </c>
    </row>
    <row r="224" spans="56:58" ht="39.950000000000003" hidden="1" customHeight="1" x14ac:dyDescent="0.25">
      <c r="BD224" s="58">
        <v>222</v>
      </c>
      <c r="BE224" s="60">
        <v>111</v>
      </c>
      <c r="BF224" s="81" t="s">
        <v>0</v>
      </c>
    </row>
    <row r="225" spans="56:58" ht="39.950000000000003" hidden="1" customHeight="1" x14ac:dyDescent="0.25">
      <c r="BD225" s="58">
        <v>223</v>
      </c>
      <c r="BE225" s="60">
        <v>111.5</v>
      </c>
      <c r="BF225" s="81" t="s">
        <v>0</v>
      </c>
    </row>
    <row r="226" spans="56:58" ht="39.950000000000003" hidden="1" customHeight="1" x14ac:dyDescent="0.25">
      <c r="BD226" s="58">
        <v>224</v>
      </c>
      <c r="BE226" s="60">
        <v>112</v>
      </c>
      <c r="BF226" s="81" t="s">
        <v>0</v>
      </c>
    </row>
    <row r="227" spans="56:58" ht="39.950000000000003" hidden="1" customHeight="1" x14ac:dyDescent="0.25">
      <c r="BD227" s="58">
        <v>225</v>
      </c>
      <c r="BE227" s="60">
        <v>112.5</v>
      </c>
      <c r="BF227" s="81" t="s">
        <v>0</v>
      </c>
    </row>
    <row r="228" spans="56:58" ht="39.950000000000003" hidden="1" customHeight="1" x14ac:dyDescent="0.25">
      <c r="BD228" s="58">
        <v>226</v>
      </c>
      <c r="BE228" s="60">
        <v>113</v>
      </c>
      <c r="BF228" s="81" t="s">
        <v>0</v>
      </c>
    </row>
    <row r="229" spans="56:58" ht="39.950000000000003" hidden="1" customHeight="1" x14ac:dyDescent="0.25">
      <c r="BD229" s="58">
        <v>227</v>
      </c>
      <c r="BE229" s="60">
        <v>113.5</v>
      </c>
      <c r="BF229" s="81" t="s">
        <v>0</v>
      </c>
    </row>
    <row r="230" spans="56:58" ht="39.950000000000003" hidden="1" customHeight="1" x14ac:dyDescent="0.25">
      <c r="BD230" s="58">
        <v>228</v>
      </c>
      <c r="BE230" s="60">
        <v>114</v>
      </c>
      <c r="BF230" s="81" t="s">
        <v>0</v>
      </c>
    </row>
    <row r="231" spans="56:58" ht="39.950000000000003" hidden="1" customHeight="1" x14ac:dyDescent="0.25">
      <c r="BD231" s="58">
        <v>229</v>
      </c>
      <c r="BE231" s="60">
        <v>114.5</v>
      </c>
      <c r="BF231" s="81" t="s">
        <v>0</v>
      </c>
    </row>
    <row r="232" spans="56:58" ht="39.950000000000003" hidden="1" customHeight="1" x14ac:dyDescent="0.25">
      <c r="BD232" s="58">
        <v>230</v>
      </c>
      <c r="BE232" s="60">
        <v>115</v>
      </c>
      <c r="BF232" s="81" t="s">
        <v>0</v>
      </c>
    </row>
    <row r="233" spans="56:58" ht="39.950000000000003" hidden="1" customHeight="1" x14ac:dyDescent="0.25">
      <c r="BD233" s="58">
        <v>231</v>
      </c>
      <c r="BE233" s="60">
        <v>115.5</v>
      </c>
      <c r="BF233" s="81" t="s">
        <v>0</v>
      </c>
    </row>
    <row r="234" spans="56:58" ht="39.950000000000003" hidden="1" customHeight="1" x14ac:dyDescent="0.25">
      <c r="BD234" s="58">
        <v>232</v>
      </c>
      <c r="BE234" s="60">
        <v>116</v>
      </c>
      <c r="BF234" s="81" t="s">
        <v>0</v>
      </c>
    </row>
    <row r="235" spans="56:58" ht="39.950000000000003" hidden="1" customHeight="1" x14ac:dyDescent="0.25">
      <c r="BD235" s="58">
        <v>233</v>
      </c>
      <c r="BE235" s="60">
        <v>116.5</v>
      </c>
      <c r="BF235" s="81" t="s">
        <v>0</v>
      </c>
    </row>
    <row r="236" spans="56:58" ht="39.950000000000003" hidden="1" customHeight="1" x14ac:dyDescent="0.25">
      <c r="BD236" s="58">
        <v>234</v>
      </c>
      <c r="BE236" s="60">
        <v>117</v>
      </c>
      <c r="BF236" s="81" t="s">
        <v>0</v>
      </c>
    </row>
    <row r="237" spans="56:58" ht="39.950000000000003" hidden="1" customHeight="1" x14ac:dyDescent="0.25">
      <c r="BD237" s="58">
        <v>235</v>
      </c>
      <c r="BE237" s="60">
        <v>117.5</v>
      </c>
      <c r="BF237" s="81" t="s">
        <v>0</v>
      </c>
    </row>
    <row r="238" spans="56:58" ht="39.950000000000003" hidden="1" customHeight="1" x14ac:dyDescent="0.25">
      <c r="BD238" s="58">
        <v>236</v>
      </c>
      <c r="BE238" s="60">
        <v>118</v>
      </c>
      <c r="BF238" s="81" t="s">
        <v>0</v>
      </c>
    </row>
    <row r="239" spans="56:58" ht="39.950000000000003" hidden="1" customHeight="1" x14ac:dyDescent="0.25">
      <c r="BD239" s="58">
        <v>237</v>
      </c>
      <c r="BE239" s="60">
        <v>118.5</v>
      </c>
      <c r="BF239" s="81" t="s">
        <v>0</v>
      </c>
    </row>
    <row r="240" spans="56:58" ht="39.950000000000003" hidden="1" customHeight="1" x14ac:dyDescent="0.25">
      <c r="BD240" s="58">
        <v>238</v>
      </c>
      <c r="BE240" s="60">
        <v>119</v>
      </c>
      <c r="BF240" s="81" t="s">
        <v>0</v>
      </c>
    </row>
    <row r="241" spans="1:58" ht="39.950000000000003" hidden="1" customHeight="1" x14ac:dyDescent="0.25">
      <c r="BD241" s="58">
        <v>239</v>
      </c>
      <c r="BE241" s="60">
        <v>119.5</v>
      </c>
      <c r="BF241" s="81" t="s">
        <v>0</v>
      </c>
    </row>
    <row r="242" spans="1:58" ht="39.950000000000003" hidden="1" customHeight="1" x14ac:dyDescent="0.25">
      <c r="BD242" s="58">
        <v>240</v>
      </c>
      <c r="BE242" s="60">
        <v>120</v>
      </c>
      <c r="BF242" s="81" t="s">
        <v>0</v>
      </c>
    </row>
    <row r="243" spans="1:58" ht="39.950000000000003" hidden="1" customHeight="1" x14ac:dyDescent="0.25">
      <c r="BD243" s="58">
        <v>241</v>
      </c>
      <c r="BE243" s="60">
        <v>120.5</v>
      </c>
      <c r="BF243" s="81" t="s">
        <v>0</v>
      </c>
    </row>
    <row r="244" spans="1:58" ht="39.950000000000003" hidden="1" customHeight="1" x14ac:dyDescent="0.25">
      <c r="BD244" s="58">
        <v>242</v>
      </c>
      <c r="BE244" s="60">
        <v>121</v>
      </c>
      <c r="BF244" s="81" t="s">
        <v>0</v>
      </c>
    </row>
    <row r="245" spans="1:58" ht="39.950000000000003" hidden="1" customHeight="1" x14ac:dyDescent="0.25">
      <c r="BD245" s="58">
        <v>243</v>
      </c>
      <c r="BE245" s="60">
        <v>121.5</v>
      </c>
      <c r="BF245" s="81" t="s">
        <v>0</v>
      </c>
    </row>
    <row r="246" spans="1:58" ht="39.950000000000003" hidden="1" customHeight="1" x14ac:dyDescent="0.25">
      <c r="BD246" s="58">
        <v>244</v>
      </c>
      <c r="BE246" s="60">
        <v>122</v>
      </c>
      <c r="BF246" s="81" t="s">
        <v>0</v>
      </c>
    </row>
    <row r="247" spans="1:58" ht="39.950000000000003" hidden="1" customHeight="1" x14ac:dyDescent="0.25">
      <c r="BD247" s="58">
        <v>245</v>
      </c>
      <c r="BE247" s="60">
        <v>122.5</v>
      </c>
      <c r="BF247" s="81" t="s">
        <v>0</v>
      </c>
    </row>
    <row r="248" spans="1:58" ht="39.950000000000003" hidden="1" customHeight="1" x14ac:dyDescent="0.25">
      <c r="BD248" s="58">
        <v>246</v>
      </c>
      <c r="BE248" s="60">
        <v>123</v>
      </c>
      <c r="BF248" s="81" t="s">
        <v>0</v>
      </c>
    </row>
    <row r="249" spans="1:58" ht="39.950000000000003" hidden="1" customHeight="1" x14ac:dyDescent="0.25">
      <c r="BD249" s="58">
        <v>247</v>
      </c>
      <c r="BE249" s="60">
        <v>123.5</v>
      </c>
      <c r="BF249" s="81" t="s">
        <v>0</v>
      </c>
    </row>
    <row r="250" spans="1:58" ht="39.950000000000003" hidden="1" customHeight="1" x14ac:dyDescent="0.25">
      <c r="BD250" s="58">
        <v>248</v>
      </c>
      <c r="BE250" s="60">
        <v>124</v>
      </c>
      <c r="BF250" s="81" t="s">
        <v>0</v>
      </c>
    </row>
    <row r="251" spans="1:58" ht="39.950000000000003" hidden="1" customHeight="1" x14ac:dyDescent="0.25">
      <c r="BD251" s="58">
        <v>249</v>
      </c>
      <c r="BE251" s="60">
        <v>124.5</v>
      </c>
      <c r="BF251" s="81" t="s">
        <v>0</v>
      </c>
    </row>
    <row r="252" spans="1:58" ht="39.950000000000003" hidden="1" customHeight="1" x14ac:dyDescent="0.25">
      <c r="BD252" s="58">
        <v>250</v>
      </c>
      <c r="BE252" s="60">
        <v>125</v>
      </c>
      <c r="BF252" s="81" t="s">
        <v>0</v>
      </c>
    </row>
    <row r="253" spans="1:58" ht="39.950000000000003" hidden="1" customHeight="1" x14ac:dyDescent="0.25">
      <c r="BD253" s="58">
        <v>251</v>
      </c>
      <c r="BE253" s="60">
        <v>125.5</v>
      </c>
      <c r="BF253" s="81" t="s">
        <v>0</v>
      </c>
    </row>
    <row r="254" spans="1:58" s="44" customFormat="1" ht="39.950000000000003" hidden="1" customHeight="1" x14ac:dyDescent="0.25">
      <c r="A254" s="13"/>
      <c r="B254" s="13"/>
      <c r="C254" s="13"/>
      <c r="D254" s="13"/>
      <c r="E254" s="13"/>
      <c r="F254" s="13"/>
      <c r="G254" s="13"/>
      <c r="H254" s="13"/>
      <c r="I254" s="13"/>
      <c r="J254" s="13"/>
      <c r="K254" s="13"/>
      <c r="L254" s="13"/>
      <c r="M254" s="13"/>
      <c r="N254" s="13"/>
      <c r="O254" s="13"/>
      <c r="P254" s="13"/>
      <c r="Q254" s="13"/>
      <c r="R254" s="13"/>
      <c r="S254" s="13"/>
      <c r="T254" s="13"/>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8"/>
      <c r="AU254" s="58"/>
      <c r="AV254" s="58"/>
      <c r="AW254" s="58"/>
      <c r="AX254" s="58"/>
      <c r="AY254" s="58"/>
      <c r="AZ254" s="58"/>
      <c r="BA254" s="58"/>
      <c r="BB254" s="58"/>
      <c r="BC254" s="58"/>
      <c r="BD254" s="58">
        <v>252</v>
      </c>
      <c r="BE254" s="60">
        <v>126</v>
      </c>
      <c r="BF254" s="81" t="s">
        <v>0</v>
      </c>
    </row>
    <row r="255" spans="1:58" s="44" customFormat="1" ht="39.950000000000003" hidden="1" customHeight="1" x14ac:dyDescent="0.25">
      <c r="A255" s="13"/>
      <c r="B255" s="13"/>
      <c r="C255" s="13"/>
      <c r="D255" s="13"/>
      <c r="E255" s="13"/>
      <c r="F255" s="13"/>
      <c r="G255" s="13"/>
      <c r="H255" s="13"/>
      <c r="I255" s="13"/>
      <c r="J255" s="13"/>
      <c r="K255" s="13"/>
      <c r="L255" s="13"/>
      <c r="M255" s="13"/>
      <c r="N255" s="13"/>
      <c r="O255" s="13"/>
      <c r="P255" s="13"/>
      <c r="Q255" s="13"/>
      <c r="R255" s="13"/>
      <c r="S255" s="13"/>
      <c r="T255" s="13"/>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c r="AQ255" s="58"/>
      <c r="AR255" s="58"/>
      <c r="AS255" s="58"/>
      <c r="AT255" s="58"/>
      <c r="AU255" s="58"/>
      <c r="AV255" s="58"/>
      <c r="AW255" s="58"/>
      <c r="AX255" s="58"/>
      <c r="AY255" s="58"/>
      <c r="AZ255" s="58"/>
      <c r="BA255" s="58"/>
      <c r="BB255" s="58"/>
      <c r="BC255" s="58"/>
      <c r="BD255" s="58">
        <v>253</v>
      </c>
      <c r="BE255" s="60">
        <v>126.5</v>
      </c>
      <c r="BF255" s="81" t="s">
        <v>0</v>
      </c>
    </row>
    <row r="256" spans="1:58" s="44" customFormat="1" ht="39.950000000000003" hidden="1" customHeight="1" x14ac:dyDescent="0.25">
      <c r="A256" s="13"/>
      <c r="B256" s="13"/>
      <c r="C256" s="13"/>
      <c r="D256" s="13"/>
      <c r="E256" s="13"/>
      <c r="F256" s="13"/>
      <c r="G256" s="13"/>
      <c r="H256" s="13"/>
      <c r="I256" s="13"/>
      <c r="J256" s="13"/>
      <c r="K256" s="13"/>
      <c r="L256" s="13"/>
      <c r="M256" s="13"/>
      <c r="N256" s="13"/>
      <c r="O256" s="13"/>
      <c r="P256" s="13"/>
      <c r="Q256" s="13"/>
      <c r="R256" s="13"/>
      <c r="S256" s="13"/>
      <c r="T256" s="13"/>
      <c r="U256" s="58"/>
      <c r="V256" s="58"/>
      <c r="W256" s="58"/>
      <c r="X256" s="58"/>
      <c r="Y256" s="58"/>
      <c r="Z256" s="58"/>
      <c r="AA256" s="58"/>
      <c r="AB256" s="58"/>
      <c r="AC256" s="58"/>
      <c r="AD256" s="58"/>
      <c r="AE256" s="58"/>
      <c r="AF256" s="58"/>
      <c r="AG256" s="58"/>
      <c r="AH256" s="58"/>
      <c r="AI256" s="58"/>
      <c r="AJ256" s="58"/>
      <c r="AK256" s="58"/>
      <c r="AL256" s="58"/>
      <c r="AM256" s="58"/>
      <c r="AN256" s="58"/>
      <c r="AO256" s="58"/>
      <c r="AP256" s="58"/>
      <c r="AQ256" s="58"/>
      <c r="AR256" s="58"/>
      <c r="AS256" s="58"/>
      <c r="AT256" s="58"/>
      <c r="AU256" s="58"/>
      <c r="AV256" s="58"/>
      <c r="AW256" s="58"/>
      <c r="AX256" s="58"/>
      <c r="AY256" s="58"/>
      <c r="AZ256" s="58"/>
      <c r="BA256" s="58"/>
      <c r="BB256" s="58"/>
      <c r="BC256" s="58"/>
      <c r="BD256" s="58">
        <v>254</v>
      </c>
      <c r="BE256" s="60">
        <v>127</v>
      </c>
      <c r="BF256" s="81" t="s">
        <v>0</v>
      </c>
    </row>
    <row r="257" spans="1:58" s="44" customFormat="1" ht="39.950000000000003" hidden="1" customHeight="1" x14ac:dyDescent="0.25">
      <c r="A257" s="13"/>
      <c r="B257" s="13"/>
      <c r="C257" s="13"/>
      <c r="D257" s="13"/>
      <c r="E257" s="13"/>
      <c r="F257" s="13"/>
      <c r="G257" s="13"/>
      <c r="H257" s="13"/>
      <c r="I257" s="13"/>
      <c r="J257" s="13"/>
      <c r="K257" s="13"/>
      <c r="L257" s="13"/>
      <c r="M257" s="13"/>
      <c r="N257" s="13"/>
      <c r="O257" s="13"/>
      <c r="P257" s="13"/>
      <c r="Q257" s="13"/>
      <c r="R257" s="13"/>
      <c r="S257" s="13"/>
      <c r="T257" s="13"/>
      <c r="U257" s="58"/>
      <c r="V257" s="58"/>
      <c r="W257" s="58"/>
      <c r="X257" s="58"/>
      <c r="Y257" s="58"/>
      <c r="Z257" s="58"/>
      <c r="AA257" s="58"/>
      <c r="AB257" s="58"/>
      <c r="AC257" s="58"/>
      <c r="AD257" s="58"/>
      <c r="AE257" s="58"/>
      <c r="AF257" s="58"/>
      <c r="AG257" s="58"/>
      <c r="AH257" s="58"/>
      <c r="AI257" s="58"/>
      <c r="AJ257" s="58"/>
      <c r="AK257" s="58"/>
      <c r="AL257" s="58"/>
      <c r="AM257" s="58"/>
      <c r="AN257" s="58"/>
      <c r="AO257" s="58"/>
      <c r="AP257" s="58"/>
      <c r="AQ257" s="58"/>
      <c r="AR257" s="58"/>
      <c r="AS257" s="58"/>
      <c r="AT257" s="58"/>
      <c r="AU257" s="58"/>
      <c r="AV257" s="58"/>
      <c r="AW257" s="58"/>
      <c r="AX257" s="58"/>
      <c r="AY257" s="58"/>
      <c r="AZ257" s="58"/>
      <c r="BA257" s="58"/>
      <c r="BB257" s="58"/>
      <c r="BC257" s="58"/>
      <c r="BD257" s="58">
        <v>255</v>
      </c>
      <c r="BE257" s="60">
        <v>127.5</v>
      </c>
      <c r="BF257" s="81" t="s">
        <v>0</v>
      </c>
    </row>
    <row r="258" spans="1:58" s="44" customFormat="1" ht="39.950000000000003" hidden="1" customHeight="1" x14ac:dyDescent="0.25">
      <c r="A258" s="13"/>
      <c r="B258" s="13"/>
      <c r="C258" s="13"/>
      <c r="D258" s="13"/>
      <c r="E258" s="13"/>
      <c r="F258" s="13"/>
      <c r="G258" s="13"/>
      <c r="H258" s="13"/>
      <c r="I258" s="13"/>
      <c r="J258" s="13"/>
      <c r="K258" s="13"/>
      <c r="L258" s="13"/>
      <c r="M258" s="13"/>
      <c r="N258" s="13"/>
      <c r="O258" s="13"/>
      <c r="P258" s="13"/>
      <c r="Q258" s="13"/>
      <c r="R258" s="13"/>
      <c r="S258" s="13"/>
      <c r="T258" s="13"/>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c r="AQ258" s="58"/>
      <c r="AR258" s="58"/>
      <c r="AS258" s="58"/>
      <c r="AT258" s="58"/>
      <c r="AU258" s="58"/>
      <c r="AV258" s="58"/>
      <c r="AW258" s="58"/>
      <c r="AX258" s="58"/>
      <c r="AY258" s="58"/>
      <c r="AZ258" s="58"/>
      <c r="BA258" s="58"/>
      <c r="BB258" s="58"/>
      <c r="BC258" s="58"/>
      <c r="BD258" s="58">
        <v>256</v>
      </c>
      <c r="BE258" s="60">
        <v>128</v>
      </c>
      <c r="BF258" s="81" t="s">
        <v>0</v>
      </c>
    </row>
    <row r="259" spans="1:58" s="44" customFormat="1" ht="39.950000000000003" hidden="1" customHeight="1" x14ac:dyDescent="0.25">
      <c r="A259" s="13"/>
      <c r="B259" s="13"/>
      <c r="C259" s="13"/>
      <c r="D259" s="13"/>
      <c r="E259" s="13"/>
      <c r="F259" s="13"/>
      <c r="G259" s="13"/>
      <c r="H259" s="13"/>
      <c r="I259" s="13"/>
      <c r="J259" s="13"/>
      <c r="K259" s="13"/>
      <c r="L259" s="13"/>
      <c r="M259" s="13"/>
      <c r="N259" s="13"/>
      <c r="O259" s="13"/>
      <c r="P259" s="13"/>
      <c r="Q259" s="13"/>
      <c r="R259" s="13"/>
      <c r="S259" s="13"/>
      <c r="T259" s="13"/>
      <c r="U259" s="58"/>
      <c r="V259" s="58"/>
      <c r="W259" s="58"/>
      <c r="X259" s="58"/>
      <c r="Y259" s="58"/>
      <c r="Z259" s="58"/>
      <c r="AA259" s="58"/>
      <c r="AB259" s="58"/>
      <c r="AC259" s="58"/>
      <c r="AD259" s="58"/>
      <c r="AE259" s="58"/>
      <c r="AF259" s="58"/>
      <c r="AG259" s="58"/>
      <c r="AH259" s="58"/>
      <c r="AI259" s="58"/>
      <c r="AJ259" s="58"/>
      <c r="AK259" s="58"/>
      <c r="AL259" s="58"/>
      <c r="AM259" s="58"/>
      <c r="AN259" s="58"/>
      <c r="AO259" s="58"/>
      <c r="AP259" s="58"/>
      <c r="AQ259" s="58"/>
      <c r="AR259" s="58"/>
      <c r="AS259" s="58"/>
      <c r="AT259" s="58"/>
      <c r="AU259" s="58"/>
      <c r="AV259" s="58"/>
      <c r="AW259" s="58"/>
      <c r="AX259" s="58"/>
      <c r="AY259" s="58"/>
      <c r="AZ259" s="58"/>
      <c r="BA259" s="58"/>
      <c r="BB259" s="58"/>
      <c r="BC259" s="58"/>
      <c r="BD259" s="58">
        <v>257</v>
      </c>
      <c r="BE259" s="60">
        <v>128.5</v>
      </c>
      <c r="BF259" s="81" t="s">
        <v>0</v>
      </c>
    </row>
    <row r="260" spans="1:58" s="44" customFormat="1" ht="39.950000000000003" hidden="1" customHeight="1" x14ac:dyDescent="0.25">
      <c r="A260" s="13"/>
      <c r="B260" s="13"/>
      <c r="C260" s="13"/>
      <c r="D260" s="13"/>
      <c r="E260" s="13"/>
      <c r="F260" s="13"/>
      <c r="G260" s="13"/>
      <c r="H260" s="13"/>
      <c r="I260" s="13"/>
      <c r="J260" s="13"/>
      <c r="K260" s="13"/>
      <c r="L260" s="13"/>
      <c r="M260" s="13"/>
      <c r="N260" s="13"/>
      <c r="O260" s="13"/>
      <c r="P260" s="13"/>
      <c r="Q260" s="13"/>
      <c r="R260" s="13"/>
      <c r="S260" s="13"/>
      <c r="T260" s="13"/>
      <c r="U260" s="58"/>
      <c r="V260" s="58"/>
      <c r="W260" s="58"/>
      <c r="X260" s="58"/>
      <c r="Y260" s="58"/>
      <c r="Z260" s="58"/>
      <c r="AA260" s="58"/>
      <c r="AB260" s="58"/>
      <c r="AC260" s="58"/>
      <c r="AD260" s="58"/>
      <c r="AE260" s="58"/>
      <c r="AF260" s="58"/>
      <c r="AG260" s="58"/>
      <c r="AH260" s="58"/>
      <c r="AI260" s="58"/>
      <c r="AJ260" s="58"/>
      <c r="AK260" s="58"/>
      <c r="AL260" s="58"/>
      <c r="AM260" s="58"/>
      <c r="AN260" s="58"/>
      <c r="AO260" s="58"/>
      <c r="AP260" s="58"/>
      <c r="AQ260" s="58"/>
      <c r="AR260" s="58"/>
      <c r="AS260" s="58"/>
      <c r="AT260" s="58"/>
      <c r="AU260" s="58"/>
      <c r="AV260" s="58"/>
      <c r="AW260" s="58"/>
      <c r="AX260" s="58"/>
      <c r="AY260" s="58"/>
      <c r="AZ260" s="58"/>
      <c r="BA260" s="58"/>
      <c r="BB260" s="58"/>
      <c r="BC260" s="58"/>
      <c r="BD260" s="58">
        <v>258</v>
      </c>
      <c r="BE260" s="60">
        <v>129</v>
      </c>
      <c r="BF260" s="81" t="s">
        <v>0</v>
      </c>
    </row>
    <row r="261" spans="1:58" s="44" customFormat="1" ht="39.950000000000003" hidden="1" customHeight="1" x14ac:dyDescent="0.25">
      <c r="A261" s="13"/>
      <c r="B261" s="13"/>
      <c r="C261" s="13"/>
      <c r="D261" s="13"/>
      <c r="E261" s="13"/>
      <c r="F261" s="13"/>
      <c r="G261" s="13"/>
      <c r="H261" s="13"/>
      <c r="I261" s="13"/>
      <c r="J261" s="13"/>
      <c r="K261" s="13"/>
      <c r="L261" s="13"/>
      <c r="M261" s="13"/>
      <c r="N261" s="13"/>
      <c r="O261" s="13"/>
      <c r="P261" s="13"/>
      <c r="Q261" s="13"/>
      <c r="R261" s="13"/>
      <c r="S261" s="13"/>
      <c r="T261" s="13"/>
      <c r="U261" s="58"/>
      <c r="V261" s="58"/>
      <c r="W261" s="58"/>
      <c r="X261" s="58"/>
      <c r="Y261" s="58"/>
      <c r="Z261" s="58"/>
      <c r="AA261" s="58"/>
      <c r="AB261" s="58"/>
      <c r="AC261" s="58"/>
      <c r="AD261" s="58"/>
      <c r="AE261" s="58"/>
      <c r="AF261" s="58"/>
      <c r="AG261" s="58"/>
      <c r="AH261" s="58"/>
      <c r="AI261" s="58"/>
      <c r="AJ261" s="58"/>
      <c r="AK261" s="58"/>
      <c r="AL261" s="58"/>
      <c r="AM261" s="58"/>
      <c r="AN261" s="58"/>
      <c r="AO261" s="58"/>
      <c r="AP261" s="58"/>
      <c r="AQ261" s="58"/>
      <c r="AR261" s="58"/>
      <c r="AS261" s="58"/>
      <c r="AT261" s="58"/>
      <c r="AU261" s="58"/>
      <c r="AV261" s="58"/>
      <c r="AW261" s="58"/>
      <c r="AX261" s="58"/>
      <c r="AY261" s="58"/>
      <c r="AZ261" s="58"/>
      <c r="BA261" s="58"/>
      <c r="BB261" s="58"/>
      <c r="BC261" s="58"/>
      <c r="BD261" s="58">
        <v>259</v>
      </c>
      <c r="BE261" s="60">
        <v>129.5</v>
      </c>
      <c r="BF261" s="81" t="s">
        <v>0</v>
      </c>
    </row>
    <row r="262" spans="1:58" s="44" customFormat="1" ht="39.950000000000003" hidden="1" customHeight="1" x14ac:dyDescent="0.25">
      <c r="A262" s="13"/>
      <c r="B262" s="13"/>
      <c r="C262" s="13"/>
      <c r="D262" s="13"/>
      <c r="E262" s="13"/>
      <c r="F262" s="13"/>
      <c r="G262" s="13"/>
      <c r="H262" s="13"/>
      <c r="I262" s="13"/>
      <c r="J262" s="13"/>
      <c r="K262" s="13"/>
      <c r="L262" s="13"/>
      <c r="M262" s="13"/>
      <c r="N262" s="13"/>
      <c r="O262" s="13"/>
      <c r="P262" s="13"/>
      <c r="Q262" s="13"/>
      <c r="R262" s="13"/>
      <c r="S262" s="13"/>
      <c r="T262" s="13"/>
      <c r="U262" s="58"/>
      <c r="V262" s="58"/>
      <c r="W262" s="58"/>
      <c r="X262" s="58"/>
      <c r="Y262" s="58"/>
      <c r="Z262" s="58"/>
      <c r="AA262" s="58"/>
      <c r="AB262" s="58"/>
      <c r="AC262" s="58"/>
      <c r="AD262" s="58"/>
      <c r="AE262" s="58"/>
      <c r="AF262" s="58"/>
      <c r="AG262" s="58"/>
      <c r="AH262" s="58"/>
      <c r="AI262" s="58"/>
      <c r="AJ262" s="58"/>
      <c r="AK262" s="58"/>
      <c r="AL262" s="58"/>
      <c r="AM262" s="58"/>
      <c r="AN262" s="58"/>
      <c r="AO262" s="58"/>
      <c r="AP262" s="58"/>
      <c r="AQ262" s="58"/>
      <c r="AR262" s="58"/>
      <c r="AS262" s="58"/>
      <c r="AT262" s="58"/>
      <c r="AU262" s="58"/>
      <c r="AV262" s="58"/>
      <c r="AW262" s="58"/>
      <c r="AX262" s="58"/>
      <c r="AY262" s="58"/>
      <c r="AZ262" s="58"/>
      <c r="BA262" s="58"/>
      <c r="BB262" s="58"/>
      <c r="BC262" s="58"/>
      <c r="BD262" s="58">
        <v>260</v>
      </c>
      <c r="BE262" s="60">
        <v>130</v>
      </c>
      <c r="BF262" s="81" t="s">
        <v>0</v>
      </c>
    </row>
    <row r="263" spans="1:58" s="44" customFormat="1" ht="39.950000000000003" hidden="1"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58"/>
      <c r="V263" s="58"/>
      <c r="W263" s="58"/>
      <c r="X263" s="58"/>
      <c r="Y263" s="58"/>
      <c r="Z263" s="58"/>
      <c r="AA263" s="58"/>
      <c r="AB263" s="58"/>
      <c r="AC263" s="58"/>
      <c r="AD263" s="58"/>
      <c r="AE263" s="58"/>
      <c r="AF263" s="58"/>
      <c r="AG263" s="58"/>
      <c r="AH263" s="58"/>
      <c r="AI263" s="58"/>
      <c r="AJ263" s="58"/>
      <c r="AK263" s="58"/>
      <c r="AL263" s="58"/>
      <c r="AM263" s="58"/>
      <c r="AN263" s="58"/>
      <c r="AO263" s="58"/>
      <c r="AP263" s="58"/>
      <c r="AQ263" s="58"/>
      <c r="AR263" s="58"/>
      <c r="AS263" s="58"/>
      <c r="AT263" s="58"/>
      <c r="AU263" s="58"/>
      <c r="AV263" s="58"/>
      <c r="AW263" s="58"/>
      <c r="AX263" s="58"/>
      <c r="AY263" s="58"/>
      <c r="AZ263" s="58"/>
      <c r="BA263" s="58"/>
      <c r="BB263" s="58"/>
      <c r="BC263" s="58"/>
      <c r="BD263" s="58">
        <v>261</v>
      </c>
      <c r="BE263" s="60">
        <v>130.5</v>
      </c>
      <c r="BF263" s="81" t="s">
        <v>0</v>
      </c>
    </row>
    <row r="264" spans="1:58" s="44" customFormat="1" ht="39.950000000000003" hidden="1"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58"/>
      <c r="V264" s="58"/>
      <c r="W264" s="58"/>
      <c r="X264" s="58"/>
      <c r="Y264" s="58"/>
      <c r="Z264" s="58"/>
      <c r="AA264" s="58"/>
      <c r="AB264" s="58"/>
      <c r="AC264" s="58"/>
      <c r="AD264" s="58"/>
      <c r="AE264" s="58"/>
      <c r="AF264" s="58"/>
      <c r="AG264" s="58"/>
      <c r="AH264" s="58"/>
      <c r="AI264" s="58"/>
      <c r="AJ264" s="58"/>
      <c r="AK264" s="58"/>
      <c r="AL264" s="58"/>
      <c r="AM264" s="58"/>
      <c r="AN264" s="58"/>
      <c r="AO264" s="58"/>
      <c r="AP264" s="58"/>
      <c r="AQ264" s="58"/>
      <c r="AR264" s="58"/>
      <c r="AS264" s="58"/>
      <c r="AT264" s="58"/>
      <c r="AU264" s="58"/>
      <c r="AV264" s="58"/>
      <c r="AW264" s="58"/>
      <c r="AX264" s="58"/>
      <c r="AY264" s="58"/>
      <c r="AZ264" s="58"/>
      <c r="BA264" s="58"/>
      <c r="BB264" s="58"/>
      <c r="BC264" s="58"/>
      <c r="BD264" s="58">
        <v>262</v>
      </c>
      <c r="BE264" s="60">
        <v>131</v>
      </c>
      <c r="BF264" s="81" t="s">
        <v>0</v>
      </c>
    </row>
    <row r="265" spans="1:58" s="44" customFormat="1" ht="39.950000000000003" hidden="1"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58"/>
      <c r="V265" s="58"/>
      <c r="W265" s="58"/>
      <c r="X265" s="58"/>
      <c r="Y265" s="58"/>
      <c r="Z265" s="58"/>
      <c r="AA265" s="58"/>
      <c r="AB265" s="58"/>
      <c r="AC265" s="58"/>
      <c r="AD265" s="58"/>
      <c r="AE265" s="58"/>
      <c r="AF265" s="58"/>
      <c r="AG265" s="58"/>
      <c r="AH265" s="58"/>
      <c r="AI265" s="58"/>
      <c r="AJ265" s="58"/>
      <c r="AK265" s="58"/>
      <c r="AL265" s="58"/>
      <c r="AM265" s="58"/>
      <c r="AN265" s="58"/>
      <c r="AO265" s="58"/>
      <c r="AP265" s="58"/>
      <c r="AQ265" s="58"/>
      <c r="AR265" s="58"/>
      <c r="AS265" s="58"/>
      <c r="AT265" s="58"/>
      <c r="AU265" s="58"/>
      <c r="AV265" s="58"/>
      <c r="AW265" s="58"/>
      <c r="AX265" s="58"/>
      <c r="AY265" s="58"/>
      <c r="AZ265" s="58"/>
      <c r="BA265" s="58"/>
      <c r="BB265" s="58"/>
      <c r="BC265" s="58"/>
      <c r="BD265" s="58">
        <v>263</v>
      </c>
      <c r="BE265" s="60">
        <v>131.5</v>
      </c>
      <c r="BF265" s="81" t="s">
        <v>0</v>
      </c>
    </row>
    <row r="266" spans="1:58" s="44" customFormat="1" ht="39.950000000000003" hidden="1"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58"/>
      <c r="V266" s="58"/>
      <c r="W266" s="58"/>
      <c r="X266" s="58"/>
      <c r="Y266" s="58"/>
      <c r="Z266" s="58"/>
      <c r="AA266" s="58"/>
      <c r="AB266" s="58"/>
      <c r="AC266" s="58"/>
      <c r="AD266" s="58"/>
      <c r="AE266" s="58"/>
      <c r="AF266" s="58"/>
      <c r="AG266" s="58"/>
      <c r="AH266" s="58"/>
      <c r="AI266" s="58"/>
      <c r="AJ266" s="58"/>
      <c r="AK266" s="58"/>
      <c r="AL266" s="58"/>
      <c r="AM266" s="58"/>
      <c r="AN266" s="58"/>
      <c r="AO266" s="58"/>
      <c r="AP266" s="58"/>
      <c r="AQ266" s="58"/>
      <c r="AR266" s="58"/>
      <c r="AS266" s="58"/>
      <c r="AT266" s="58"/>
      <c r="AU266" s="58"/>
      <c r="AV266" s="58"/>
      <c r="AW266" s="58"/>
      <c r="AX266" s="58"/>
      <c r="AY266" s="58"/>
      <c r="AZ266" s="58"/>
      <c r="BA266" s="58"/>
      <c r="BB266" s="58"/>
      <c r="BC266" s="58"/>
      <c r="BD266" s="58">
        <v>264</v>
      </c>
      <c r="BE266" s="60">
        <v>132</v>
      </c>
      <c r="BF266" s="81" t="s">
        <v>0</v>
      </c>
    </row>
    <row r="267" spans="1:58" s="44" customFormat="1" ht="39.950000000000003" hidden="1"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58"/>
      <c r="V267" s="58"/>
      <c r="W267" s="58"/>
      <c r="X267" s="58"/>
      <c r="Y267" s="58"/>
      <c r="Z267" s="58"/>
      <c r="AA267" s="58"/>
      <c r="AB267" s="58"/>
      <c r="AC267" s="58"/>
      <c r="AD267" s="58"/>
      <c r="AE267" s="58"/>
      <c r="AF267" s="58"/>
      <c r="AG267" s="58"/>
      <c r="AH267" s="58"/>
      <c r="AI267" s="58"/>
      <c r="AJ267" s="58"/>
      <c r="AK267" s="58"/>
      <c r="AL267" s="58"/>
      <c r="AM267" s="58"/>
      <c r="AN267" s="58"/>
      <c r="AO267" s="58"/>
      <c r="AP267" s="58"/>
      <c r="AQ267" s="58"/>
      <c r="AR267" s="58"/>
      <c r="AS267" s="58"/>
      <c r="AT267" s="58"/>
      <c r="AU267" s="58"/>
      <c r="AV267" s="58"/>
      <c r="AW267" s="58"/>
      <c r="AX267" s="58"/>
      <c r="AY267" s="58"/>
      <c r="AZ267" s="58"/>
      <c r="BA267" s="58"/>
      <c r="BB267" s="58"/>
      <c r="BC267" s="58"/>
      <c r="BD267" s="58">
        <v>265</v>
      </c>
      <c r="BE267" s="60">
        <v>132.5</v>
      </c>
      <c r="BF267" s="81" t="s">
        <v>0</v>
      </c>
    </row>
    <row r="268" spans="1:58" s="44" customFormat="1" ht="39.950000000000003" hidden="1"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58"/>
      <c r="V268" s="58"/>
      <c r="W268" s="58"/>
      <c r="X268" s="58"/>
      <c r="Y268" s="58"/>
      <c r="Z268" s="58"/>
      <c r="AA268" s="58"/>
      <c r="AB268" s="58"/>
      <c r="AC268" s="58"/>
      <c r="AD268" s="58"/>
      <c r="AE268" s="58"/>
      <c r="AF268" s="58"/>
      <c r="AG268" s="58"/>
      <c r="AH268" s="58"/>
      <c r="AI268" s="58"/>
      <c r="AJ268" s="58"/>
      <c r="AK268" s="58"/>
      <c r="AL268" s="58"/>
      <c r="AM268" s="58"/>
      <c r="AN268" s="58"/>
      <c r="AO268" s="58"/>
      <c r="AP268" s="58"/>
      <c r="AQ268" s="58"/>
      <c r="AR268" s="58"/>
      <c r="AS268" s="58"/>
      <c r="AT268" s="58"/>
      <c r="AU268" s="58"/>
      <c r="AV268" s="58"/>
      <c r="AW268" s="58"/>
      <c r="AX268" s="58"/>
      <c r="AY268" s="58"/>
      <c r="AZ268" s="58"/>
      <c r="BA268" s="58"/>
      <c r="BB268" s="58"/>
      <c r="BC268" s="58"/>
      <c r="BD268" s="58">
        <v>266</v>
      </c>
      <c r="BE268" s="60">
        <v>133</v>
      </c>
      <c r="BF268" s="81" t="s">
        <v>0</v>
      </c>
    </row>
    <row r="269" spans="1:58" s="44" customFormat="1" ht="39.950000000000003" hidden="1"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58"/>
      <c r="V269" s="58"/>
      <c r="W269" s="58"/>
      <c r="X269" s="58"/>
      <c r="Y269" s="58"/>
      <c r="Z269" s="58"/>
      <c r="AA269" s="58"/>
      <c r="AB269" s="58"/>
      <c r="AC269" s="58"/>
      <c r="AD269" s="58"/>
      <c r="AE269" s="58"/>
      <c r="AF269" s="58"/>
      <c r="AG269" s="58"/>
      <c r="AH269" s="58"/>
      <c r="AI269" s="58"/>
      <c r="AJ269" s="58"/>
      <c r="AK269" s="58"/>
      <c r="AL269" s="58"/>
      <c r="AM269" s="58"/>
      <c r="AN269" s="58"/>
      <c r="AO269" s="58"/>
      <c r="AP269" s="58"/>
      <c r="AQ269" s="58"/>
      <c r="AR269" s="58"/>
      <c r="AS269" s="58"/>
      <c r="AT269" s="58"/>
      <c r="AU269" s="58"/>
      <c r="AV269" s="58"/>
      <c r="AW269" s="58"/>
      <c r="AX269" s="58"/>
      <c r="AY269" s="58"/>
      <c r="AZ269" s="58"/>
      <c r="BA269" s="58"/>
      <c r="BB269" s="58"/>
      <c r="BC269" s="58"/>
      <c r="BD269" s="58">
        <v>267</v>
      </c>
      <c r="BE269" s="60">
        <v>133.5</v>
      </c>
      <c r="BF269" s="81" t="s">
        <v>0</v>
      </c>
    </row>
    <row r="270" spans="1:58" ht="39.950000000000003" hidden="1" customHeight="1" x14ac:dyDescent="0.25">
      <c r="BD270" s="58">
        <v>268</v>
      </c>
      <c r="BE270" s="60">
        <v>134</v>
      </c>
      <c r="BF270" s="81" t="s">
        <v>0</v>
      </c>
    </row>
    <row r="271" spans="1:58" ht="39.950000000000003" hidden="1" customHeight="1" x14ac:dyDescent="0.25">
      <c r="BD271" s="58">
        <v>269</v>
      </c>
      <c r="BE271" s="60">
        <v>134.5</v>
      </c>
      <c r="BF271" s="81" t="s">
        <v>0</v>
      </c>
    </row>
    <row r="272" spans="1:58" ht="39.950000000000003" hidden="1" customHeight="1" x14ac:dyDescent="0.25">
      <c r="BD272" s="58">
        <v>270</v>
      </c>
      <c r="BE272" s="60">
        <v>135</v>
      </c>
      <c r="BF272" s="81" t="s">
        <v>0</v>
      </c>
    </row>
    <row r="273" spans="56:58" ht="39.950000000000003" hidden="1" customHeight="1" x14ac:dyDescent="0.25">
      <c r="BD273" s="58">
        <v>271</v>
      </c>
      <c r="BE273" s="60">
        <v>135.5</v>
      </c>
      <c r="BF273" s="81" t="s">
        <v>0</v>
      </c>
    </row>
    <row r="274" spans="56:58" ht="39.950000000000003" hidden="1" customHeight="1" x14ac:dyDescent="0.25">
      <c r="BD274" s="58">
        <v>272</v>
      </c>
      <c r="BE274" s="60">
        <v>136</v>
      </c>
      <c r="BF274" s="81" t="s">
        <v>0</v>
      </c>
    </row>
    <row r="275" spans="56:58" ht="39.950000000000003" hidden="1" customHeight="1" x14ac:dyDescent="0.25">
      <c r="BD275" s="58">
        <v>273</v>
      </c>
      <c r="BE275" s="60">
        <v>136.5</v>
      </c>
      <c r="BF275" s="81" t="s">
        <v>0</v>
      </c>
    </row>
    <row r="276" spans="56:58" ht="39.950000000000003" hidden="1" customHeight="1" x14ac:dyDescent="0.25">
      <c r="BD276" s="58">
        <v>274</v>
      </c>
      <c r="BE276" s="60">
        <v>137</v>
      </c>
      <c r="BF276" s="81" t="s">
        <v>0</v>
      </c>
    </row>
    <row r="277" spans="56:58" ht="39.950000000000003" hidden="1" customHeight="1" x14ac:dyDescent="0.25">
      <c r="BD277" s="58">
        <v>275</v>
      </c>
      <c r="BE277" s="60">
        <v>137.5</v>
      </c>
      <c r="BF277" s="81" t="s">
        <v>0</v>
      </c>
    </row>
    <row r="278" spans="56:58" ht="39.950000000000003" hidden="1" customHeight="1" x14ac:dyDescent="0.25">
      <c r="BD278" s="58">
        <v>276</v>
      </c>
      <c r="BE278" s="60">
        <v>138</v>
      </c>
      <c r="BF278" s="81" t="s">
        <v>0</v>
      </c>
    </row>
    <row r="279" spans="56:58" ht="39.950000000000003" hidden="1" customHeight="1" x14ac:dyDescent="0.25">
      <c r="BD279" s="58">
        <v>277</v>
      </c>
      <c r="BE279" s="60">
        <v>138.5</v>
      </c>
      <c r="BF279" s="81" t="s">
        <v>0</v>
      </c>
    </row>
    <row r="280" spans="56:58" ht="39.950000000000003" hidden="1" customHeight="1" x14ac:dyDescent="0.25">
      <c r="BD280" s="58">
        <v>278</v>
      </c>
      <c r="BE280" s="60">
        <v>139</v>
      </c>
      <c r="BF280" s="81" t="s">
        <v>0</v>
      </c>
    </row>
    <row r="281" spans="56:58" ht="39.950000000000003" hidden="1" customHeight="1" x14ac:dyDescent="0.25">
      <c r="BD281" s="58">
        <v>279</v>
      </c>
      <c r="BE281" s="60">
        <v>139.5</v>
      </c>
      <c r="BF281" s="81" t="s">
        <v>0</v>
      </c>
    </row>
    <row r="282" spans="56:58" ht="39.950000000000003" hidden="1" customHeight="1" x14ac:dyDescent="0.25">
      <c r="BD282" s="58">
        <v>280</v>
      </c>
      <c r="BE282" s="60">
        <v>140</v>
      </c>
      <c r="BF282" s="81" t="s">
        <v>0</v>
      </c>
    </row>
    <row r="283" spans="56:58" ht="39.950000000000003" hidden="1" customHeight="1" x14ac:dyDescent="0.25">
      <c r="BD283" s="58">
        <v>281</v>
      </c>
      <c r="BE283" s="60">
        <v>140.5</v>
      </c>
      <c r="BF283" s="81" t="s">
        <v>0</v>
      </c>
    </row>
    <row r="284" spans="56:58" ht="39.950000000000003" hidden="1" customHeight="1" x14ac:dyDescent="0.25">
      <c r="BD284" s="58">
        <v>282</v>
      </c>
      <c r="BE284" s="60">
        <v>141</v>
      </c>
      <c r="BF284" s="81" t="s">
        <v>0</v>
      </c>
    </row>
    <row r="285" spans="56:58" ht="39.950000000000003" hidden="1" customHeight="1" x14ac:dyDescent="0.25">
      <c r="BD285" s="58">
        <v>283</v>
      </c>
      <c r="BE285" s="60">
        <v>141.5</v>
      </c>
      <c r="BF285" s="81" t="s">
        <v>0</v>
      </c>
    </row>
    <row r="286" spans="56:58" ht="39.950000000000003" hidden="1" customHeight="1" x14ac:dyDescent="0.25">
      <c r="BD286" s="58">
        <v>284</v>
      </c>
      <c r="BE286" s="60">
        <v>142</v>
      </c>
      <c r="BF286" s="81" t="s">
        <v>0</v>
      </c>
    </row>
    <row r="287" spans="56:58" ht="39.950000000000003" hidden="1" customHeight="1" x14ac:dyDescent="0.25">
      <c r="BD287" s="58">
        <v>285</v>
      </c>
      <c r="BE287" s="60">
        <v>142.5</v>
      </c>
      <c r="BF287" s="81" t="s">
        <v>0</v>
      </c>
    </row>
    <row r="288" spans="56:58" ht="39.950000000000003" hidden="1" customHeight="1" x14ac:dyDescent="0.25">
      <c r="BD288" s="58">
        <v>286</v>
      </c>
      <c r="BE288" s="60">
        <v>143</v>
      </c>
      <c r="BF288" s="81" t="s">
        <v>0</v>
      </c>
    </row>
    <row r="289" spans="56:58" ht="39.950000000000003" hidden="1" customHeight="1" x14ac:dyDescent="0.25">
      <c r="BD289" s="58">
        <v>287</v>
      </c>
      <c r="BE289" s="60">
        <v>143.5</v>
      </c>
      <c r="BF289" s="81" t="s">
        <v>0</v>
      </c>
    </row>
    <row r="290" spans="56:58" ht="39.950000000000003" hidden="1" customHeight="1" x14ac:dyDescent="0.25">
      <c r="BD290" s="58">
        <v>288</v>
      </c>
      <c r="BE290" s="60">
        <v>144</v>
      </c>
      <c r="BF290" s="81" t="s">
        <v>0</v>
      </c>
    </row>
    <row r="291" spans="56:58" ht="39.950000000000003" hidden="1" customHeight="1" x14ac:dyDescent="0.25">
      <c r="BD291" s="58">
        <v>289</v>
      </c>
      <c r="BE291" s="60">
        <v>144.5</v>
      </c>
      <c r="BF291" s="81" t="s">
        <v>0</v>
      </c>
    </row>
    <row r="292" spans="56:58" ht="39.950000000000003" hidden="1" customHeight="1" x14ac:dyDescent="0.25">
      <c r="BD292" s="58">
        <v>290</v>
      </c>
      <c r="BE292" s="60">
        <v>145</v>
      </c>
      <c r="BF292" s="81" t="s">
        <v>0</v>
      </c>
    </row>
    <row r="293" spans="56:58" ht="39.950000000000003" hidden="1" customHeight="1" x14ac:dyDescent="0.25">
      <c r="BD293" s="58">
        <v>291</v>
      </c>
      <c r="BE293" s="60">
        <v>145.5</v>
      </c>
      <c r="BF293" s="81" t="s">
        <v>0</v>
      </c>
    </row>
    <row r="294" spans="56:58" ht="39.950000000000003" hidden="1" customHeight="1" x14ac:dyDescent="0.25">
      <c r="BD294" s="58">
        <v>292</v>
      </c>
      <c r="BE294" s="60">
        <v>146</v>
      </c>
      <c r="BF294" s="81" t="s">
        <v>0</v>
      </c>
    </row>
    <row r="295" spans="56:58" ht="39.950000000000003" hidden="1" customHeight="1" x14ac:dyDescent="0.25">
      <c r="BD295" s="58">
        <v>293</v>
      </c>
      <c r="BE295" s="60">
        <v>146.5</v>
      </c>
      <c r="BF295" s="81" t="s">
        <v>0</v>
      </c>
    </row>
    <row r="296" spans="56:58" ht="39.950000000000003" hidden="1" customHeight="1" x14ac:dyDescent="0.25">
      <c r="BD296" s="58">
        <v>294</v>
      </c>
      <c r="BE296" s="60">
        <v>147</v>
      </c>
      <c r="BF296" s="81" t="s">
        <v>0</v>
      </c>
    </row>
    <row r="297" spans="56:58" ht="39.950000000000003" hidden="1" customHeight="1" x14ac:dyDescent="0.25">
      <c r="BD297" s="58">
        <v>295</v>
      </c>
      <c r="BE297" s="60">
        <v>147.5</v>
      </c>
      <c r="BF297" s="81" t="s">
        <v>0</v>
      </c>
    </row>
    <row r="298" spans="56:58" ht="39.950000000000003" hidden="1" customHeight="1" x14ac:dyDescent="0.25">
      <c r="BD298" s="58">
        <v>296</v>
      </c>
      <c r="BE298" s="60">
        <v>148</v>
      </c>
      <c r="BF298" s="81" t="s">
        <v>0</v>
      </c>
    </row>
    <row r="299" spans="56:58" ht="39.950000000000003" hidden="1" customHeight="1" x14ac:dyDescent="0.25">
      <c r="BD299" s="58">
        <v>297</v>
      </c>
      <c r="BE299" s="60">
        <v>148.5</v>
      </c>
      <c r="BF299" s="81" t="s">
        <v>0</v>
      </c>
    </row>
    <row r="300" spans="56:58" ht="39.950000000000003" hidden="1" customHeight="1" x14ac:dyDescent="0.25">
      <c r="BD300" s="58">
        <v>298</v>
      </c>
      <c r="BE300" s="60">
        <v>149</v>
      </c>
      <c r="BF300" s="81" t="s">
        <v>0</v>
      </c>
    </row>
    <row r="301" spans="56:58" ht="39.950000000000003" hidden="1" customHeight="1" x14ac:dyDescent="0.25">
      <c r="BD301" s="58">
        <v>299</v>
      </c>
      <c r="BE301" s="60">
        <v>149.5</v>
      </c>
      <c r="BF301" s="81" t="s">
        <v>0</v>
      </c>
    </row>
    <row r="302" spans="56:58" ht="39.950000000000003" hidden="1" customHeight="1" x14ac:dyDescent="0.25">
      <c r="BD302" s="58">
        <v>300</v>
      </c>
      <c r="BE302" s="60">
        <v>150</v>
      </c>
      <c r="BF302" s="81" t="s">
        <v>0</v>
      </c>
    </row>
    <row r="303" spans="56:58" ht="39.950000000000003" hidden="1" customHeight="1" x14ac:dyDescent="0.25">
      <c r="BD303" s="58">
        <v>301</v>
      </c>
      <c r="BE303" s="60">
        <v>150.5</v>
      </c>
      <c r="BF303" s="81" t="s">
        <v>0</v>
      </c>
    </row>
    <row r="304" spans="56:58" ht="39.950000000000003" hidden="1" customHeight="1" x14ac:dyDescent="0.25">
      <c r="BD304" s="58">
        <v>302</v>
      </c>
      <c r="BE304" s="60">
        <v>151</v>
      </c>
      <c r="BF304" s="81" t="s">
        <v>0</v>
      </c>
    </row>
    <row r="305" spans="56:58" ht="39.950000000000003" hidden="1" customHeight="1" x14ac:dyDescent="0.25">
      <c r="BD305" s="58">
        <v>303</v>
      </c>
      <c r="BE305" s="60">
        <v>151.5</v>
      </c>
      <c r="BF305" s="81" t="s">
        <v>0</v>
      </c>
    </row>
    <row r="306" spans="56:58" ht="39.950000000000003" hidden="1" customHeight="1" x14ac:dyDescent="0.25">
      <c r="BD306" s="58">
        <v>304</v>
      </c>
      <c r="BE306" s="60">
        <v>152</v>
      </c>
      <c r="BF306" s="81" t="s">
        <v>0</v>
      </c>
    </row>
    <row r="307" spans="56:58" ht="39.950000000000003" hidden="1" customHeight="1" x14ac:dyDescent="0.25">
      <c r="BD307" s="58">
        <v>305</v>
      </c>
      <c r="BE307" s="60">
        <v>152.5</v>
      </c>
      <c r="BF307" s="81" t="s">
        <v>0</v>
      </c>
    </row>
    <row r="308" spans="56:58" ht="39.950000000000003" hidden="1" customHeight="1" x14ac:dyDescent="0.25">
      <c r="BD308" s="58">
        <v>306</v>
      </c>
      <c r="BE308" s="60">
        <v>153</v>
      </c>
      <c r="BF308" s="81" t="s">
        <v>0</v>
      </c>
    </row>
    <row r="309" spans="56:58" ht="39.950000000000003" hidden="1" customHeight="1" x14ac:dyDescent="0.25">
      <c r="BD309" s="58">
        <v>307</v>
      </c>
      <c r="BE309" s="60">
        <v>153.5</v>
      </c>
      <c r="BF309" s="81" t="s">
        <v>0</v>
      </c>
    </row>
    <row r="310" spans="56:58" ht="39.950000000000003" hidden="1" customHeight="1" x14ac:dyDescent="0.25">
      <c r="BD310" s="58">
        <v>308</v>
      </c>
      <c r="BE310" s="60">
        <v>154</v>
      </c>
      <c r="BF310" s="81" t="s">
        <v>0</v>
      </c>
    </row>
    <row r="311" spans="56:58" ht="39.950000000000003" hidden="1" customHeight="1" x14ac:dyDescent="0.25">
      <c r="BD311" s="58">
        <v>309</v>
      </c>
      <c r="BE311" s="60">
        <v>154.5</v>
      </c>
      <c r="BF311" s="81" t="s">
        <v>0</v>
      </c>
    </row>
    <row r="312" spans="56:58" ht="39.950000000000003" hidden="1" customHeight="1" x14ac:dyDescent="0.25">
      <c r="BD312" s="58">
        <v>310</v>
      </c>
      <c r="BE312" s="60">
        <v>155</v>
      </c>
      <c r="BF312" s="81" t="s">
        <v>0</v>
      </c>
    </row>
    <row r="313" spans="56:58" ht="39.950000000000003" hidden="1" customHeight="1" x14ac:dyDescent="0.25">
      <c r="BD313" s="58">
        <v>311</v>
      </c>
      <c r="BE313" s="60">
        <v>155.5</v>
      </c>
      <c r="BF313" s="81" t="s">
        <v>0</v>
      </c>
    </row>
    <row r="314" spans="56:58" ht="39.950000000000003" hidden="1" customHeight="1" x14ac:dyDescent="0.25">
      <c r="BD314" s="58">
        <v>312</v>
      </c>
      <c r="BE314" s="60">
        <v>156</v>
      </c>
      <c r="BF314" s="81" t="s">
        <v>0</v>
      </c>
    </row>
    <row r="315" spans="56:58" ht="39.950000000000003" hidden="1" customHeight="1" x14ac:dyDescent="0.25">
      <c r="BD315" s="58">
        <v>313</v>
      </c>
      <c r="BE315" s="60">
        <v>156.5</v>
      </c>
      <c r="BF315" s="81" t="s">
        <v>0</v>
      </c>
    </row>
    <row r="316" spans="56:58" ht="39.950000000000003" hidden="1" customHeight="1" x14ac:dyDescent="0.25">
      <c r="BD316" s="58">
        <v>314</v>
      </c>
      <c r="BE316" s="60">
        <v>157</v>
      </c>
      <c r="BF316" s="81" t="s">
        <v>0</v>
      </c>
    </row>
    <row r="317" spans="56:58" ht="39.950000000000003" hidden="1" customHeight="1" x14ac:dyDescent="0.25">
      <c r="BD317" s="58">
        <v>315</v>
      </c>
      <c r="BE317" s="60">
        <v>157.5</v>
      </c>
      <c r="BF317" s="81" t="s">
        <v>0</v>
      </c>
    </row>
    <row r="318" spans="56:58" ht="39.950000000000003" hidden="1" customHeight="1" x14ac:dyDescent="0.25">
      <c r="BD318" s="58">
        <v>316</v>
      </c>
      <c r="BE318" s="60">
        <v>158</v>
      </c>
      <c r="BF318" s="81" t="s">
        <v>0</v>
      </c>
    </row>
    <row r="319" spans="56:58" ht="39.950000000000003" hidden="1" customHeight="1" x14ac:dyDescent="0.25">
      <c r="BD319" s="58">
        <v>317</v>
      </c>
      <c r="BE319" s="60">
        <v>158.5</v>
      </c>
      <c r="BF319" s="81" t="s">
        <v>0</v>
      </c>
    </row>
    <row r="320" spans="56:58" ht="39.950000000000003" hidden="1" customHeight="1" x14ac:dyDescent="0.25">
      <c r="BD320" s="58">
        <v>318</v>
      </c>
      <c r="BE320" s="60">
        <v>159</v>
      </c>
      <c r="BF320" s="81" t="s">
        <v>0</v>
      </c>
    </row>
    <row r="321" spans="56:58" ht="39.950000000000003" hidden="1" customHeight="1" x14ac:dyDescent="0.25">
      <c r="BD321" s="58">
        <v>319</v>
      </c>
      <c r="BE321" s="60">
        <v>159.5</v>
      </c>
      <c r="BF321" s="81" t="s">
        <v>0</v>
      </c>
    </row>
    <row r="322" spans="56:58" ht="39.950000000000003" hidden="1" customHeight="1" x14ac:dyDescent="0.25">
      <c r="BD322" s="58">
        <v>320</v>
      </c>
      <c r="BE322" s="60">
        <v>160</v>
      </c>
      <c r="BF322" s="81" t="s">
        <v>0</v>
      </c>
    </row>
    <row r="323" spans="56:58" ht="39.950000000000003" hidden="1" customHeight="1" x14ac:dyDescent="0.25">
      <c r="BD323" s="58">
        <v>321</v>
      </c>
      <c r="BE323" s="60">
        <v>160.5</v>
      </c>
      <c r="BF323" s="81" t="s">
        <v>0</v>
      </c>
    </row>
    <row r="324" spans="56:58" ht="39.950000000000003" hidden="1" customHeight="1" x14ac:dyDescent="0.25">
      <c r="BD324" s="58">
        <v>322</v>
      </c>
      <c r="BE324" s="60">
        <v>161</v>
      </c>
      <c r="BF324" s="81" t="s">
        <v>0</v>
      </c>
    </row>
    <row r="325" spans="56:58" ht="39.950000000000003" hidden="1" customHeight="1" x14ac:dyDescent="0.25">
      <c r="BD325" s="58">
        <v>323</v>
      </c>
      <c r="BE325" s="60">
        <v>161.5</v>
      </c>
      <c r="BF325" s="81" t="s">
        <v>0</v>
      </c>
    </row>
    <row r="326" spans="56:58" ht="39.950000000000003" hidden="1" customHeight="1" x14ac:dyDescent="0.25">
      <c r="BD326" s="58">
        <v>324</v>
      </c>
      <c r="BE326" s="60">
        <v>162</v>
      </c>
      <c r="BF326" s="81" t="s">
        <v>0</v>
      </c>
    </row>
    <row r="327" spans="56:58" ht="39.950000000000003" hidden="1" customHeight="1" x14ac:dyDescent="0.25">
      <c r="BD327" s="58">
        <v>325</v>
      </c>
      <c r="BE327" s="60">
        <v>162.5</v>
      </c>
      <c r="BF327" s="81" t="s">
        <v>0</v>
      </c>
    </row>
    <row r="328" spans="56:58" ht="39.950000000000003" hidden="1" customHeight="1" x14ac:dyDescent="0.25">
      <c r="BD328" s="58">
        <v>326</v>
      </c>
      <c r="BE328" s="60">
        <v>163</v>
      </c>
      <c r="BF328" s="81" t="s">
        <v>0</v>
      </c>
    </row>
    <row r="329" spans="56:58" ht="39.950000000000003" hidden="1" customHeight="1" x14ac:dyDescent="0.25">
      <c r="BD329" s="58">
        <v>327</v>
      </c>
      <c r="BE329" s="60">
        <v>163.5</v>
      </c>
      <c r="BF329" s="81" t="s">
        <v>0</v>
      </c>
    </row>
    <row r="330" spans="56:58" ht="39.950000000000003" hidden="1" customHeight="1" x14ac:dyDescent="0.25">
      <c r="BD330" s="58">
        <v>328</v>
      </c>
      <c r="BE330" s="60">
        <v>164</v>
      </c>
      <c r="BF330" s="81" t="s">
        <v>0</v>
      </c>
    </row>
    <row r="331" spans="56:58" ht="39.950000000000003" hidden="1" customHeight="1" x14ac:dyDescent="0.25">
      <c r="BD331" s="58">
        <v>329</v>
      </c>
      <c r="BE331" s="60">
        <v>164.5</v>
      </c>
      <c r="BF331" s="81" t="s">
        <v>0</v>
      </c>
    </row>
    <row r="332" spans="56:58" ht="39.950000000000003" hidden="1" customHeight="1" x14ac:dyDescent="0.25">
      <c r="BD332" s="58">
        <v>330</v>
      </c>
      <c r="BE332" s="60">
        <v>165</v>
      </c>
      <c r="BF332" s="81" t="s">
        <v>0</v>
      </c>
    </row>
    <row r="333" spans="56:58" ht="39.950000000000003" hidden="1" customHeight="1" x14ac:dyDescent="0.25">
      <c r="BD333" s="58">
        <v>331</v>
      </c>
      <c r="BE333" s="60">
        <v>165.5</v>
      </c>
      <c r="BF333" s="81" t="s">
        <v>0</v>
      </c>
    </row>
    <row r="334" spans="56:58" ht="39.950000000000003" hidden="1" customHeight="1" x14ac:dyDescent="0.25">
      <c r="BD334" s="58">
        <v>332</v>
      </c>
      <c r="BE334" s="60">
        <v>166</v>
      </c>
      <c r="BF334" s="81" t="s">
        <v>0</v>
      </c>
    </row>
    <row r="335" spans="56:58" ht="39.950000000000003" hidden="1" customHeight="1" x14ac:dyDescent="0.25">
      <c r="BD335" s="58">
        <v>333</v>
      </c>
      <c r="BE335" s="60">
        <v>166.5</v>
      </c>
      <c r="BF335" s="81" t="s">
        <v>0</v>
      </c>
    </row>
    <row r="336" spans="56:58" ht="39.950000000000003" hidden="1" customHeight="1" x14ac:dyDescent="0.25">
      <c r="BD336" s="58">
        <v>334</v>
      </c>
      <c r="BE336" s="60">
        <v>167</v>
      </c>
      <c r="BF336" s="81" t="s">
        <v>0</v>
      </c>
    </row>
    <row r="337" spans="56:58" ht="39.950000000000003" hidden="1" customHeight="1" x14ac:dyDescent="0.25">
      <c r="BD337" s="58">
        <v>335</v>
      </c>
      <c r="BE337" s="60">
        <v>167.5</v>
      </c>
      <c r="BF337" s="81" t="s">
        <v>0</v>
      </c>
    </row>
    <row r="338" spans="56:58" ht="39.950000000000003" hidden="1" customHeight="1" x14ac:dyDescent="0.25">
      <c r="BD338" s="58">
        <v>336</v>
      </c>
      <c r="BE338" s="60">
        <v>168</v>
      </c>
      <c r="BF338" s="81" t="s">
        <v>0</v>
      </c>
    </row>
    <row r="339" spans="56:58" ht="39.950000000000003" hidden="1" customHeight="1" x14ac:dyDescent="0.25">
      <c r="BD339" s="58">
        <v>337</v>
      </c>
      <c r="BE339" s="60">
        <v>168.5</v>
      </c>
      <c r="BF339" s="81" t="s">
        <v>0</v>
      </c>
    </row>
    <row r="340" spans="56:58" ht="39.950000000000003" hidden="1" customHeight="1" x14ac:dyDescent="0.25">
      <c r="BD340" s="58">
        <v>338</v>
      </c>
      <c r="BE340" s="60">
        <v>169</v>
      </c>
      <c r="BF340" s="81" t="s">
        <v>0</v>
      </c>
    </row>
    <row r="341" spans="56:58" ht="39.950000000000003" hidden="1" customHeight="1" x14ac:dyDescent="0.25">
      <c r="BD341" s="58">
        <v>339</v>
      </c>
      <c r="BE341" s="60">
        <v>169.5</v>
      </c>
      <c r="BF341" s="81" t="s">
        <v>0</v>
      </c>
    </row>
    <row r="342" spans="56:58" ht="39.950000000000003" hidden="1" customHeight="1" x14ac:dyDescent="0.25">
      <c r="BD342" s="58">
        <v>340</v>
      </c>
      <c r="BE342" s="60">
        <v>170</v>
      </c>
      <c r="BF342" s="81" t="s">
        <v>0</v>
      </c>
    </row>
    <row r="343" spans="56:58" ht="39.950000000000003" hidden="1" customHeight="1" x14ac:dyDescent="0.25">
      <c r="BD343" s="58">
        <v>341</v>
      </c>
      <c r="BE343" s="60">
        <v>170.5</v>
      </c>
      <c r="BF343" s="81" t="s">
        <v>0</v>
      </c>
    </row>
    <row r="344" spans="56:58" ht="39.950000000000003" hidden="1" customHeight="1" x14ac:dyDescent="0.25">
      <c r="BD344" s="58">
        <v>342</v>
      </c>
      <c r="BE344" s="60">
        <v>171</v>
      </c>
      <c r="BF344" s="81" t="s">
        <v>0</v>
      </c>
    </row>
    <row r="345" spans="56:58" ht="39.950000000000003" hidden="1" customHeight="1" x14ac:dyDescent="0.25">
      <c r="BD345" s="58">
        <v>343</v>
      </c>
      <c r="BE345" s="60">
        <v>171.5</v>
      </c>
      <c r="BF345" s="81" t="s">
        <v>0</v>
      </c>
    </row>
    <row r="346" spans="56:58" ht="39.950000000000003" hidden="1" customHeight="1" x14ac:dyDescent="0.25">
      <c r="BD346" s="58">
        <v>344</v>
      </c>
      <c r="BE346" s="60">
        <v>172</v>
      </c>
      <c r="BF346" s="81" t="s">
        <v>0</v>
      </c>
    </row>
    <row r="347" spans="56:58" ht="39.950000000000003" hidden="1" customHeight="1" x14ac:dyDescent="0.25">
      <c r="BD347" s="58">
        <v>345</v>
      </c>
      <c r="BE347" s="60">
        <v>172.5</v>
      </c>
      <c r="BF347" s="81" t="s">
        <v>0</v>
      </c>
    </row>
    <row r="348" spans="56:58" ht="39.950000000000003" hidden="1" customHeight="1" x14ac:dyDescent="0.25">
      <c r="BD348" s="58">
        <v>346</v>
      </c>
      <c r="BE348" s="60">
        <v>173</v>
      </c>
      <c r="BF348" s="81" t="s">
        <v>0</v>
      </c>
    </row>
    <row r="349" spans="56:58" ht="39.950000000000003" hidden="1" customHeight="1" x14ac:dyDescent="0.25">
      <c r="BD349" s="58">
        <v>347</v>
      </c>
      <c r="BE349" s="60">
        <v>173.5</v>
      </c>
      <c r="BF349" s="81" t="s">
        <v>0</v>
      </c>
    </row>
    <row r="350" spans="56:58" ht="39.950000000000003" hidden="1" customHeight="1" x14ac:dyDescent="0.25">
      <c r="BD350" s="58">
        <v>348</v>
      </c>
      <c r="BE350" s="60">
        <v>174</v>
      </c>
      <c r="BF350" s="81" t="s">
        <v>0</v>
      </c>
    </row>
    <row r="351" spans="56:58" ht="39.950000000000003" hidden="1" customHeight="1" x14ac:dyDescent="0.25">
      <c r="BD351" s="58">
        <v>349</v>
      </c>
      <c r="BE351" s="60">
        <v>174.5</v>
      </c>
      <c r="BF351" s="81" t="s">
        <v>0</v>
      </c>
    </row>
    <row r="352" spans="56:58" ht="39.950000000000003" hidden="1" customHeight="1" x14ac:dyDescent="0.25">
      <c r="BD352" s="58">
        <v>350</v>
      </c>
      <c r="BE352" s="60">
        <v>175</v>
      </c>
      <c r="BF352" s="81" t="s">
        <v>0</v>
      </c>
    </row>
    <row r="353" spans="56:58" ht="39.950000000000003" hidden="1" customHeight="1" x14ac:dyDescent="0.25">
      <c r="BD353" s="58">
        <v>351</v>
      </c>
      <c r="BE353" s="60">
        <v>175.5</v>
      </c>
      <c r="BF353" s="81" t="s">
        <v>0</v>
      </c>
    </row>
    <row r="354" spans="56:58" ht="39.950000000000003" hidden="1" customHeight="1" x14ac:dyDescent="0.25">
      <c r="BD354" s="58">
        <v>352</v>
      </c>
      <c r="BE354" s="60">
        <v>176</v>
      </c>
      <c r="BF354" s="81" t="s">
        <v>0</v>
      </c>
    </row>
    <row r="355" spans="56:58" ht="39.950000000000003" hidden="1" customHeight="1" x14ac:dyDescent="0.25">
      <c r="BD355" s="58">
        <v>353</v>
      </c>
      <c r="BE355" s="60">
        <v>176.5</v>
      </c>
      <c r="BF355" s="81" t="s">
        <v>0</v>
      </c>
    </row>
    <row r="356" spans="56:58" ht="39.950000000000003" hidden="1" customHeight="1" x14ac:dyDescent="0.25">
      <c r="BD356" s="58">
        <v>354</v>
      </c>
      <c r="BE356" s="60">
        <v>177</v>
      </c>
      <c r="BF356" s="81" t="s">
        <v>0</v>
      </c>
    </row>
    <row r="357" spans="56:58" ht="39.950000000000003" hidden="1" customHeight="1" x14ac:dyDescent="0.25">
      <c r="BD357" s="58">
        <v>355</v>
      </c>
      <c r="BE357" s="60">
        <v>177.5</v>
      </c>
      <c r="BF357" s="81" t="s">
        <v>0</v>
      </c>
    </row>
    <row r="358" spans="56:58" ht="39.950000000000003" hidden="1" customHeight="1" x14ac:dyDescent="0.25">
      <c r="BD358" s="58">
        <v>356</v>
      </c>
      <c r="BE358" s="60">
        <v>178</v>
      </c>
      <c r="BF358" s="81" t="s">
        <v>0</v>
      </c>
    </row>
    <row r="359" spans="56:58" ht="39.950000000000003" hidden="1" customHeight="1" x14ac:dyDescent="0.25">
      <c r="BD359" s="58">
        <v>357</v>
      </c>
      <c r="BE359" s="60">
        <v>178.5</v>
      </c>
      <c r="BF359" s="81" t="s">
        <v>0</v>
      </c>
    </row>
    <row r="360" spans="56:58" ht="39.950000000000003" hidden="1" customHeight="1" x14ac:dyDescent="0.25">
      <c r="BD360" s="58">
        <v>358</v>
      </c>
      <c r="BE360" s="60">
        <v>179</v>
      </c>
      <c r="BF360" s="81" t="s">
        <v>0</v>
      </c>
    </row>
    <row r="361" spans="56:58" ht="39.950000000000003" hidden="1" customHeight="1" x14ac:dyDescent="0.25">
      <c r="BD361" s="58">
        <v>359</v>
      </c>
      <c r="BE361" s="60">
        <v>179.5</v>
      </c>
      <c r="BF361" s="81" t="s">
        <v>0</v>
      </c>
    </row>
    <row r="362" spans="56:58" ht="39.950000000000003" hidden="1" customHeight="1" x14ac:dyDescent="0.25">
      <c r="BD362" s="58">
        <v>360</v>
      </c>
      <c r="BE362" s="60">
        <v>180</v>
      </c>
      <c r="BF362" s="81" t="s">
        <v>0</v>
      </c>
    </row>
    <row r="363" spans="56:58" ht="9.9499999999999993" hidden="1" customHeight="1" x14ac:dyDescent="0.25"/>
  </sheetData>
  <sheetProtection algorithmName="SHA-512" hashValue="02uwfUwoWQixAhOlns0baPHOsiz6uAfFH2S9QyjEp9cf297Ni4tzzwyHjTmJU0bRrAHVI2Qw5OkCoFKoa7A6CA==" saltValue="fwfjpkYgy39JhZbUJX9/ew==" spinCount="100000" sheet="1" objects="1" scenarios="1" selectLockedCells="1"/>
  <mergeCells count="22">
    <mergeCell ref="B10:B13"/>
    <mergeCell ref="N1:N28"/>
    <mergeCell ref="G1:I14"/>
    <mergeCell ref="A1:A14"/>
    <mergeCell ref="F1:F14"/>
    <mergeCell ref="E1:E14"/>
    <mergeCell ref="C1:C14"/>
    <mergeCell ref="B2:B5"/>
    <mergeCell ref="B6:B9"/>
    <mergeCell ref="J1:J14"/>
    <mergeCell ref="M1:M14"/>
    <mergeCell ref="Q28:S28"/>
    <mergeCell ref="K1:K14"/>
    <mergeCell ref="O1:O28"/>
    <mergeCell ref="L1:L14"/>
    <mergeCell ref="Q2:Q27"/>
    <mergeCell ref="S2:S27"/>
    <mergeCell ref="R2:R27"/>
    <mergeCell ref="Q1:S1"/>
    <mergeCell ref="P1:P28"/>
    <mergeCell ref="D1:D14"/>
    <mergeCell ref="T1:T28"/>
  </mergeCells>
  <phoneticPr fontId="4" type="noConversion"/>
  <dataValidations count="9">
    <dataValidation type="list" allowBlank="1" showInputMessage="1" showErrorMessage="1" sqref="AY1:AY12" xr:uid="{00000000-0002-0000-0000-000000000000}">
      <formula1>"Yok, Var"</formula1>
    </dataValidation>
    <dataValidation type="list" allowBlank="1" showInputMessage="1" showErrorMessage="1" sqref="J15:J26" xr:uid="{00000000-0002-0000-0000-000001000000}">
      <formula1>$BF$2:$BF$50</formula1>
    </dataValidation>
    <dataValidation type="list" allowBlank="1" showInputMessage="1" showErrorMessage="1" sqref="N1:N28" xr:uid="{00000000-0002-0000-0000-000002000000}">
      <formula1>"Ocak, Şubat, Mart, Nisan, Mayıs, Haziran, Temmuz, Ağustos, Eylül, Ekim, Kasım, Aralık, Yıllık Toplam, Yıllık Ortalama"</formula1>
    </dataValidation>
    <dataValidation type="list" allowBlank="1" showInputMessage="1" showErrorMessage="1" sqref="AI18" xr:uid="{00000000-0002-0000-0000-000003000000}">
      <formula1>#REF!</formula1>
    </dataValidation>
    <dataValidation type="list" allowBlank="1" showInputMessage="1" showErrorMessage="1" sqref="D15:E26" xr:uid="{00000000-0002-0000-0000-000005000000}">
      <formula1>$BE$2:$BE$362</formula1>
    </dataValidation>
    <dataValidation type="list" allowBlank="1" showInputMessage="1" showErrorMessage="1" sqref="AS43:AS54 AV43:AV54 AU29:AU40 AP43:AP54 F15:F26 C15:C26" xr:uid="{00000000-0002-0000-0000-000006000000}">
      <formula1>$BD$2:$BD$362</formula1>
    </dataValidation>
    <dataValidation type="list" allowBlank="1" showInputMessage="1" showErrorMessage="1" sqref="A1:A14" xr:uid="{4E68C257-D1C5-4403-A697-6CEA5C6945C3}">
      <formula1>$AD$1:$AD$2</formula1>
    </dataValidation>
    <dataValidation type="list" allowBlank="1" showInputMessage="1" showErrorMessage="1" sqref="G15:I26" xr:uid="{B1C9EBE5-C9F4-47FB-9F0A-E0153B17AD49}">
      <formula1>$AF$40:$AF$55</formula1>
    </dataValidation>
    <dataValidation type="list" allowBlank="1" showInputMessage="1" showErrorMessage="1" sqref="P1" xr:uid="{00000000-0002-0000-0000-000007000000}">
      <formula1>$U$20:$U$33</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½</cp:lastModifiedBy>
  <cp:lastPrinted>2021-01-27T16:23:43Z</cp:lastPrinted>
  <dcterms:created xsi:type="dcterms:W3CDTF">2015-06-05T18:19:34Z</dcterms:created>
  <dcterms:modified xsi:type="dcterms:W3CDTF">2025-06-23T20:36:59Z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